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27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swpgh.sharepoint.com/sites/swpnpa/PPR/Pricing/Historical Prices/Historical Petroleum Products Prices/"/>
    </mc:Choice>
  </mc:AlternateContent>
  <xr:revisionPtr revIDLastSave="45" documentId="13_ncr:1_{8CCAA80D-30BB-4479-8D3A-85CC2738CC01}" xr6:coauthVersionLast="47" xr6:coauthVersionMax="47" xr10:uidLastSave="{B643D82F-1E77-49C9-9ED3-4AEAE92AD039}"/>
  <bookViews>
    <workbookView xWindow="-120" yWindow="-120" windowWidth="29040" windowHeight="15720" tabRatio="760" firstSheet="2" activeTab="2" xr2:uid="{00000000-000D-0000-FFFF-FFFF00000000}"/>
  </bookViews>
  <sheets>
    <sheet name="Domestic Pdts (1989-Jul '07)" sheetId="4" r:id="rId1"/>
    <sheet name="Domestic Pdts (Aug '07-Jun '15)" sheetId="5" r:id="rId2"/>
    <sheet name="Domestic Pdts (Jul 2015 - date)" sheetId="6" r:id="rId3"/>
    <sheet name="Export Products" sheetId="3" r:id="rId4"/>
  </sheets>
  <definedNames>
    <definedName name="_xlnm.Print_Area" localSheetId="0">'Domestic Pdts (1989-Jul ''07)'!$A$1:$AD$63</definedName>
    <definedName name="_xlnm.Print_Area" localSheetId="1">'Domestic Pdts (Aug ''07-Jun ''15)'!$A$1:$AP$107</definedName>
    <definedName name="_xlnm.Print_Area" localSheetId="2">'Domestic Pdts (Jul 2015 - date)'!#REF!</definedName>
    <definedName name="_xlnm.Print_Area" localSheetId="3">'Export Products'!#REF!</definedName>
    <definedName name="_xlnm.Print_Titles" localSheetId="0">'Domestic Pdts (1989-Jul ''07)'!$A:$B</definedName>
    <definedName name="_xlnm.Print_Titles" localSheetId="1">'Domestic Pdts (Aug ''07-Jun ''15)'!$A:$B,'Domestic Pdts (Aug ''07-Jun ''15)'!$2:$8</definedName>
    <definedName name="_xlnm.Print_Titles" localSheetId="2">'Domestic Pdts (Jul 2015 - date)'!$A:$A,'Domestic Pdts (Jul 2015 - date)'!$4:$7</definedName>
    <definedName name="_xlnm.Print_Titles" localSheetId="3">'Export Products'!$A:$A,'Export Products'!#REF!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38" i="3" l="1"/>
  <c r="L338" i="3"/>
  <c r="J338" i="3"/>
  <c r="I338" i="3"/>
  <c r="F338" i="3"/>
  <c r="E338" i="3"/>
  <c r="B338" i="3"/>
  <c r="L228" i="6"/>
  <c r="K228" i="6"/>
  <c r="J228" i="6"/>
  <c r="I228" i="6"/>
  <c r="G228" i="6"/>
  <c r="F228" i="6"/>
  <c r="D228" i="6"/>
  <c r="E228" i="6" s="1"/>
  <c r="B228" i="6"/>
  <c r="L227" i="6"/>
  <c r="K227" i="6"/>
  <c r="J227" i="6"/>
  <c r="I227" i="6"/>
  <c r="G227" i="6"/>
  <c r="F227" i="6"/>
  <c r="D227" i="6"/>
  <c r="E227" i="6" s="1"/>
  <c r="B227" i="6"/>
  <c r="L337" i="3"/>
  <c r="I337" i="3"/>
  <c r="E337" i="3"/>
  <c r="B337" i="3"/>
  <c r="F337" i="3" l="1"/>
  <c r="L226" i="6"/>
  <c r="K226" i="6"/>
  <c r="J226" i="6"/>
  <c r="I226" i="6"/>
  <c r="G226" i="6"/>
  <c r="F226" i="6"/>
  <c r="D226" i="6"/>
  <c r="E226" i="6" s="1"/>
  <c r="B226" i="6"/>
  <c r="L336" i="3"/>
  <c r="M337" i="3" s="1"/>
  <c r="I336" i="3"/>
  <c r="J337" i="3" s="1"/>
  <c r="E336" i="3"/>
  <c r="B336" i="3"/>
  <c r="J336" i="3" l="1"/>
  <c r="F336" i="3"/>
  <c r="L335" i="3"/>
  <c r="M336" i="3" s="1"/>
  <c r="I335" i="3"/>
  <c r="E335" i="3"/>
  <c r="B335" i="3"/>
  <c r="L225" i="6"/>
  <c r="K225" i="6"/>
  <c r="J225" i="6"/>
  <c r="I225" i="6"/>
  <c r="G225" i="6"/>
  <c r="F225" i="6"/>
  <c r="D225" i="6"/>
  <c r="E225" i="6" s="1"/>
  <c r="B225" i="6"/>
  <c r="L224" i="6"/>
  <c r="K224" i="6"/>
  <c r="J224" i="6"/>
  <c r="I224" i="6"/>
  <c r="G224" i="6"/>
  <c r="F224" i="6"/>
  <c r="D224" i="6"/>
  <c r="E224" i="6" s="1"/>
  <c r="L334" i="3"/>
  <c r="I334" i="3"/>
  <c r="E334" i="3"/>
  <c r="B334" i="3"/>
  <c r="B224" i="6"/>
  <c r="L223" i="6"/>
  <c r="K223" i="6"/>
  <c r="J223" i="6"/>
  <c r="I223" i="6"/>
  <c r="G223" i="6"/>
  <c r="F223" i="6"/>
  <c r="D223" i="6"/>
  <c r="E223" i="6" s="1"/>
  <c r="B223" i="6"/>
  <c r="L333" i="3"/>
  <c r="I333" i="3"/>
  <c r="E333" i="3"/>
  <c r="B333" i="3"/>
  <c r="F335" i="3" l="1"/>
  <c r="F334" i="3"/>
  <c r="J335" i="3"/>
  <c r="M335" i="3"/>
  <c r="M334" i="3"/>
  <c r="J334" i="3"/>
  <c r="L222" i="6"/>
  <c r="K222" i="6"/>
  <c r="J222" i="6"/>
  <c r="I222" i="6"/>
  <c r="G222" i="6"/>
  <c r="F222" i="6"/>
  <c r="D222" i="6"/>
  <c r="E222" i="6"/>
  <c r="B222" i="6"/>
  <c r="L332" i="3"/>
  <c r="I332" i="3"/>
  <c r="E332" i="3"/>
  <c r="F333" i="3" s="1"/>
  <c r="B332" i="3"/>
  <c r="L221" i="6"/>
  <c r="I221" i="6"/>
  <c r="J221" i="6" s="1"/>
  <c r="K221" i="6" s="1"/>
  <c r="G221" i="6"/>
  <c r="F221" i="6"/>
  <c r="D221" i="6"/>
  <c r="E221" i="6" s="1"/>
  <c r="B221" i="6"/>
  <c r="L331" i="3"/>
  <c r="I331" i="3"/>
  <c r="J331" i="3" s="1"/>
  <c r="E331" i="3"/>
  <c r="B331" i="3"/>
  <c r="L220" i="6"/>
  <c r="I220" i="6"/>
  <c r="J220" i="6" s="1"/>
  <c r="K220" i="6" s="1"/>
  <c r="G220" i="6"/>
  <c r="F220" i="6"/>
  <c r="E220" i="6"/>
  <c r="D220" i="6"/>
  <c r="B220" i="6"/>
  <c r="L330" i="3"/>
  <c r="I330" i="3"/>
  <c r="E330" i="3"/>
  <c r="B330" i="3"/>
  <c r="J332" i="3" l="1"/>
  <c r="M332" i="3"/>
  <c r="J333" i="3"/>
  <c r="F332" i="3"/>
  <c r="M333" i="3"/>
  <c r="M331" i="3"/>
  <c r="F331" i="3"/>
  <c r="L219" i="6"/>
  <c r="I219" i="6"/>
  <c r="J219" i="6"/>
  <c r="K219" i="6" s="1"/>
  <c r="G219" i="6"/>
  <c r="F219" i="6"/>
  <c r="E219" i="6"/>
  <c r="D219" i="6"/>
  <c r="C219" i="6"/>
  <c r="B219" i="6"/>
  <c r="L329" i="3"/>
  <c r="M330" i="3" s="1"/>
  <c r="I329" i="3"/>
  <c r="J330" i="3" s="1"/>
  <c r="E329" i="3"/>
  <c r="B329" i="3"/>
  <c r="L218" i="6"/>
  <c r="K218" i="6"/>
  <c r="J218" i="6"/>
  <c r="I218" i="6"/>
  <c r="G218" i="6"/>
  <c r="F218" i="6"/>
  <c r="D218" i="6"/>
  <c r="E218" i="6" s="1"/>
  <c r="B218" i="6"/>
  <c r="L328" i="3"/>
  <c r="I328" i="3"/>
  <c r="E328" i="3"/>
  <c r="B328" i="3"/>
  <c r="L217" i="6"/>
  <c r="K217" i="6"/>
  <c r="J217" i="6"/>
  <c r="I217" i="6"/>
  <c r="G217" i="6"/>
  <c r="F217" i="6"/>
  <c r="D217" i="6"/>
  <c r="E217" i="6"/>
  <c r="B217" i="6"/>
  <c r="L327" i="3"/>
  <c r="I327" i="3"/>
  <c r="E327" i="3"/>
  <c r="B327" i="3"/>
  <c r="L326" i="3"/>
  <c r="I326" i="3"/>
  <c r="E326" i="3"/>
  <c r="B326" i="3"/>
  <c r="L216" i="6"/>
  <c r="K216" i="6"/>
  <c r="J216" i="6"/>
  <c r="I216" i="6"/>
  <c r="G216" i="6"/>
  <c r="F216" i="6"/>
  <c r="D216" i="6"/>
  <c r="E216" i="6"/>
  <c r="B216" i="6"/>
  <c r="F327" i="3" l="1"/>
  <c r="F329" i="3"/>
  <c r="F330" i="3"/>
  <c r="M329" i="3"/>
  <c r="J329" i="3"/>
  <c r="M328" i="3"/>
  <c r="F328" i="3"/>
  <c r="J327" i="3"/>
  <c r="J328" i="3"/>
  <c r="M327" i="3"/>
  <c r="L325" i="3"/>
  <c r="M326" i="3" s="1"/>
  <c r="I325" i="3"/>
  <c r="J326" i="3" s="1"/>
  <c r="E325" i="3"/>
  <c r="F326" i="3" s="1"/>
  <c r="B325" i="3"/>
  <c r="L215" i="6"/>
  <c r="K215" i="6"/>
  <c r="J215" i="6"/>
  <c r="I215" i="6"/>
  <c r="G215" i="6"/>
  <c r="F215" i="6"/>
  <c r="D215" i="6"/>
  <c r="E215" i="6"/>
  <c r="B215" i="6"/>
  <c r="L324" i="3"/>
  <c r="I324" i="3"/>
  <c r="E324" i="3"/>
  <c r="B324" i="3"/>
  <c r="L214" i="6"/>
  <c r="I214" i="6"/>
  <c r="J214" i="6"/>
  <c r="K214" i="6" s="1"/>
  <c r="G214" i="6"/>
  <c r="B214" i="6"/>
  <c r="J325" i="3" l="1"/>
  <c r="F325" i="3"/>
  <c r="M325" i="3"/>
  <c r="E214" i="6"/>
  <c r="F214" i="6" s="1"/>
  <c r="D214" i="6"/>
  <c r="L323" i="3" l="1"/>
  <c r="M324" i="3" s="1"/>
  <c r="I323" i="3"/>
  <c r="J324" i="3" s="1"/>
  <c r="E323" i="3"/>
  <c r="F324" i="3" s="1"/>
  <c r="L213" i="6"/>
  <c r="I213" i="6"/>
  <c r="J213" i="6" s="1"/>
  <c r="K213" i="6" s="1"/>
  <c r="G213" i="6"/>
  <c r="F213" i="6"/>
  <c r="E213" i="6"/>
  <c r="D213" i="6"/>
  <c r="C213" i="6"/>
  <c r="B213" i="6" l="1"/>
  <c r="B323" i="3"/>
  <c r="L212" i="6"/>
  <c r="K212" i="6"/>
  <c r="J212" i="6"/>
  <c r="I212" i="6"/>
  <c r="G212" i="6"/>
  <c r="F212" i="6"/>
  <c r="D212" i="6"/>
  <c r="E212" i="6" s="1"/>
  <c r="B212" i="6"/>
  <c r="L322" i="3"/>
  <c r="M323" i="3" s="1"/>
  <c r="I322" i="3"/>
  <c r="J323" i="3" s="1"/>
  <c r="E322" i="3"/>
  <c r="F323" i="3" s="1"/>
  <c r="B322" i="3"/>
  <c r="L56" i="4"/>
  <c r="H57" i="4"/>
  <c r="M56" i="4" l="1"/>
  <c r="N56" i="4" s="1"/>
  <c r="L211" i="6"/>
  <c r="K211" i="6"/>
  <c r="J211" i="6"/>
  <c r="I211" i="6"/>
  <c r="G211" i="6"/>
  <c r="F211" i="6"/>
  <c r="D211" i="6"/>
  <c r="E211" i="6"/>
  <c r="B211" i="6"/>
  <c r="L321" i="3"/>
  <c r="M322" i="3" s="1"/>
  <c r="I321" i="3"/>
  <c r="J322" i="3" s="1"/>
  <c r="E321" i="3"/>
  <c r="F322" i="3" s="1"/>
  <c r="B321" i="3"/>
  <c r="L210" i="6" l="1"/>
  <c r="K210" i="6"/>
  <c r="J210" i="6"/>
  <c r="I210" i="6"/>
  <c r="G210" i="6"/>
  <c r="D210" i="6"/>
  <c r="E210" i="6" s="1"/>
  <c r="F210" i="6" s="1"/>
  <c r="B210" i="6"/>
  <c r="L320" i="3"/>
  <c r="M321" i="3" s="1"/>
  <c r="I320" i="3"/>
  <c r="E320" i="3"/>
  <c r="F321" i="3" s="1"/>
  <c r="B320" i="3"/>
  <c r="L209" i="6"/>
  <c r="K209" i="6"/>
  <c r="J209" i="6"/>
  <c r="I209" i="6"/>
  <c r="G209" i="6"/>
  <c r="F209" i="6"/>
  <c r="D209" i="6"/>
  <c r="E209" i="6"/>
  <c r="B209" i="6"/>
  <c r="L319" i="3"/>
  <c r="I319" i="3"/>
  <c r="E319" i="3"/>
  <c r="B319" i="3"/>
  <c r="J320" i="3" l="1"/>
  <c r="M320" i="3"/>
  <c r="F320" i="3"/>
  <c r="J321" i="3"/>
  <c r="L318" i="3"/>
  <c r="I318" i="3"/>
  <c r="E318" i="3"/>
  <c r="B318" i="3"/>
  <c r="L208" i="6"/>
  <c r="K208" i="6"/>
  <c r="J208" i="6"/>
  <c r="I208" i="6"/>
  <c r="G208" i="6"/>
  <c r="F208" i="6"/>
  <c r="D208" i="6"/>
  <c r="E208" i="6" s="1"/>
  <c r="B208" i="6"/>
  <c r="L207" i="6"/>
  <c r="K207" i="6"/>
  <c r="J207" i="6"/>
  <c r="I207" i="6"/>
  <c r="G207" i="6"/>
  <c r="F207" i="6"/>
  <c r="D207" i="6"/>
  <c r="E207" i="6"/>
  <c r="B207" i="6"/>
  <c r="L317" i="3"/>
  <c r="I317" i="3"/>
  <c r="E317" i="3"/>
  <c r="B317" i="3"/>
  <c r="L316" i="3"/>
  <c r="I316" i="3"/>
  <c r="E316" i="3"/>
  <c r="B316" i="3"/>
  <c r="L206" i="6"/>
  <c r="K206" i="6"/>
  <c r="J206" i="6"/>
  <c r="I206" i="6"/>
  <c r="G206" i="6"/>
  <c r="F206" i="6"/>
  <c r="D206" i="6"/>
  <c r="E206" i="6" s="1"/>
  <c r="B206" i="6"/>
  <c r="F318" i="3" l="1"/>
  <c r="J318" i="3"/>
  <c r="J319" i="3"/>
  <c r="F319" i="3"/>
  <c r="M317" i="3"/>
  <c r="M318" i="3"/>
  <c r="J317" i="3"/>
  <c r="M319" i="3"/>
  <c r="F317" i="3"/>
  <c r="G204" i="6"/>
  <c r="L315" i="3"/>
  <c r="M316" i="3" s="1"/>
  <c r="I315" i="3"/>
  <c r="J316" i="3" s="1"/>
  <c r="E315" i="3"/>
  <c r="F316" i="3" s="1"/>
  <c r="K205" i="6"/>
  <c r="J205" i="6"/>
  <c r="I205" i="6"/>
  <c r="G205" i="6"/>
  <c r="B315" i="3"/>
  <c r="F205" i="6" l="1"/>
  <c r="D205" i="6"/>
  <c r="E205" i="6"/>
  <c r="B205" i="6"/>
  <c r="K204" i="6" l="1"/>
  <c r="L205" i="6" s="1"/>
  <c r="J204" i="6"/>
  <c r="I204" i="6"/>
  <c r="F204" i="6"/>
  <c r="D204" i="6"/>
  <c r="E204" i="6"/>
  <c r="B204" i="6"/>
  <c r="B203" i="6"/>
  <c r="L314" i="3"/>
  <c r="I314" i="3"/>
  <c r="E314" i="3"/>
  <c r="B314" i="3"/>
  <c r="B313" i="3"/>
  <c r="L203" i="6"/>
  <c r="K203" i="6"/>
  <c r="J203" i="6"/>
  <c r="I203" i="6"/>
  <c r="F203" i="6"/>
  <c r="E203" i="6"/>
  <c r="D203" i="6"/>
  <c r="F314" i="3" l="1"/>
  <c r="F315" i="3"/>
  <c r="J314" i="3"/>
  <c r="J315" i="3"/>
  <c r="M314" i="3"/>
  <c r="M315" i="3"/>
  <c r="L204" i="6"/>
  <c r="I200" i="6"/>
  <c r="L312" i="3" l="1"/>
  <c r="I312" i="3"/>
  <c r="E312" i="3"/>
  <c r="B312" i="3"/>
  <c r="K202" i="6"/>
  <c r="J202" i="6"/>
  <c r="I202" i="6"/>
  <c r="G202" i="6"/>
  <c r="E202" i="6"/>
  <c r="D202" i="6"/>
  <c r="B202" i="6"/>
  <c r="G200" i="6"/>
  <c r="G201" i="6"/>
  <c r="I201" i="6" l="1"/>
  <c r="J201" i="6" s="1"/>
  <c r="K201" i="6" s="1"/>
  <c r="L202" i="6" s="1"/>
  <c r="E201" i="6"/>
  <c r="F202" i="6" s="1"/>
  <c r="D201" i="6"/>
  <c r="B201" i="6"/>
  <c r="L311" i="3"/>
  <c r="M312" i="3" s="1"/>
  <c r="I311" i="3"/>
  <c r="J312" i="3" s="1"/>
  <c r="E311" i="3"/>
  <c r="F312" i="3" s="1"/>
  <c r="B311" i="3"/>
  <c r="L310" i="3" l="1"/>
  <c r="M311" i="3" s="1"/>
  <c r="I310" i="3"/>
  <c r="J311" i="3" s="1"/>
  <c r="E310" i="3"/>
  <c r="F311" i="3" s="1"/>
  <c r="B310" i="3"/>
  <c r="J200" i="6"/>
  <c r="D200" i="6"/>
  <c r="E200" i="6" s="1"/>
  <c r="F201" i="6" s="1"/>
  <c r="B200" i="6"/>
  <c r="G199" i="6"/>
  <c r="I199" i="6"/>
  <c r="B199" i="6"/>
  <c r="B309" i="3"/>
  <c r="K200" i="6" l="1"/>
  <c r="L309" i="3"/>
  <c r="I309" i="3"/>
  <c r="E309" i="3"/>
  <c r="J199" i="6"/>
  <c r="K199" i="6" s="1"/>
  <c r="D199" i="6"/>
  <c r="E199" i="6"/>
  <c r="F199" i="6" s="1"/>
  <c r="L308" i="3"/>
  <c r="I308" i="3"/>
  <c r="E308" i="3"/>
  <c r="B308" i="3"/>
  <c r="I198" i="6"/>
  <c r="J198" i="6" s="1"/>
  <c r="G198" i="6"/>
  <c r="D198" i="6"/>
  <c r="E198" i="6" s="1"/>
  <c r="B198" i="6"/>
  <c r="K198" i="6" l="1"/>
  <c r="F200" i="6"/>
  <c r="F309" i="3"/>
  <c r="L200" i="6"/>
  <c r="L201" i="6"/>
  <c r="J309" i="3"/>
  <c r="M309" i="3"/>
  <c r="M310" i="3"/>
  <c r="J310" i="3"/>
  <c r="F310" i="3"/>
  <c r="L307" i="3"/>
  <c r="M308" i="3" s="1"/>
  <c r="I307" i="3"/>
  <c r="J308" i="3" s="1"/>
  <c r="E307" i="3"/>
  <c r="F308" i="3" s="1"/>
  <c r="I197" i="6"/>
  <c r="J197" i="6" s="1"/>
  <c r="K197" i="6" s="1"/>
  <c r="G197" i="6"/>
  <c r="D197" i="6"/>
  <c r="E197" i="6" s="1"/>
  <c r="F198" i="6" s="1"/>
  <c r="B197" i="6"/>
  <c r="B307" i="3"/>
  <c r="F197" i="6" l="1"/>
  <c r="L198" i="6"/>
  <c r="L199" i="6"/>
  <c r="L306" i="3"/>
  <c r="M307" i="3" s="1"/>
  <c r="I306" i="3"/>
  <c r="J307" i="3" s="1"/>
  <c r="E306" i="3"/>
  <c r="F307" i="3" s="1"/>
  <c r="B306" i="3"/>
  <c r="I196" i="6"/>
  <c r="J196" i="6" s="1"/>
  <c r="K196" i="6" s="1"/>
  <c r="L197" i="6" s="1"/>
  <c r="G196" i="6"/>
  <c r="D196" i="6"/>
  <c r="E196" i="6" s="1"/>
  <c r="B196" i="6"/>
  <c r="L305" i="3" l="1"/>
  <c r="M306" i="3" s="1"/>
  <c r="I305" i="3"/>
  <c r="J306" i="3" s="1"/>
  <c r="E305" i="3"/>
  <c r="F306" i="3" s="1"/>
  <c r="I195" i="6"/>
  <c r="J195" i="6"/>
  <c r="B305" i="3"/>
  <c r="G195" i="6"/>
  <c r="D195" i="6"/>
  <c r="E195" i="6" s="1"/>
  <c r="F196" i="6" s="1"/>
  <c r="B195" i="6"/>
  <c r="K195" i="6" l="1"/>
  <c r="F195" i="6"/>
  <c r="L304" i="3"/>
  <c r="M305" i="3" s="1"/>
  <c r="I304" i="3"/>
  <c r="J305" i="3" s="1"/>
  <c r="E304" i="3"/>
  <c r="F305" i="3" s="1"/>
  <c r="B304" i="3"/>
  <c r="I194" i="6"/>
  <c r="J194" i="6" s="1"/>
  <c r="G194" i="6"/>
  <c r="K194" i="6" s="1"/>
  <c r="D194" i="6"/>
  <c r="E194" i="6" s="1"/>
  <c r="B194" i="6"/>
  <c r="L196" i="6" l="1"/>
  <c r="L195" i="6"/>
  <c r="L303" i="3"/>
  <c r="M304" i="3" s="1"/>
  <c r="I303" i="3"/>
  <c r="J304" i="3" s="1"/>
  <c r="E303" i="3"/>
  <c r="F304" i="3" s="1"/>
  <c r="B303" i="3"/>
  <c r="I193" i="6"/>
  <c r="J193" i="6" s="1"/>
  <c r="G193" i="6"/>
  <c r="D193" i="6"/>
  <c r="E193" i="6" s="1"/>
  <c r="F194" i="6" s="1"/>
  <c r="K193" i="6" l="1"/>
  <c r="L194" i="6" s="1"/>
  <c r="B193" i="6"/>
  <c r="G192" i="6"/>
  <c r="L302" i="3"/>
  <c r="M303" i="3" s="1"/>
  <c r="I302" i="3"/>
  <c r="E302" i="3"/>
  <c r="F303" i="3" s="1"/>
  <c r="B302" i="3"/>
  <c r="I192" i="6"/>
  <c r="J192" i="6" s="1"/>
  <c r="D192" i="6"/>
  <c r="E192" i="6" s="1"/>
  <c r="F193" i="6" s="1"/>
  <c r="B192" i="6"/>
  <c r="L301" i="3"/>
  <c r="I301" i="3"/>
  <c r="E301" i="3"/>
  <c r="B301" i="3"/>
  <c r="I191" i="6"/>
  <c r="J191" i="6" s="1"/>
  <c r="G191" i="6"/>
  <c r="D191" i="6"/>
  <c r="E191" i="6" s="1"/>
  <c r="B191" i="6"/>
  <c r="I190" i="6"/>
  <c r="J190" i="6" s="1"/>
  <c r="G190" i="6"/>
  <c r="D190" i="6"/>
  <c r="E190" i="6" s="1"/>
  <c r="B190" i="6"/>
  <c r="L300" i="3"/>
  <c r="I300" i="3"/>
  <c r="E300" i="3"/>
  <c r="F192" i="6" l="1"/>
  <c r="K190" i="6"/>
  <c r="F191" i="6"/>
  <c r="K192" i="6"/>
  <c r="F302" i="3"/>
  <c r="J302" i="3"/>
  <c r="J303" i="3"/>
  <c r="M301" i="3"/>
  <c r="M302" i="3"/>
  <c r="F301" i="3"/>
  <c r="J301" i="3"/>
  <c r="K191" i="6"/>
  <c r="L191" i="6" s="1"/>
  <c r="B300" i="3"/>
  <c r="L299" i="3"/>
  <c r="M300" i="3" s="1"/>
  <c r="I299" i="3"/>
  <c r="J300" i="3" s="1"/>
  <c r="E299" i="3"/>
  <c r="F300" i="3" s="1"/>
  <c r="B299" i="3"/>
  <c r="I189" i="6"/>
  <c r="J189" i="6" s="1"/>
  <c r="G189" i="6"/>
  <c r="K189" i="6" s="1"/>
  <c r="L190" i="6" s="1"/>
  <c r="D189" i="6"/>
  <c r="C189" i="6"/>
  <c r="E189" i="6" l="1"/>
  <c r="F190" i="6" s="1"/>
  <c r="L192" i="6"/>
  <c r="L193" i="6"/>
  <c r="B189" i="6"/>
  <c r="L298" i="3" l="1"/>
  <c r="M299" i="3" s="1"/>
  <c r="I298" i="3"/>
  <c r="J299" i="3" s="1"/>
  <c r="E298" i="3"/>
  <c r="F299" i="3" s="1"/>
  <c r="B298" i="3"/>
  <c r="I188" i="6"/>
  <c r="J188" i="6" s="1"/>
  <c r="G188" i="6"/>
  <c r="D188" i="6"/>
  <c r="C188" i="6"/>
  <c r="B188" i="6"/>
  <c r="C187" i="6"/>
  <c r="E188" i="6" l="1"/>
  <c r="F189" i="6"/>
  <c r="K188" i="6"/>
  <c r="L297" i="3"/>
  <c r="M298" i="3" s="1"/>
  <c r="I297" i="3"/>
  <c r="J298" i="3" s="1"/>
  <c r="E297" i="3"/>
  <c r="F298" i="3" s="1"/>
  <c r="B297" i="3"/>
  <c r="I187" i="6"/>
  <c r="J187" i="6" s="1"/>
  <c r="G187" i="6"/>
  <c r="D187" i="6"/>
  <c r="E187" i="6" s="1"/>
  <c r="F188" i="6" s="1"/>
  <c r="B187" i="6"/>
  <c r="K187" i="6" l="1"/>
  <c r="L189" i="6"/>
  <c r="L188" i="6"/>
  <c r="L296" i="3"/>
  <c r="M297" i="3" s="1"/>
  <c r="I296" i="3"/>
  <c r="J297" i="3" s="1"/>
  <c r="E296" i="3"/>
  <c r="F297" i="3" s="1"/>
  <c r="B296" i="3"/>
  <c r="I186" i="6"/>
  <c r="J186" i="6" s="1"/>
  <c r="G186" i="6"/>
  <c r="D186" i="6"/>
  <c r="C186" i="6"/>
  <c r="E186" i="6" s="1"/>
  <c r="B186" i="6"/>
  <c r="I185" i="6"/>
  <c r="K186" i="6" l="1"/>
  <c r="L187" i="6" s="1"/>
  <c r="F187" i="6"/>
  <c r="J185" i="6"/>
  <c r="L295" i="3"/>
  <c r="M296" i="3" s="1"/>
  <c r="I295" i="3"/>
  <c r="J296" i="3" s="1"/>
  <c r="E295" i="3"/>
  <c r="F296" i="3" s="1"/>
  <c r="B295" i="3"/>
  <c r="I184" i="6"/>
  <c r="G185" i="6"/>
  <c r="D185" i="6"/>
  <c r="C185" i="6"/>
  <c r="B185" i="6"/>
  <c r="K185" i="6" l="1"/>
  <c r="L186" i="6" s="1"/>
  <c r="E185" i="6"/>
  <c r="F186" i="6" s="1"/>
  <c r="L294" i="3"/>
  <c r="M295" i="3" s="1"/>
  <c r="I294" i="3"/>
  <c r="J295" i="3" s="1"/>
  <c r="E294" i="3"/>
  <c r="F295" i="3" s="1"/>
  <c r="B294" i="3"/>
  <c r="C184" i="6"/>
  <c r="J184" i="6"/>
  <c r="G184" i="6"/>
  <c r="D184" i="6"/>
  <c r="B184" i="6"/>
  <c r="B293" i="3"/>
  <c r="I183" i="6"/>
  <c r="J183" i="6" s="1"/>
  <c r="G183" i="6"/>
  <c r="D183" i="6"/>
  <c r="C183" i="6"/>
  <c r="B183" i="6"/>
  <c r="K184" i="6" l="1"/>
  <c r="E183" i="6"/>
  <c r="K183" i="6"/>
  <c r="L184" i="6" s="1"/>
  <c r="E184" i="6"/>
  <c r="F184" i="6" s="1"/>
  <c r="L185" i="6"/>
  <c r="L293" i="3"/>
  <c r="M294" i="3" s="1"/>
  <c r="I293" i="3"/>
  <c r="E293" i="3"/>
  <c r="I182" i="6"/>
  <c r="J182" i="6" s="1"/>
  <c r="G182" i="6"/>
  <c r="D182" i="6"/>
  <c r="C182" i="6"/>
  <c r="B182" i="6"/>
  <c r="L292" i="3"/>
  <c r="I292" i="3"/>
  <c r="E292" i="3"/>
  <c r="B292" i="3"/>
  <c r="L291" i="3"/>
  <c r="I291" i="3"/>
  <c r="E291" i="3"/>
  <c r="B291" i="3"/>
  <c r="I181" i="6"/>
  <c r="J181" i="6" s="1"/>
  <c r="G181" i="6"/>
  <c r="D181" i="6"/>
  <c r="C181" i="6"/>
  <c r="B181" i="6"/>
  <c r="E182" i="6" l="1"/>
  <c r="F185" i="6"/>
  <c r="K182" i="6"/>
  <c r="L183" i="6" s="1"/>
  <c r="F183" i="6"/>
  <c r="K181" i="6"/>
  <c r="M293" i="3"/>
  <c r="E181" i="6"/>
  <c r="F292" i="3"/>
  <c r="F293" i="3"/>
  <c r="J293" i="3"/>
  <c r="J294" i="3"/>
  <c r="F294" i="3"/>
  <c r="J292" i="3"/>
  <c r="M292" i="3"/>
  <c r="L290" i="3"/>
  <c r="M291" i="3" s="1"/>
  <c r="I290" i="3"/>
  <c r="J291" i="3" s="1"/>
  <c r="E290" i="3"/>
  <c r="F291" i="3" s="1"/>
  <c r="B290" i="3"/>
  <c r="I180" i="6"/>
  <c r="J180" i="6" s="1"/>
  <c r="G180" i="6"/>
  <c r="D180" i="6"/>
  <c r="C180" i="6"/>
  <c r="E180" i="6" s="1"/>
  <c r="B180" i="6"/>
  <c r="L289" i="3"/>
  <c r="I289" i="3"/>
  <c r="E289" i="3"/>
  <c r="B289" i="3"/>
  <c r="I179" i="6"/>
  <c r="J179" i="6" s="1"/>
  <c r="G179" i="6"/>
  <c r="D179" i="6"/>
  <c r="C179" i="6"/>
  <c r="B179" i="6"/>
  <c r="I178" i="6"/>
  <c r="K180" i="6" l="1"/>
  <c r="L182" i="6"/>
  <c r="E179" i="6"/>
  <c r="F180" i="6" s="1"/>
  <c r="K179" i="6"/>
  <c r="L180" i="6" s="1"/>
  <c r="F181" i="6"/>
  <c r="L181" i="6"/>
  <c r="F182" i="6"/>
  <c r="F290" i="3"/>
  <c r="J290" i="3"/>
  <c r="M290" i="3"/>
  <c r="L288" i="3"/>
  <c r="M289" i="3" s="1"/>
  <c r="I288" i="3"/>
  <c r="J289" i="3" s="1"/>
  <c r="E288" i="3"/>
  <c r="F289" i="3" s="1"/>
  <c r="B288" i="3"/>
  <c r="J178" i="6"/>
  <c r="G178" i="6"/>
  <c r="D178" i="6"/>
  <c r="C178" i="6"/>
  <c r="E178" i="6" s="1"/>
  <c r="B178" i="6"/>
  <c r="K178" i="6" l="1"/>
  <c r="L179" i="6" s="1"/>
  <c r="F179" i="6"/>
  <c r="I177" i="6"/>
  <c r="J177" i="6" s="1"/>
  <c r="G177" i="6"/>
  <c r="D177" i="6"/>
  <c r="C177" i="6"/>
  <c r="E177" i="6" s="1"/>
  <c r="B177" i="6"/>
  <c r="L287" i="3"/>
  <c r="I287" i="3"/>
  <c r="J288" i="3" s="1"/>
  <c r="E287" i="3"/>
  <c r="F288" i="3" s="1"/>
  <c r="B287" i="3"/>
  <c r="L286" i="3"/>
  <c r="I286" i="3"/>
  <c r="E286" i="3"/>
  <c r="B286" i="3"/>
  <c r="I176" i="6"/>
  <c r="J176" i="6" s="1"/>
  <c r="G176" i="6"/>
  <c r="D176" i="6"/>
  <c r="C176" i="6"/>
  <c r="E176" i="6" s="1"/>
  <c r="B176" i="6"/>
  <c r="L285" i="3"/>
  <c r="I285" i="3"/>
  <c r="E285" i="3"/>
  <c r="B285" i="3"/>
  <c r="I175" i="6"/>
  <c r="J175" i="6" s="1"/>
  <c r="G175" i="6"/>
  <c r="D175" i="6"/>
  <c r="C175" i="6"/>
  <c r="B175" i="6"/>
  <c r="L284" i="3"/>
  <c r="I284" i="3"/>
  <c r="E284" i="3"/>
  <c r="B284" i="3"/>
  <c r="I174" i="6"/>
  <c r="J174" i="6" s="1"/>
  <c r="G174" i="6"/>
  <c r="D174" i="6"/>
  <c r="C174" i="6"/>
  <c r="B174" i="6"/>
  <c r="G173" i="6"/>
  <c r="C173" i="6"/>
  <c r="B173" i="6"/>
  <c r="B283" i="3"/>
  <c r="I283" i="3"/>
  <c r="L283" i="3"/>
  <c r="E283" i="3"/>
  <c r="I173" i="6"/>
  <c r="J173" i="6" s="1"/>
  <c r="D173" i="6"/>
  <c r="K282" i="3"/>
  <c r="L282" i="3" s="1"/>
  <c r="G282" i="3"/>
  <c r="I282" i="3" s="1"/>
  <c r="C282" i="3"/>
  <c r="E282" i="3" s="1"/>
  <c r="B282" i="3"/>
  <c r="G172" i="6"/>
  <c r="C172" i="6"/>
  <c r="B172" i="6"/>
  <c r="I172" i="6"/>
  <c r="J172" i="6" s="1"/>
  <c r="D172" i="6"/>
  <c r="K281" i="3"/>
  <c r="L281" i="3" s="1"/>
  <c r="M281" i="3" s="1"/>
  <c r="G281" i="3"/>
  <c r="I281" i="3" s="1"/>
  <c r="J281" i="3" s="1"/>
  <c r="C281" i="3"/>
  <c r="E281" i="3" s="1"/>
  <c r="B281" i="3"/>
  <c r="I171" i="6"/>
  <c r="J171" i="6" s="1"/>
  <c r="G171" i="6"/>
  <c r="D171" i="6"/>
  <c r="C171" i="6"/>
  <c r="B171" i="6"/>
  <c r="I170" i="6"/>
  <c r="J170" i="6" s="1"/>
  <c r="G170" i="6"/>
  <c r="D170" i="6"/>
  <c r="C170" i="6"/>
  <c r="B170" i="6"/>
  <c r="E280" i="3"/>
  <c r="B280" i="3"/>
  <c r="K279" i="3"/>
  <c r="L279" i="3" s="1"/>
  <c r="M280" i="3" s="1"/>
  <c r="G279" i="3"/>
  <c r="I279" i="3" s="1"/>
  <c r="J280" i="3" s="1"/>
  <c r="E170" i="6" l="1"/>
  <c r="E175" i="6"/>
  <c r="F176" i="6" s="1"/>
  <c r="E172" i="6"/>
  <c r="K177" i="6"/>
  <c r="L178" i="6" s="1"/>
  <c r="E171" i="6"/>
  <c r="K171" i="6"/>
  <c r="K176" i="6"/>
  <c r="K170" i="6"/>
  <c r="F178" i="6"/>
  <c r="F177" i="6"/>
  <c r="K172" i="6"/>
  <c r="E174" i="6"/>
  <c r="F175" i="6" s="1"/>
  <c r="E173" i="6"/>
  <c r="K174" i="6"/>
  <c r="K175" i="6"/>
  <c r="J287" i="3"/>
  <c r="F287" i="3"/>
  <c r="F282" i="3"/>
  <c r="M287" i="3"/>
  <c r="M288" i="3"/>
  <c r="J286" i="3"/>
  <c r="M286" i="3"/>
  <c r="F285" i="3"/>
  <c r="F286" i="3"/>
  <c r="M285" i="3"/>
  <c r="J285" i="3"/>
  <c r="M284" i="3"/>
  <c r="F283" i="3"/>
  <c r="J283" i="3"/>
  <c r="F284" i="3"/>
  <c r="J284" i="3"/>
  <c r="F281" i="3"/>
  <c r="M283" i="3"/>
  <c r="K173" i="6"/>
  <c r="J282" i="3"/>
  <c r="M282" i="3"/>
  <c r="E279" i="3"/>
  <c r="F280" i="3" s="1"/>
  <c r="B279" i="3"/>
  <c r="I169" i="6"/>
  <c r="J169" i="6" s="1"/>
  <c r="G169" i="6"/>
  <c r="D169" i="6"/>
  <c r="C169" i="6"/>
  <c r="B169" i="6"/>
  <c r="L278" i="3"/>
  <c r="I278" i="3"/>
  <c r="J279" i="3" s="1"/>
  <c r="E278" i="3"/>
  <c r="B278" i="3"/>
  <c r="I168" i="6"/>
  <c r="J168" i="6" s="1"/>
  <c r="G168" i="6"/>
  <c r="D168" i="6"/>
  <c r="C168" i="6"/>
  <c r="E168" i="6" s="1"/>
  <c r="B168" i="6"/>
  <c r="G163" i="6"/>
  <c r="G167" i="6"/>
  <c r="C167" i="6"/>
  <c r="B167" i="6"/>
  <c r="D167" i="6"/>
  <c r="I167" i="6"/>
  <c r="J167" i="6" s="1"/>
  <c r="K277" i="3"/>
  <c r="L277" i="3" s="1"/>
  <c r="C277" i="3"/>
  <c r="E277" i="3" s="1"/>
  <c r="B277" i="3"/>
  <c r="I277" i="3"/>
  <c r="L176" i="6" l="1"/>
  <c r="F173" i="6"/>
  <c r="F172" i="6"/>
  <c r="K168" i="6"/>
  <c r="F171" i="6"/>
  <c r="K169" i="6"/>
  <c r="L170" i="6" s="1"/>
  <c r="L171" i="6"/>
  <c r="L173" i="6"/>
  <c r="L172" i="6"/>
  <c r="L177" i="6"/>
  <c r="E169" i="6"/>
  <c r="F174" i="6"/>
  <c r="L175" i="6"/>
  <c r="L174" i="6"/>
  <c r="F278" i="3"/>
  <c r="J278" i="3"/>
  <c r="F279" i="3"/>
  <c r="M278" i="3"/>
  <c r="M279" i="3"/>
  <c r="E167" i="6"/>
  <c r="F168" i="6" s="1"/>
  <c r="K167" i="6"/>
  <c r="L168" i="6" s="1"/>
  <c r="L276" i="3"/>
  <c r="M277" i="3" s="1"/>
  <c r="I276" i="3"/>
  <c r="J277" i="3" s="1"/>
  <c r="C276" i="3"/>
  <c r="E276" i="3" s="1"/>
  <c r="F277" i="3" s="1"/>
  <c r="B276" i="3"/>
  <c r="I275" i="3"/>
  <c r="K275" i="3" s="1"/>
  <c r="L275" i="3" s="1"/>
  <c r="E275" i="3"/>
  <c r="B275" i="3"/>
  <c r="G166" i="6"/>
  <c r="D166" i="6"/>
  <c r="C166" i="6"/>
  <c r="B166" i="6"/>
  <c r="I165" i="6"/>
  <c r="J165" i="6" s="1"/>
  <c r="I166" i="6"/>
  <c r="J166" i="6" s="1"/>
  <c r="G165" i="6"/>
  <c r="D165" i="6"/>
  <c r="C165" i="6"/>
  <c r="B165" i="6"/>
  <c r="I274" i="3"/>
  <c r="K274" i="3" s="1"/>
  <c r="L274" i="3" s="1"/>
  <c r="C274" i="3"/>
  <c r="E274" i="3" s="1"/>
  <c r="B274" i="3"/>
  <c r="G164" i="6"/>
  <c r="I164" i="6"/>
  <c r="J164" i="6" s="1"/>
  <c r="D164" i="6"/>
  <c r="C164" i="6"/>
  <c r="B164" i="6"/>
  <c r="E164" i="6" l="1"/>
  <c r="L169" i="6"/>
  <c r="K166" i="6"/>
  <c r="L167" i="6" s="1"/>
  <c r="E166" i="6"/>
  <c r="F167" i="6" s="1"/>
  <c r="K165" i="6"/>
  <c r="E165" i="6"/>
  <c r="F165" i="6" s="1"/>
  <c r="F169" i="6"/>
  <c r="F170" i="6"/>
  <c r="M276" i="3"/>
  <c r="M275" i="3"/>
  <c r="F275" i="3"/>
  <c r="F276" i="3"/>
  <c r="J276" i="3"/>
  <c r="J275" i="3"/>
  <c r="K164" i="6"/>
  <c r="L166" i="6" l="1"/>
  <c r="F166" i="6"/>
  <c r="L165" i="6"/>
  <c r="I273" i="3"/>
  <c r="J274" i="3" s="1"/>
  <c r="E273" i="3"/>
  <c r="F274" i="3" s="1"/>
  <c r="B273" i="3"/>
  <c r="I163" i="6"/>
  <c r="J163" i="6" s="1"/>
  <c r="K163" i="6" s="1"/>
  <c r="D163" i="6"/>
  <c r="C163" i="6"/>
  <c r="B163" i="6"/>
  <c r="E163" i="6" l="1"/>
  <c r="F164" i="6"/>
  <c r="L164" i="6"/>
  <c r="K273" i="3"/>
  <c r="L273" i="3" s="1"/>
  <c r="M274" i="3" s="1"/>
  <c r="I272" i="3"/>
  <c r="K272" i="3" s="1"/>
  <c r="L272" i="3" s="1"/>
  <c r="E272" i="3"/>
  <c r="F273" i="3" s="1"/>
  <c r="B272" i="3"/>
  <c r="I162" i="6"/>
  <c r="J162" i="6" s="1"/>
  <c r="G162" i="6"/>
  <c r="D162" i="6"/>
  <c r="C162" i="6"/>
  <c r="B162" i="6"/>
  <c r="B161" i="6"/>
  <c r="K162" i="6" l="1"/>
  <c r="L163" i="6" s="1"/>
  <c r="M273" i="3"/>
  <c r="J273" i="3"/>
  <c r="E162" i="6"/>
  <c r="F163" i="6" s="1"/>
  <c r="I271" i="3"/>
  <c r="E271" i="3"/>
  <c r="B271" i="3"/>
  <c r="I161" i="6"/>
  <c r="J161" i="6" s="1"/>
  <c r="G161" i="6"/>
  <c r="D161" i="6"/>
  <c r="C161" i="6"/>
  <c r="E270" i="3"/>
  <c r="E269" i="3"/>
  <c r="B270" i="3"/>
  <c r="I270" i="3"/>
  <c r="K270" i="3" s="1"/>
  <c r="L270" i="3" s="1"/>
  <c r="B160" i="6"/>
  <c r="E161" i="6" l="1"/>
  <c r="F162" i="6" s="1"/>
  <c r="K161" i="6"/>
  <c r="L162" i="6" s="1"/>
  <c r="F271" i="3"/>
  <c r="F272" i="3"/>
  <c r="K271" i="3"/>
  <c r="L271" i="3" s="1"/>
  <c r="M272" i="3" s="1"/>
  <c r="J272" i="3"/>
  <c r="J271" i="3"/>
  <c r="F270" i="3"/>
  <c r="G160" i="6"/>
  <c r="C160" i="6"/>
  <c r="D160" i="6"/>
  <c r="I160" i="6"/>
  <c r="J160" i="6" s="1"/>
  <c r="I159" i="6"/>
  <c r="J159" i="6" s="1"/>
  <c r="G159" i="6"/>
  <c r="D159" i="6"/>
  <c r="C159" i="6"/>
  <c r="B159" i="6"/>
  <c r="I269" i="3"/>
  <c r="K269" i="3" s="1"/>
  <c r="L269" i="3" s="1"/>
  <c r="M270" i="3" s="1"/>
  <c r="B269" i="3"/>
  <c r="E160" i="6" l="1"/>
  <c r="F161" i="6" s="1"/>
  <c r="M271" i="3"/>
  <c r="J270" i="3"/>
  <c r="E159" i="6"/>
  <c r="K159" i="6"/>
  <c r="K160" i="6"/>
  <c r="C268" i="3"/>
  <c r="E268" i="3" s="1"/>
  <c r="F269" i="3" s="1"/>
  <c r="B268" i="3"/>
  <c r="I268" i="3"/>
  <c r="K268" i="3" s="1"/>
  <c r="L268" i="3" s="1"/>
  <c r="M269" i="3" s="1"/>
  <c r="G158" i="6"/>
  <c r="C158" i="6"/>
  <c r="B158" i="6"/>
  <c r="D158" i="6"/>
  <c r="I158" i="6"/>
  <c r="J158" i="6" s="1"/>
  <c r="C267" i="3"/>
  <c r="E267" i="3" s="1"/>
  <c r="B267" i="3"/>
  <c r="I267" i="3"/>
  <c r="K267" i="3" s="1"/>
  <c r="L267" i="3" s="1"/>
  <c r="G157" i="6"/>
  <c r="C157" i="6"/>
  <c r="B157" i="6"/>
  <c r="D157" i="6"/>
  <c r="I157" i="6"/>
  <c r="J157" i="6" s="1"/>
  <c r="C266" i="3"/>
  <c r="E266" i="3" s="1"/>
  <c r="B266" i="3"/>
  <c r="I266" i="3"/>
  <c r="G156" i="6"/>
  <c r="C156" i="6"/>
  <c r="B156" i="6"/>
  <c r="D156" i="6"/>
  <c r="I156" i="6"/>
  <c r="J156" i="6" s="1"/>
  <c r="C265" i="3"/>
  <c r="E265" i="3" s="1"/>
  <c r="B265" i="3"/>
  <c r="I265" i="3"/>
  <c r="G155" i="6"/>
  <c r="C155" i="6"/>
  <c r="B155" i="6"/>
  <c r="D155" i="6"/>
  <c r="I155" i="6"/>
  <c r="J155" i="6" s="1"/>
  <c r="C264" i="3"/>
  <c r="E264" i="3" s="1"/>
  <c r="B264" i="3"/>
  <c r="I264" i="3"/>
  <c r="K264" i="3" s="1"/>
  <c r="L264" i="3" s="1"/>
  <c r="G154" i="6"/>
  <c r="C154" i="6"/>
  <c r="B154" i="6"/>
  <c r="D154" i="6"/>
  <c r="I154" i="6"/>
  <c r="J154" i="6" s="1"/>
  <c r="K154" i="6" s="1"/>
  <c r="R47" i="4"/>
  <c r="Q59" i="4"/>
  <c r="P59" i="4"/>
  <c r="Q58" i="4"/>
  <c r="P58" i="4"/>
  <c r="R58" i="4" s="1"/>
  <c r="Q57" i="4"/>
  <c r="P57" i="4"/>
  <c r="K59" i="4"/>
  <c r="J59" i="4"/>
  <c r="K58" i="4"/>
  <c r="J58" i="4"/>
  <c r="K57" i="4"/>
  <c r="J57" i="4"/>
  <c r="E59" i="4"/>
  <c r="D59" i="4"/>
  <c r="E58" i="4"/>
  <c r="D58" i="4"/>
  <c r="G58" i="4" s="1"/>
  <c r="E57" i="4"/>
  <c r="D57" i="4"/>
  <c r="G352" i="3"/>
  <c r="G351" i="3"/>
  <c r="I263" i="3"/>
  <c r="I262" i="3"/>
  <c r="C263" i="3"/>
  <c r="E263" i="3" s="1"/>
  <c r="B263" i="3"/>
  <c r="B262" i="3"/>
  <c r="C262" i="3"/>
  <c r="E262" i="3" s="1"/>
  <c r="G153" i="6"/>
  <c r="C153" i="6"/>
  <c r="B153" i="6"/>
  <c r="G152" i="6"/>
  <c r="R57" i="4" l="1"/>
  <c r="R59" i="4"/>
  <c r="L59" i="4"/>
  <c r="M58" i="4"/>
  <c r="L160" i="6"/>
  <c r="L161" i="6"/>
  <c r="E156" i="6"/>
  <c r="L58" i="4"/>
  <c r="G59" i="4"/>
  <c r="F58" i="4"/>
  <c r="F160" i="6"/>
  <c r="F267" i="3"/>
  <c r="J263" i="3"/>
  <c r="J269" i="3"/>
  <c r="F59" i="4"/>
  <c r="M59" i="4"/>
  <c r="E158" i="6"/>
  <c r="F159" i="6" s="1"/>
  <c r="K158" i="6"/>
  <c r="L159" i="6" s="1"/>
  <c r="M268" i="3"/>
  <c r="K157" i="6"/>
  <c r="F268" i="3"/>
  <c r="J268" i="3"/>
  <c r="J266" i="3"/>
  <c r="F266" i="3"/>
  <c r="J267" i="3"/>
  <c r="J265" i="3"/>
  <c r="K266" i="3"/>
  <c r="L266" i="3" s="1"/>
  <c r="M267" i="3" s="1"/>
  <c r="E157" i="6"/>
  <c r="E155" i="6"/>
  <c r="F265" i="3"/>
  <c r="J264" i="3"/>
  <c r="K156" i="6"/>
  <c r="K265" i="3"/>
  <c r="L265" i="3" s="1"/>
  <c r="M265" i="3" s="1"/>
  <c r="F264" i="3"/>
  <c r="K155" i="6"/>
  <c r="L155" i="6" s="1"/>
  <c r="E154" i="6"/>
  <c r="K262" i="3"/>
  <c r="L262" i="3" s="1"/>
  <c r="F263" i="3"/>
  <c r="K263" i="3"/>
  <c r="L263" i="3" s="1"/>
  <c r="M264" i="3" s="1"/>
  <c r="F156" i="6" l="1"/>
  <c r="F157" i="6"/>
  <c r="L156" i="6"/>
  <c r="L157" i="6"/>
  <c r="L158" i="6"/>
  <c r="F158" i="6"/>
  <c r="M266" i="3"/>
  <c r="F155" i="6"/>
  <c r="M263" i="3"/>
  <c r="I153" i="6" l="1"/>
  <c r="J153" i="6" s="1"/>
  <c r="I152" i="6"/>
  <c r="J152" i="6" s="1"/>
  <c r="B152" i="6"/>
  <c r="C152" i="6"/>
  <c r="D152" i="6"/>
  <c r="D153" i="6"/>
  <c r="E153" i="6" s="1"/>
  <c r="H350" i="3"/>
  <c r="I350" i="3" s="1"/>
  <c r="H352" i="3"/>
  <c r="I352" i="3" s="1"/>
  <c r="H351" i="3"/>
  <c r="I351" i="3" s="1"/>
  <c r="H349" i="3"/>
  <c r="I349" i="3" s="1"/>
  <c r="H348" i="3"/>
  <c r="I348" i="3" s="1"/>
  <c r="E152" i="6" l="1"/>
  <c r="F153" i="6" s="1"/>
  <c r="F154" i="6"/>
  <c r="K152" i="6"/>
  <c r="K153" i="6"/>
  <c r="L154" i="6" s="1"/>
  <c r="C261" i="3"/>
  <c r="E261" i="3" s="1"/>
  <c r="F262" i="3" s="1"/>
  <c r="B261" i="3"/>
  <c r="I261" i="3"/>
  <c r="I151" i="6"/>
  <c r="J151" i="6" s="1"/>
  <c r="G151" i="6"/>
  <c r="C151" i="6"/>
  <c r="B151" i="6"/>
  <c r="D151" i="6"/>
  <c r="C260" i="3"/>
  <c r="E260" i="3" s="1"/>
  <c r="B260" i="3"/>
  <c r="I260" i="3"/>
  <c r="G150" i="6"/>
  <c r="C150" i="6"/>
  <c r="B150" i="6"/>
  <c r="E151" i="6" l="1"/>
  <c r="F152" i="6" s="1"/>
  <c r="K151" i="6"/>
  <c r="L152" i="6" s="1"/>
  <c r="K261" i="3"/>
  <c r="L261" i="3" s="1"/>
  <c r="M262" i="3" s="1"/>
  <c r="J262" i="3"/>
  <c r="L153" i="6"/>
  <c r="J261" i="3"/>
  <c r="F261" i="3"/>
  <c r="K260" i="3"/>
  <c r="L260" i="3" s="1"/>
  <c r="D150" i="6"/>
  <c r="E150" i="6" s="1"/>
  <c r="I150" i="6"/>
  <c r="J150" i="6" s="1"/>
  <c r="G259" i="3"/>
  <c r="I259" i="3" s="1"/>
  <c r="J260" i="3" s="1"/>
  <c r="C259" i="3"/>
  <c r="E259" i="3" s="1"/>
  <c r="B259" i="3"/>
  <c r="G149" i="6"/>
  <c r="C149" i="6"/>
  <c r="B149" i="6"/>
  <c r="D149" i="6"/>
  <c r="I149" i="6"/>
  <c r="J149" i="6" s="1"/>
  <c r="G148" i="6"/>
  <c r="C148" i="6"/>
  <c r="B148" i="6"/>
  <c r="D148" i="6"/>
  <c r="I148" i="6"/>
  <c r="J148" i="6" s="1"/>
  <c r="G258" i="3"/>
  <c r="I258" i="3" s="1"/>
  <c r="C258" i="3"/>
  <c r="E258" i="3" s="1"/>
  <c r="B258" i="3"/>
  <c r="K148" i="6" l="1"/>
  <c r="E148" i="6"/>
  <c r="F151" i="6"/>
  <c r="E149" i="6"/>
  <c r="F149" i="6" s="1"/>
  <c r="M261" i="3"/>
  <c r="F259" i="3"/>
  <c r="F260" i="3"/>
  <c r="K150" i="6"/>
  <c r="J259" i="3"/>
  <c r="K259" i="3"/>
  <c r="L259" i="3" s="1"/>
  <c r="M260" i="3" s="1"/>
  <c r="K149" i="6"/>
  <c r="K258" i="3"/>
  <c r="L258" i="3" s="1"/>
  <c r="G257" i="3"/>
  <c r="I257" i="3" s="1"/>
  <c r="J258" i="3" s="1"/>
  <c r="C257" i="3"/>
  <c r="E257" i="3" s="1"/>
  <c r="F258" i="3" s="1"/>
  <c r="B257" i="3"/>
  <c r="G147" i="6"/>
  <c r="C147" i="6"/>
  <c r="B147" i="6"/>
  <c r="D147" i="6"/>
  <c r="I147" i="6"/>
  <c r="J147" i="6" s="1"/>
  <c r="K256" i="3"/>
  <c r="L256" i="3" s="1"/>
  <c r="G256" i="3"/>
  <c r="I256" i="3" s="1"/>
  <c r="C256" i="3"/>
  <c r="E256" i="3" s="1"/>
  <c r="B256" i="3"/>
  <c r="I146" i="6"/>
  <c r="J146" i="6" s="1"/>
  <c r="G146" i="6"/>
  <c r="D146" i="6"/>
  <c r="C146" i="6"/>
  <c r="E146" i="6" s="1"/>
  <c r="B146" i="6"/>
  <c r="E147" i="6" l="1"/>
  <c r="L149" i="6"/>
  <c r="L150" i="6"/>
  <c r="L151" i="6"/>
  <c r="F150" i="6"/>
  <c r="M259" i="3"/>
  <c r="F147" i="6"/>
  <c r="F148" i="6"/>
  <c r="K257" i="3"/>
  <c r="L257" i="3" s="1"/>
  <c r="M258" i="3" s="1"/>
  <c r="K147" i="6"/>
  <c r="F257" i="3"/>
  <c r="J257" i="3"/>
  <c r="K146" i="6"/>
  <c r="G355" i="3"/>
  <c r="H355" i="3" s="1"/>
  <c r="I355" i="3" s="1"/>
  <c r="G354" i="3"/>
  <c r="H354" i="3" s="1"/>
  <c r="I354" i="3" s="1"/>
  <c r="B255" i="3"/>
  <c r="E255" i="3"/>
  <c r="I255" i="3"/>
  <c r="K255" i="3"/>
  <c r="L255" i="3" s="1"/>
  <c r="M256" i="3" s="1"/>
  <c r="G145" i="6"/>
  <c r="C145" i="6"/>
  <c r="B145" i="6"/>
  <c r="D145" i="6"/>
  <c r="I145" i="6"/>
  <c r="J145" i="6" s="1"/>
  <c r="K145" i="6" l="1"/>
  <c r="L146" i="6" s="1"/>
  <c r="L147" i="6"/>
  <c r="L148" i="6"/>
  <c r="M257" i="3"/>
  <c r="E145" i="6"/>
  <c r="F146" i="6"/>
  <c r="J256" i="3"/>
  <c r="F256" i="3"/>
  <c r="B254" i="3"/>
  <c r="E254" i="3"/>
  <c r="F255" i="3" s="1"/>
  <c r="I254" i="3"/>
  <c r="J255" i="3" s="1"/>
  <c r="K254" i="3"/>
  <c r="L254" i="3" s="1"/>
  <c r="M255" i="3" s="1"/>
  <c r="G144" i="6"/>
  <c r="C144" i="6"/>
  <c r="B144" i="6"/>
  <c r="D144" i="6"/>
  <c r="I144" i="6"/>
  <c r="J144" i="6"/>
  <c r="E144" i="6" l="1"/>
  <c r="F145" i="6" s="1"/>
  <c r="K144" i="6"/>
  <c r="L145" i="6" s="1"/>
  <c r="B253" i="3"/>
  <c r="E253" i="3"/>
  <c r="F254" i="3" s="1"/>
  <c r="I253" i="3"/>
  <c r="J254" i="3" s="1"/>
  <c r="K253" i="3"/>
  <c r="L253" i="3" s="1"/>
  <c r="M254" i="3" s="1"/>
  <c r="G143" i="6"/>
  <c r="C143" i="6"/>
  <c r="B143" i="6"/>
  <c r="D143" i="6"/>
  <c r="I143" i="6"/>
  <c r="J143" i="6" s="1"/>
  <c r="E143" i="6" l="1"/>
  <c r="K143" i="6"/>
  <c r="F144" i="6"/>
  <c r="B252" i="3"/>
  <c r="E252" i="3"/>
  <c r="I252" i="3"/>
  <c r="J253" i="3" s="1"/>
  <c r="K252" i="3"/>
  <c r="L252" i="3" s="1"/>
  <c r="M253" i="3" s="1"/>
  <c r="G142" i="6"/>
  <c r="C142" i="6"/>
  <c r="B142" i="6"/>
  <c r="D142" i="6"/>
  <c r="I142" i="6"/>
  <c r="J142" i="6" s="1"/>
  <c r="K142" i="6" l="1"/>
  <c r="L143" i="6" s="1"/>
  <c r="F253" i="3"/>
  <c r="L144" i="6"/>
  <c r="E142" i="6"/>
  <c r="B251" i="3"/>
  <c r="F143" i="6" l="1"/>
  <c r="E251" i="3"/>
  <c r="F252" i="3" s="1"/>
  <c r="I251" i="3"/>
  <c r="J252" i="3" s="1"/>
  <c r="K251" i="3"/>
  <c r="L251" i="3" s="1"/>
  <c r="M252" i="3" s="1"/>
  <c r="G141" i="6"/>
  <c r="C141" i="6"/>
  <c r="B141" i="6"/>
  <c r="D141" i="6"/>
  <c r="I141" i="6"/>
  <c r="J141" i="6" s="1"/>
  <c r="E141" i="6" l="1"/>
  <c r="F142" i="6" s="1"/>
  <c r="K141" i="6"/>
  <c r="L142" i="6" s="1"/>
  <c r="B250" i="3"/>
  <c r="E250" i="3"/>
  <c r="I250" i="3"/>
  <c r="J251" i="3" s="1"/>
  <c r="K250" i="3"/>
  <c r="L250" i="3" s="1"/>
  <c r="M251" i="3" s="1"/>
  <c r="G140" i="6"/>
  <c r="C140" i="6"/>
  <c r="B140" i="6"/>
  <c r="D140" i="6"/>
  <c r="I140" i="6"/>
  <c r="J140" i="6" s="1"/>
  <c r="E140" i="6" l="1"/>
  <c r="F141" i="6" s="1"/>
  <c r="K140" i="6"/>
  <c r="L141" i="6" s="1"/>
  <c r="F251" i="3"/>
  <c r="B249" i="3"/>
  <c r="E249" i="3"/>
  <c r="F250" i="3" s="1"/>
  <c r="I249" i="3"/>
  <c r="J250" i="3" s="1"/>
  <c r="K249" i="3"/>
  <c r="L249" i="3" s="1"/>
  <c r="M250" i="3" s="1"/>
  <c r="G139" i="6"/>
  <c r="C139" i="6"/>
  <c r="B139" i="6"/>
  <c r="D139" i="6"/>
  <c r="I139" i="6"/>
  <c r="J139" i="6" s="1"/>
  <c r="E139" i="6" l="1"/>
  <c r="F140" i="6" s="1"/>
  <c r="K139" i="6"/>
  <c r="L140" i="6" s="1"/>
  <c r="B248" i="3"/>
  <c r="E248" i="3"/>
  <c r="F249" i="3" s="1"/>
  <c r="I248" i="3"/>
  <c r="J249" i="3" s="1"/>
  <c r="K248" i="3"/>
  <c r="L248" i="3" s="1"/>
  <c r="G138" i="6"/>
  <c r="C138" i="6"/>
  <c r="B138" i="6"/>
  <c r="D138" i="6"/>
  <c r="I138" i="6"/>
  <c r="J138" i="6" s="1"/>
  <c r="M249" i="3" l="1"/>
  <c r="K138" i="6"/>
  <c r="E138" i="6"/>
  <c r="B247" i="3"/>
  <c r="E247" i="3"/>
  <c r="F248" i="3" s="1"/>
  <c r="I247" i="3"/>
  <c r="K247" i="3"/>
  <c r="L247" i="3" s="1"/>
  <c r="M248" i="3" s="1"/>
  <c r="G137" i="6"/>
  <c r="C137" i="6"/>
  <c r="B137" i="6"/>
  <c r="D137" i="6"/>
  <c r="I137" i="6"/>
  <c r="J137" i="6" s="1"/>
  <c r="E137" i="6" l="1"/>
  <c r="F138" i="6" s="1"/>
  <c r="F139" i="6"/>
  <c r="L139" i="6"/>
  <c r="J248" i="3"/>
  <c r="K137" i="6"/>
  <c r="L138" i="6" s="1"/>
  <c r="B246" i="3"/>
  <c r="E246" i="3"/>
  <c r="F247" i="3" s="1"/>
  <c r="I246" i="3"/>
  <c r="K246" i="3"/>
  <c r="L246" i="3" s="1"/>
  <c r="G136" i="6"/>
  <c r="C136" i="6"/>
  <c r="B136" i="6"/>
  <c r="D136" i="6"/>
  <c r="I136" i="6"/>
  <c r="J136" i="6" s="1"/>
  <c r="E136" i="6" l="1"/>
  <c r="F137" i="6" s="1"/>
  <c r="K136" i="6"/>
  <c r="L137" i="6" s="1"/>
  <c r="M247" i="3"/>
  <c r="J247" i="3"/>
  <c r="B245" i="3"/>
  <c r="E245" i="3"/>
  <c r="I245" i="3"/>
  <c r="J246" i="3" s="1"/>
  <c r="K245" i="3"/>
  <c r="L245" i="3" s="1"/>
  <c r="G135" i="6"/>
  <c r="C135" i="6"/>
  <c r="B135" i="6"/>
  <c r="D135" i="6"/>
  <c r="I135" i="6"/>
  <c r="J135" i="6" s="1"/>
  <c r="F246" i="3" l="1"/>
  <c r="M246" i="3"/>
  <c r="K135" i="6"/>
  <c r="E135" i="6"/>
  <c r="B244" i="3"/>
  <c r="E244" i="3"/>
  <c r="I244" i="3"/>
  <c r="J245" i="3" s="1"/>
  <c r="K244" i="3"/>
  <c r="L244" i="3" s="1"/>
  <c r="M245" i="3" s="1"/>
  <c r="G134" i="6"/>
  <c r="C134" i="6"/>
  <c r="B134" i="6"/>
  <c r="D134" i="6"/>
  <c r="I134" i="6"/>
  <c r="J134" i="6" s="1"/>
  <c r="E134" i="6" l="1"/>
  <c r="K134" i="6"/>
  <c r="L135" i="6"/>
  <c r="L136" i="6"/>
  <c r="F135" i="6"/>
  <c r="F136" i="6"/>
  <c r="F245" i="3"/>
  <c r="E243" i="3"/>
  <c r="I243" i="3"/>
  <c r="J244" i="3" s="1"/>
  <c r="K243" i="3"/>
  <c r="L243" i="3" s="1"/>
  <c r="M244" i="3" s="1"/>
  <c r="B243" i="3"/>
  <c r="G133" i="6"/>
  <c r="C133" i="6"/>
  <c r="B133" i="6"/>
  <c r="D133" i="6"/>
  <c r="I133" i="6"/>
  <c r="J133" i="6" s="1"/>
  <c r="E133" i="6" l="1"/>
  <c r="F134" i="6" s="1"/>
  <c r="K133" i="6"/>
  <c r="L134" i="6" s="1"/>
  <c r="F244" i="3"/>
  <c r="B242" i="3"/>
  <c r="E242" i="3"/>
  <c r="F243" i="3" s="1"/>
  <c r="I242" i="3"/>
  <c r="J243" i="3" s="1"/>
  <c r="K242" i="3"/>
  <c r="L242" i="3" s="1"/>
  <c r="M243" i="3" s="1"/>
  <c r="G132" i="6"/>
  <c r="C132" i="6"/>
  <c r="B132" i="6"/>
  <c r="D132" i="6"/>
  <c r="I132" i="6"/>
  <c r="J132" i="6" s="1"/>
  <c r="E132" i="6" l="1"/>
  <c r="F133" i="6" s="1"/>
  <c r="K132" i="6"/>
  <c r="L133" i="6" s="1"/>
  <c r="B241" i="3"/>
  <c r="E241" i="3"/>
  <c r="F242" i="3" s="1"/>
  <c r="I241" i="3"/>
  <c r="J242" i="3" s="1"/>
  <c r="K241" i="3"/>
  <c r="L241" i="3" s="1"/>
  <c r="M242" i="3" s="1"/>
  <c r="G131" i="6"/>
  <c r="C131" i="6"/>
  <c r="B131" i="6"/>
  <c r="D131" i="6"/>
  <c r="I131" i="6"/>
  <c r="J131" i="6" s="1"/>
  <c r="K131" i="6" l="1"/>
  <c r="L132" i="6" s="1"/>
  <c r="E131" i="6"/>
  <c r="B240" i="3"/>
  <c r="G130" i="6"/>
  <c r="C130" i="6"/>
  <c r="B130" i="6"/>
  <c r="F132" i="6" l="1"/>
  <c r="B239" i="3"/>
  <c r="E239" i="3"/>
  <c r="I239" i="3"/>
  <c r="K239" i="3"/>
  <c r="L239" i="3" s="1"/>
  <c r="E240" i="3"/>
  <c r="F241" i="3" s="1"/>
  <c r="I240" i="3"/>
  <c r="K240" i="3"/>
  <c r="L240" i="3" s="1"/>
  <c r="M241" i="3" s="1"/>
  <c r="G129" i="6"/>
  <c r="C129" i="6"/>
  <c r="B129" i="6"/>
  <c r="J240" i="3" l="1"/>
  <c r="J241" i="3"/>
  <c r="M240" i="3"/>
  <c r="F240" i="3"/>
  <c r="D129" i="6" l="1"/>
  <c r="E129" i="6" s="1"/>
  <c r="I129" i="6"/>
  <c r="J129" i="6" s="1"/>
  <c r="K129" i="6" s="1"/>
  <c r="D130" i="6"/>
  <c r="E130" i="6" s="1"/>
  <c r="I130" i="6"/>
  <c r="J130" i="6" s="1"/>
  <c r="K130" i="6" s="1"/>
  <c r="L131" i="6" s="1"/>
  <c r="F130" i="6" l="1"/>
  <c r="F131" i="6"/>
  <c r="L130" i="6"/>
  <c r="G128" i="6" l="1"/>
  <c r="C128" i="6"/>
  <c r="D128" i="6"/>
  <c r="I128" i="6"/>
  <c r="J128" i="6" s="1"/>
  <c r="B128" i="6"/>
  <c r="K238" i="3"/>
  <c r="L238" i="3" s="1"/>
  <c r="M239" i="3" s="1"/>
  <c r="B238" i="3"/>
  <c r="E238" i="3"/>
  <c r="F239" i="3" s="1"/>
  <c r="I238" i="3"/>
  <c r="J239" i="3" s="1"/>
  <c r="K128" i="6" l="1"/>
  <c r="L129" i="6" s="1"/>
  <c r="E128" i="6"/>
  <c r="F129" i="6" s="1"/>
  <c r="B237" i="3"/>
  <c r="B127" i="6"/>
  <c r="E237" i="3"/>
  <c r="I237" i="3"/>
  <c r="J238" i="3" s="1"/>
  <c r="L237" i="3"/>
  <c r="M238" i="3" s="1"/>
  <c r="G127" i="6"/>
  <c r="C127" i="6"/>
  <c r="D127" i="6"/>
  <c r="C126" i="6"/>
  <c r="D126" i="6"/>
  <c r="I127" i="6"/>
  <c r="J127" i="6" s="1"/>
  <c r="G126" i="6"/>
  <c r="I126" i="6"/>
  <c r="J126" i="6"/>
  <c r="B236" i="3"/>
  <c r="B126" i="6"/>
  <c r="G125" i="6"/>
  <c r="C125" i="6"/>
  <c r="B125" i="6"/>
  <c r="B235" i="3"/>
  <c r="B234" i="3"/>
  <c r="G124" i="6"/>
  <c r="K124" i="6" s="1"/>
  <c r="C124" i="6"/>
  <c r="B124" i="6"/>
  <c r="I124" i="6"/>
  <c r="J124" i="6" s="1"/>
  <c r="I125" i="6"/>
  <c r="J125" i="6" s="1"/>
  <c r="D125" i="6"/>
  <c r="G123" i="6"/>
  <c r="I123" i="6"/>
  <c r="J123" i="6" s="1"/>
  <c r="D124" i="6"/>
  <c r="C123" i="6"/>
  <c r="D123" i="6"/>
  <c r="L236" i="3"/>
  <c r="I236" i="3"/>
  <c r="I235" i="3"/>
  <c r="E236" i="3"/>
  <c r="L235" i="3"/>
  <c r="E235" i="3"/>
  <c r="L234" i="3"/>
  <c r="L233" i="3"/>
  <c r="I234" i="3"/>
  <c r="I233" i="3"/>
  <c r="E234" i="3"/>
  <c r="E233" i="3"/>
  <c r="L232" i="3"/>
  <c r="L231" i="3"/>
  <c r="I232" i="3"/>
  <c r="E232" i="3"/>
  <c r="E231" i="3"/>
  <c r="B233" i="3"/>
  <c r="G122" i="6"/>
  <c r="I122" i="6"/>
  <c r="J122" i="6" s="1"/>
  <c r="C122" i="6"/>
  <c r="D122" i="6"/>
  <c r="B123" i="6"/>
  <c r="L230" i="3"/>
  <c r="L229" i="3"/>
  <c r="I230" i="3"/>
  <c r="I229" i="3"/>
  <c r="I231" i="3"/>
  <c r="E230" i="3"/>
  <c r="B232" i="3"/>
  <c r="G121" i="6"/>
  <c r="I121" i="6"/>
  <c r="J121" i="6" s="1"/>
  <c r="G120" i="6"/>
  <c r="I120" i="6"/>
  <c r="J120" i="6" s="1"/>
  <c r="G119" i="6"/>
  <c r="I119" i="6"/>
  <c r="J119" i="6" s="1"/>
  <c r="C120" i="6"/>
  <c r="D120" i="6"/>
  <c r="C119" i="6"/>
  <c r="D119" i="6"/>
  <c r="C121" i="6"/>
  <c r="D121" i="6"/>
  <c r="B122" i="6"/>
  <c r="E229" i="3"/>
  <c r="G117" i="6"/>
  <c r="I117" i="6"/>
  <c r="J117" i="6" s="1"/>
  <c r="G116" i="6"/>
  <c r="I116" i="6"/>
  <c r="J116" i="6" s="1"/>
  <c r="G118" i="6"/>
  <c r="I118" i="6"/>
  <c r="J118" i="6" s="1"/>
  <c r="C118" i="6"/>
  <c r="D118" i="6"/>
  <c r="C117" i="6"/>
  <c r="D117" i="6"/>
  <c r="B121" i="6"/>
  <c r="B231" i="3"/>
  <c r="B230" i="3"/>
  <c r="B120" i="6"/>
  <c r="B119" i="6"/>
  <c r="B229" i="3"/>
  <c r="B118" i="6"/>
  <c r="B228" i="3"/>
  <c r="L228" i="3"/>
  <c r="I228" i="3"/>
  <c r="E228" i="3"/>
  <c r="B227" i="3"/>
  <c r="B226" i="3"/>
  <c r="B225" i="3"/>
  <c r="B117" i="6"/>
  <c r="L227" i="3"/>
  <c r="I227" i="3"/>
  <c r="E227" i="3"/>
  <c r="C116" i="6"/>
  <c r="D116" i="6"/>
  <c r="L226" i="3"/>
  <c r="I224" i="3"/>
  <c r="I226" i="3"/>
  <c r="E226" i="3"/>
  <c r="G113" i="6"/>
  <c r="I113" i="6"/>
  <c r="J113" i="6" s="1"/>
  <c r="G112" i="6"/>
  <c r="I112" i="6"/>
  <c r="J112" i="6" s="1"/>
  <c r="G114" i="6"/>
  <c r="I114" i="6"/>
  <c r="J114" i="6" s="1"/>
  <c r="G115" i="6"/>
  <c r="I115" i="6"/>
  <c r="J115" i="6" s="1"/>
  <c r="C115" i="6"/>
  <c r="D115" i="6"/>
  <c r="B116" i="6"/>
  <c r="L225" i="3"/>
  <c r="G225" i="3"/>
  <c r="I225" i="3" s="1"/>
  <c r="E225" i="3"/>
  <c r="C114" i="6"/>
  <c r="D114" i="6"/>
  <c r="B115" i="6"/>
  <c r="E224" i="3"/>
  <c r="L224" i="3"/>
  <c r="B224" i="3"/>
  <c r="C113" i="6"/>
  <c r="D113" i="6"/>
  <c r="B114" i="6"/>
  <c r="L223" i="3"/>
  <c r="I223" i="3"/>
  <c r="E223" i="3"/>
  <c r="B223" i="3"/>
  <c r="C112" i="6"/>
  <c r="D112" i="6"/>
  <c r="G111" i="6"/>
  <c r="B113" i="6"/>
  <c r="B112" i="6"/>
  <c r="L222" i="3"/>
  <c r="I222" i="3"/>
  <c r="E222" i="3"/>
  <c r="B222" i="3"/>
  <c r="L221" i="3"/>
  <c r="I221" i="3"/>
  <c r="E221" i="3"/>
  <c r="B221" i="3"/>
  <c r="I111" i="6"/>
  <c r="J111" i="6" s="1"/>
  <c r="D111" i="6"/>
  <c r="C111" i="6"/>
  <c r="B111" i="6"/>
  <c r="G110" i="6"/>
  <c r="I110" i="6"/>
  <c r="J110" i="6" s="1"/>
  <c r="D110" i="6"/>
  <c r="C110" i="6"/>
  <c r="B110" i="6"/>
  <c r="L220" i="3"/>
  <c r="I220" i="3"/>
  <c r="E220" i="3"/>
  <c r="B220" i="3"/>
  <c r="I108" i="6"/>
  <c r="J108" i="6" s="1"/>
  <c r="I107" i="6"/>
  <c r="J107" i="6" s="1"/>
  <c r="I109" i="6"/>
  <c r="J109" i="6" s="1"/>
  <c r="G109" i="6"/>
  <c r="D109" i="6"/>
  <c r="C109" i="6"/>
  <c r="B109" i="6"/>
  <c r="L219" i="3"/>
  <c r="I219" i="3"/>
  <c r="E219" i="3"/>
  <c r="B219" i="3"/>
  <c r="L218" i="3"/>
  <c r="I218" i="3"/>
  <c r="E218" i="3"/>
  <c r="B218" i="3"/>
  <c r="G108" i="6"/>
  <c r="D108" i="6"/>
  <c r="C108" i="6"/>
  <c r="B108" i="6"/>
  <c r="G107" i="6"/>
  <c r="C107" i="6"/>
  <c r="B107" i="6"/>
  <c r="D107" i="6"/>
  <c r="B217" i="3"/>
  <c r="L217" i="3"/>
  <c r="I217" i="3"/>
  <c r="E217" i="3"/>
  <c r="G106" i="6"/>
  <c r="I106" i="6"/>
  <c r="J106" i="6" s="1"/>
  <c r="D106" i="6"/>
  <c r="C106" i="6"/>
  <c r="B106" i="6"/>
  <c r="L216" i="3"/>
  <c r="I216" i="3"/>
  <c r="E216" i="3"/>
  <c r="B216" i="3"/>
  <c r="I104" i="6"/>
  <c r="J104" i="6" s="1"/>
  <c r="I105" i="6"/>
  <c r="J105" i="6" s="1"/>
  <c r="L215" i="3"/>
  <c r="I215" i="3"/>
  <c r="E215" i="3"/>
  <c r="B215" i="3"/>
  <c r="G105" i="6"/>
  <c r="C105" i="6"/>
  <c r="D105" i="6"/>
  <c r="B105" i="6"/>
  <c r="G104" i="6"/>
  <c r="D104" i="6"/>
  <c r="C104" i="6"/>
  <c r="B104" i="6"/>
  <c r="L214" i="3"/>
  <c r="I214" i="3"/>
  <c r="E214" i="3"/>
  <c r="B214" i="3"/>
  <c r="L213" i="3"/>
  <c r="I213" i="3"/>
  <c r="E213" i="3"/>
  <c r="B213" i="3"/>
  <c r="I103" i="6"/>
  <c r="J103" i="6" s="1"/>
  <c r="G103" i="6"/>
  <c r="D103" i="6"/>
  <c r="C103" i="6"/>
  <c r="B103" i="6"/>
  <c r="L212" i="3"/>
  <c r="I212" i="3"/>
  <c r="E212" i="3"/>
  <c r="B212" i="3"/>
  <c r="I102" i="6"/>
  <c r="J102" i="6" s="1"/>
  <c r="G102" i="6"/>
  <c r="D102" i="6"/>
  <c r="C102" i="6"/>
  <c r="B102" i="6"/>
  <c r="B101" i="6"/>
  <c r="L211" i="3"/>
  <c r="I211" i="3"/>
  <c r="E211" i="3"/>
  <c r="B211" i="3"/>
  <c r="I101" i="6"/>
  <c r="J101" i="6" s="1"/>
  <c r="G101" i="6"/>
  <c r="D101" i="6"/>
  <c r="C101" i="6"/>
  <c r="B100" i="6"/>
  <c r="L210" i="3"/>
  <c r="I210" i="3"/>
  <c r="E210" i="3"/>
  <c r="B210" i="3"/>
  <c r="I100" i="6"/>
  <c r="J100" i="6" s="1"/>
  <c r="G100" i="6"/>
  <c r="D100" i="6"/>
  <c r="C100" i="6"/>
  <c r="L209" i="3"/>
  <c r="I209" i="3"/>
  <c r="E209" i="3"/>
  <c r="B209" i="3"/>
  <c r="G99" i="6"/>
  <c r="C99" i="6"/>
  <c r="D99" i="6"/>
  <c r="B99" i="6"/>
  <c r="I99" i="6"/>
  <c r="J99" i="6" s="1"/>
  <c r="H13" i="6"/>
  <c r="G98" i="6"/>
  <c r="C98" i="6"/>
  <c r="D98" i="6"/>
  <c r="I98" i="6"/>
  <c r="J98" i="6" s="1"/>
  <c r="B98" i="6"/>
  <c r="B208" i="3"/>
  <c r="L208" i="3"/>
  <c r="I208" i="3"/>
  <c r="E208" i="3"/>
  <c r="G97" i="6"/>
  <c r="I97" i="6"/>
  <c r="J97" i="6" s="1"/>
  <c r="C97" i="6"/>
  <c r="B97" i="6"/>
  <c r="D97" i="6"/>
  <c r="B207" i="3"/>
  <c r="L207" i="3"/>
  <c r="I207" i="3"/>
  <c r="E207" i="3"/>
  <c r="G96" i="6"/>
  <c r="C96" i="6"/>
  <c r="D96" i="6"/>
  <c r="I96" i="6"/>
  <c r="J96" i="6" s="1"/>
  <c r="B96" i="6"/>
  <c r="B206" i="3"/>
  <c r="L206" i="3"/>
  <c r="I206" i="3"/>
  <c r="E206" i="3"/>
  <c r="J58" i="5"/>
  <c r="K58" i="5"/>
  <c r="M58" i="5" s="1"/>
  <c r="G95" i="6"/>
  <c r="C95" i="6"/>
  <c r="D95" i="6"/>
  <c r="B95" i="6"/>
  <c r="I95" i="6"/>
  <c r="J95" i="6" s="1"/>
  <c r="B205" i="3"/>
  <c r="E205" i="3"/>
  <c r="I205" i="3"/>
  <c r="L205" i="3"/>
  <c r="L204" i="3"/>
  <c r="I94" i="6"/>
  <c r="J94" i="6" s="1"/>
  <c r="G94" i="6"/>
  <c r="D94" i="6"/>
  <c r="C94" i="6"/>
  <c r="B94" i="6"/>
  <c r="I204" i="3"/>
  <c r="E204" i="3"/>
  <c r="B204" i="3"/>
  <c r="B203" i="3"/>
  <c r="G93" i="6"/>
  <c r="C93" i="6"/>
  <c r="D93" i="6"/>
  <c r="B93" i="6"/>
  <c r="I93" i="6"/>
  <c r="J93" i="6" s="1"/>
  <c r="D203" i="3"/>
  <c r="E203" i="3" s="1"/>
  <c r="I203" i="3"/>
  <c r="K203" i="3"/>
  <c r="L203" i="3" s="1"/>
  <c r="K202" i="3"/>
  <c r="L202" i="3" s="1"/>
  <c r="D202" i="3"/>
  <c r="E202" i="3" s="1"/>
  <c r="B202" i="3"/>
  <c r="I92" i="6"/>
  <c r="J92" i="6" s="1"/>
  <c r="G92" i="6"/>
  <c r="C92" i="6"/>
  <c r="D92" i="6"/>
  <c r="B92" i="6"/>
  <c r="I91" i="6"/>
  <c r="J91" i="6" s="1"/>
  <c r="G91" i="6"/>
  <c r="D91" i="6"/>
  <c r="C91" i="6"/>
  <c r="B91" i="6"/>
  <c r="I202" i="3"/>
  <c r="L201" i="3"/>
  <c r="I201" i="3"/>
  <c r="E201" i="3"/>
  <c r="B201" i="3"/>
  <c r="G90" i="6"/>
  <c r="C90" i="6"/>
  <c r="I90" i="6"/>
  <c r="J90" i="6" s="1"/>
  <c r="D90" i="6"/>
  <c r="B90" i="6"/>
  <c r="G89" i="6"/>
  <c r="C89" i="6"/>
  <c r="B89" i="6"/>
  <c r="I89" i="6"/>
  <c r="J89" i="6" s="1"/>
  <c r="D89" i="6"/>
  <c r="B200" i="3"/>
  <c r="E200" i="3"/>
  <c r="I200" i="3"/>
  <c r="L200" i="3"/>
  <c r="B199" i="3"/>
  <c r="L199" i="3"/>
  <c r="I199" i="3"/>
  <c r="E199" i="3"/>
  <c r="G88" i="6"/>
  <c r="C88" i="6"/>
  <c r="B88" i="6"/>
  <c r="I88" i="6"/>
  <c r="J88" i="6" s="1"/>
  <c r="D88" i="6"/>
  <c r="G87" i="6"/>
  <c r="C87" i="6"/>
  <c r="D87" i="6"/>
  <c r="I87" i="6"/>
  <c r="J87" i="6" s="1"/>
  <c r="B87" i="6"/>
  <c r="L198" i="3"/>
  <c r="I198" i="3"/>
  <c r="E198" i="3"/>
  <c r="B198" i="3"/>
  <c r="G86" i="6"/>
  <c r="C86" i="6"/>
  <c r="B86" i="6"/>
  <c r="I86" i="6"/>
  <c r="J86" i="6" s="1"/>
  <c r="D86" i="6"/>
  <c r="B197" i="3"/>
  <c r="L197" i="3"/>
  <c r="I197" i="3"/>
  <c r="E197" i="3"/>
  <c r="L196" i="3"/>
  <c r="L195" i="3"/>
  <c r="I196" i="3"/>
  <c r="I195" i="3"/>
  <c r="E196" i="3"/>
  <c r="E195" i="3"/>
  <c r="B196" i="3"/>
  <c r="B195" i="3"/>
  <c r="I85" i="6"/>
  <c r="J85" i="6" s="1"/>
  <c r="G85" i="6"/>
  <c r="I84" i="6"/>
  <c r="J84" i="6" s="1"/>
  <c r="G84" i="6"/>
  <c r="D85" i="6"/>
  <c r="C85" i="6"/>
  <c r="B85" i="6"/>
  <c r="I83" i="6"/>
  <c r="J83" i="6" s="1"/>
  <c r="G83" i="6"/>
  <c r="D84" i="6"/>
  <c r="D83" i="6"/>
  <c r="C84" i="6"/>
  <c r="C83" i="6"/>
  <c r="B84" i="6"/>
  <c r="B83" i="6"/>
  <c r="C82" i="6"/>
  <c r="L194" i="3"/>
  <c r="I194" i="3"/>
  <c r="E194" i="3"/>
  <c r="B194" i="3"/>
  <c r="B193" i="3"/>
  <c r="E193" i="3"/>
  <c r="B192" i="3"/>
  <c r="E192" i="3"/>
  <c r="I82" i="6"/>
  <c r="J82" i="6" s="1"/>
  <c r="G82" i="6"/>
  <c r="I81" i="6"/>
  <c r="J81" i="6" s="1"/>
  <c r="G81" i="6"/>
  <c r="D82" i="6"/>
  <c r="D81" i="6"/>
  <c r="C81" i="6"/>
  <c r="B82" i="6"/>
  <c r="B78" i="6"/>
  <c r="B79" i="6"/>
  <c r="B80" i="6"/>
  <c r="B81" i="6"/>
  <c r="C80" i="6"/>
  <c r="C79" i="6"/>
  <c r="L193" i="3"/>
  <c r="I193" i="3"/>
  <c r="I80" i="6"/>
  <c r="J80" i="6" s="1"/>
  <c r="G80" i="6"/>
  <c r="K191" i="3"/>
  <c r="L191" i="3" s="1"/>
  <c r="L192" i="3"/>
  <c r="E191" i="3"/>
  <c r="B191" i="3"/>
  <c r="I192" i="3"/>
  <c r="E190" i="3"/>
  <c r="B190" i="3"/>
  <c r="I79" i="6"/>
  <c r="J79" i="6" s="1"/>
  <c r="D80" i="6"/>
  <c r="I191" i="3"/>
  <c r="L190" i="3"/>
  <c r="I190" i="3"/>
  <c r="L189" i="3"/>
  <c r="I189" i="3"/>
  <c r="E189" i="3"/>
  <c r="B189" i="3"/>
  <c r="D79" i="6"/>
  <c r="G79" i="6"/>
  <c r="I78" i="6"/>
  <c r="J78" i="6" s="1"/>
  <c r="C78" i="6"/>
  <c r="G78" i="6"/>
  <c r="D78" i="6"/>
  <c r="G77" i="6"/>
  <c r="C77" i="6"/>
  <c r="B77" i="6"/>
  <c r="D77" i="6"/>
  <c r="I77" i="6"/>
  <c r="J77" i="6" s="1"/>
  <c r="B188" i="3"/>
  <c r="E188" i="3"/>
  <c r="I188" i="3"/>
  <c r="L188" i="3"/>
  <c r="G76" i="6"/>
  <c r="C76" i="6"/>
  <c r="B76" i="6"/>
  <c r="B187" i="3"/>
  <c r="D76" i="6"/>
  <c r="I76" i="6"/>
  <c r="J76" i="6" s="1"/>
  <c r="L187" i="3"/>
  <c r="I187" i="3"/>
  <c r="E187" i="3"/>
  <c r="H353" i="3"/>
  <c r="I353" i="3" s="1"/>
  <c r="B186" i="3"/>
  <c r="E186" i="3"/>
  <c r="I186" i="3"/>
  <c r="L186" i="3"/>
  <c r="G75" i="6"/>
  <c r="C75" i="6"/>
  <c r="B75" i="6"/>
  <c r="D75" i="6"/>
  <c r="I75" i="6"/>
  <c r="J75" i="6" s="1"/>
  <c r="B185" i="3"/>
  <c r="E185" i="3"/>
  <c r="I185" i="3"/>
  <c r="L185" i="3"/>
  <c r="G74" i="6"/>
  <c r="C74" i="6"/>
  <c r="D74" i="6"/>
  <c r="B74" i="6"/>
  <c r="I74" i="6"/>
  <c r="J74" i="6" s="1"/>
  <c r="G73" i="6"/>
  <c r="C73" i="6"/>
  <c r="D73" i="6"/>
  <c r="I73" i="6"/>
  <c r="J73" i="6" s="1"/>
  <c r="B73" i="6"/>
  <c r="B184" i="3"/>
  <c r="E184" i="3"/>
  <c r="I184" i="3"/>
  <c r="L184" i="3"/>
  <c r="B183" i="3"/>
  <c r="E183" i="3"/>
  <c r="I183" i="3"/>
  <c r="L183" i="3"/>
  <c r="G72" i="6"/>
  <c r="C72" i="6"/>
  <c r="D72" i="6"/>
  <c r="B72" i="6"/>
  <c r="I72" i="6"/>
  <c r="J72" i="6" s="1"/>
  <c r="B182" i="3"/>
  <c r="E182" i="3"/>
  <c r="I182" i="3"/>
  <c r="L182" i="3"/>
  <c r="G71" i="6"/>
  <c r="C71" i="6"/>
  <c r="B71" i="6"/>
  <c r="D71" i="6"/>
  <c r="I71" i="6"/>
  <c r="J71" i="6" s="1"/>
  <c r="B181" i="3"/>
  <c r="B180" i="3"/>
  <c r="B179" i="3"/>
  <c r="B178" i="3"/>
  <c r="E179" i="3"/>
  <c r="I179" i="3"/>
  <c r="L179" i="3"/>
  <c r="E180" i="3"/>
  <c r="I180" i="3"/>
  <c r="L180" i="3"/>
  <c r="E181" i="3"/>
  <c r="I181" i="3"/>
  <c r="L181" i="3"/>
  <c r="G70" i="6"/>
  <c r="G69" i="6"/>
  <c r="G68" i="6"/>
  <c r="C70" i="6"/>
  <c r="C69" i="6"/>
  <c r="C68" i="6"/>
  <c r="D68" i="6"/>
  <c r="I68" i="6"/>
  <c r="J68" i="6" s="1"/>
  <c r="D69" i="6"/>
  <c r="I69" i="6"/>
  <c r="J69" i="6" s="1"/>
  <c r="D70" i="6"/>
  <c r="I70" i="6"/>
  <c r="J70" i="6" s="1"/>
  <c r="B70" i="6"/>
  <c r="B69" i="6"/>
  <c r="B68" i="6"/>
  <c r="E178" i="3"/>
  <c r="I178" i="3"/>
  <c r="L178" i="3"/>
  <c r="G67" i="6"/>
  <c r="C67" i="6"/>
  <c r="B67" i="6"/>
  <c r="D67" i="6"/>
  <c r="I67" i="6"/>
  <c r="J67" i="6" s="1"/>
  <c r="B177" i="3"/>
  <c r="E177" i="3"/>
  <c r="I177" i="3"/>
  <c r="L177" i="3"/>
  <c r="G66" i="6"/>
  <c r="C66" i="6"/>
  <c r="B66" i="6"/>
  <c r="D66" i="6"/>
  <c r="I66" i="6"/>
  <c r="J66" i="6" s="1"/>
  <c r="B176" i="3"/>
  <c r="E176" i="3"/>
  <c r="I176" i="3"/>
  <c r="L176" i="3"/>
  <c r="G65" i="6"/>
  <c r="C65" i="6"/>
  <c r="I64" i="6"/>
  <c r="J64" i="6" s="1"/>
  <c r="G64" i="6"/>
  <c r="I65" i="6"/>
  <c r="J65" i="6" s="1"/>
  <c r="D65" i="6"/>
  <c r="B65" i="6"/>
  <c r="D64" i="6"/>
  <c r="B174" i="3"/>
  <c r="E174" i="3"/>
  <c r="I174" i="3"/>
  <c r="L174" i="3"/>
  <c r="B175" i="3"/>
  <c r="C64" i="6"/>
  <c r="B64" i="6"/>
  <c r="G63" i="6"/>
  <c r="C63" i="6"/>
  <c r="B63" i="6"/>
  <c r="I63" i="6"/>
  <c r="J63" i="6" s="1"/>
  <c r="D63" i="6"/>
  <c r="L175" i="3"/>
  <c r="I175" i="3"/>
  <c r="E175" i="3"/>
  <c r="B173" i="3"/>
  <c r="E173" i="3"/>
  <c r="I173" i="3"/>
  <c r="L173" i="3"/>
  <c r="G62" i="6"/>
  <c r="C62" i="6"/>
  <c r="D62" i="6"/>
  <c r="I62" i="6"/>
  <c r="J62" i="6" s="1"/>
  <c r="B62" i="6"/>
  <c r="G61" i="6"/>
  <c r="C61" i="6"/>
  <c r="B61" i="6"/>
  <c r="D61" i="6"/>
  <c r="I61" i="6"/>
  <c r="J61" i="6" s="1"/>
  <c r="B172" i="3"/>
  <c r="E172" i="3"/>
  <c r="I172" i="3"/>
  <c r="L172" i="3"/>
  <c r="G60" i="6"/>
  <c r="C60" i="6"/>
  <c r="B60" i="6"/>
  <c r="D60" i="6"/>
  <c r="I60" i="6"/>
  <c r="J60" i="6" s="1"/>
  <c r="B171" i="3"/>
  <c r="E171" i="3"/>
  <c r="I171" i="3"/>
  <c r="L171" i="3"/>
  <c r="B170" i="3"/>
  <c r="L170" i="3"/>
  <c r="I170" i="3"/>
  <c r="E170" i="3"/>
  <c r="G59" i="6"/>
  <c r="C59" i="6"/>
  <c r="D59" i="6"/>
  <c r="B59" i="6"/>
  <c r="I59" i="6"/>
  <c r="J59" i="6" s="1"/>
  <c r="E167" i="3"/>
  <c r="I167" i="3"/>
  <c r="L167" i="3"/>
  <c r="E168" i="3"/>
  <c r="I168" i="3"/>
  <c r="L168" i="3"/>
  <c r="E169" i="3"/>
  <c r="I169" i="3"/>
  <c r="L169" i="3"/>
  <c r="B169" i="3"/>
  <c r="B168" i="3"/>
  <c r="B167" i="3"/>
  <c r="G58" i="6"/>
  <c r="G57" i="6"/>
  <c r="G56" i="6"/>
  <c r="C58" i="6"/>
  <c r="C57" i="6"/>
  <c r="I57" i="6"/>
  <c r="J57" i="6" s="1"/>
  <c r="I56" i="6"/>
  <c r="J56" i="6" s="1"/>
  <c r="I58" i="6"/>
  <c r="J58" i="6" s="1"/>
  <c r="D57" i="6"/>
  <c r="D58" i="6"/>
  <c r="D56" i="6"/>
  <c r="C56" i="6"/>
  <c r="B58" i="6"/>
  <c r="B57" i="6"/>
  <c r="B56" i="6"/>
  <c r="B166" i="3"/>
  <c r="B165" i="3"/>
  <c r="E166" i="3"/>
  <c r="I166" i="3"/>
  <c r="L166" i="3"/>
  <c r="G55" i="6"/>
  <c r="C55" i="6"/>
  <c r="B55" i="6"/>
  <c r="D55" i="6"/>
  <c r="I55" i="6"/>
  <c r="J55" i="6" s="1"/>
  <c r="B164" i="3"/>
  <c r="B163" i="3"/>
  <c r="E164" i="3"/>
  <c r="I164" i="3"/>
  <c r="L164" i="3"/>
  <c r="E165" i="3"/>
  <c r="I165" i="3"/>
  <c r="L165" i="3"/>
  <c r="I54" i="6"/>
  <c r="J54" i="6" s="1"/>
  <c r="G54" i="6"/>
  <c r="C54" i="6"/>
  <c r="B54" i="6"/>
  <c r="I53" i="6"/>
  <c r="J53" i="6" s="1"/>
  <c r="G53" i="6"/>
  <c r="C53" i="6"/>
  <c r="B53" i="6"/>
  <c r="D53" i="6"/>
  <c r="D54" i="6"/>
  <c r="G52" i="6"/>
  <c r="C52" i="6"/>
  <c r="B52" i="6"/>
  <c r="I52" i="6"/>
  <c r="J52" i="6" s="1"/>
  <c r="D52" i="6"/>
  <c r="L163" i="3"/>
  <c r="I163" i="3"/>
  <c r="E163" i="3"/>
  <c r="B162" i="3"/>
  <c r="G51" i="6"/>
  <c r="G50" i="6"/>
  <c r="D51" i="6"/>
  <c r="C51" i="6"/>
  <c r="B51" i="6"/>
  <c r="L162" i="3"/>
  <c r="I162" i="3"/>
  <c r="E162" i="3"/>
  <c r="I51" i="6"/>
  <c r="J51" i="6" s="1"/>
  <c r="C50" i="6"/>
  <c r="D50" i="6"/>
  <c r="B50" i="6"/>
  <c r="I50" i="6"/>
  <c r="J50" i="6" s="1"/>
  <c r="B161" i="3"/>
  <c r="E161" i="3"/>
  <c r="I161" i="3"/>
  <c r="L161" i="3"/>
  <c r="L160" i="3"/>
  <c r="I160" i="3"/>
  <c r="E160" i="3"/>
  <c r="K159" i="3"/>
  <c r="L159" i="3" s="1"/>
  <c r="G159" i="3"/>
  <c r="I159" i="3" s="1"/>
  <c r="C159" i="3"/>
  <c r="E159" i="3" s="1"/>
  <c r="K158" i="3"/>
  <c r="L158" i="3" s="1"/>
  <c r="G158" i="3"/>
  <c r="I158" i="3" s="1"/>
  <c r="C158" i="3"/>
  <c r="E158" i="3" s="1"/>
  <c r="K157" i="3"/>
  <c r="L157" i="3" s="1"/>
  <c r="G157" i="3"/>
  <c r="I157" i="3" s="1"/>
  <c r="C157" i="3"/>
  <c r="E157" i="3" s="1"/>
  <c r="K156" i="3"/>
  <c r="L156" i="3" s="1"/>
  <c r="G156" i="3"/>
  <c r="I156" i="3" s="1"/>
  <c r="C156" i="3"/>
  <c r="E156" i="3" s="1"/>
  <c r="K155" i="3"/>
  <c r="L155" i="3" s="1"/>
  <c r="G155" i="3"/>
  <c r="I155" i="3" s="1"/>
  <c r="C155" i="3"/>
  <c r="E155" i="3" s="1"/>
  <c r="B160" i="3"/>
  <c r="B159" i="3"/>
  <c r="B158" i="3"/>
  <c r="B157" i="3"/>
  <c r="B156" i="3"/>
  <c r="B155" i="3"/>
  <c r="G49" i="6"/>
  <c r="C49" i="6"/>
  <c r="B49" i="6"/>
  <c r="D49" i="6"/>
  <c r="I49" i="6"/>
  <c r="J49" i="6" s="1"/>
  <c r="G48" i="6"/>
  <c r="C48" i="6"/>
  <c r="B48" i="6"/>
  <c r="D48" i="6"/>
  <c r="I48" i="6"/>
  <c r="J48" i="6" s="1"/>
  <c r="I47" i="6"/>
  <c r="J47" i="6" s="1"/>
  <c r="G47" i="6"/>
  <c r="B47" i="6"/>
  <c r="C47" i="6"/>
  <c r="D47" i="6"/>
  <c r="G46" i="6"/>
  <c r="C46" i="6"/>
  <c r="B46" i="6"/>
  <c r="D46" i="6"/>
  <c r="I46" i="6"/>
  <c r="J46" i="6" s="1"/>
  <c r="I45" i="6"/>
  <c r="J45" i="6" s="1"/>
  <c r="G45" i="6"/>
  <c r="C45" i="6"/>
  <c r="B45" i="6"/>
  <c r="G44" i="6"/>
  <c r="C44" i="6"/>
  <c r="B44" i="6"/>
  <c r="D44" i="6"/>
  <c r="I44" i="6"/>
  <c r="J44" i="6" s="1"/>
  <c r="D45" i="6"/>
  <c r="K154" i="3"/>
  <c r="L154" i="3" s="1"/>
  <c r="G154" i="3"/>
  <c r="I154" i="3" s="1"/>
  <c r="C154" i="3"/>
  <c r="E154" i="3" s="1"/>
  <c r="K153" i="3"/>
  <c r="L153" i="3" s="1"/>
  <c r="G153" i="3"/>
  <c r="I153" i="3" s="1"/>
  <c r="C153" i="3"/>
  <c r="E153" i="3" s="1"/>
  <c r="K151" i="3"/>
  <c r="L151" i="3" s="1"/>
  <c r="K152" i="3"/>
  <c r="L152" i="3" s="1"/>
  <c r="G152" i="3"/>
  <c r="I152" i="3" s="1"/>
  <c r="C152" i="3"/>
  <c r="E152" i="3" s="1"/>
  <c r="G151" i="3"/>
  <c r="I151" i="3" s="1"/>
  <c r="C151" i="3"/>
  <c r="E151" i="3" s="1"/>
  <c r="K150" i="3"/>
  <c r="L150" i="3" s="1"/>
  <c r="G150" i="3"/>
  <c r="I150" i="3" s="1"/>
  <c r="C150" i="3"/>
  <c r="E150" i="3" s="1"/>
  <c r="K149" i="3"/>
  <c r="L149" i="3" s="1"/>
  <c r="G149" i="3"/>
  <c r="I149" i="3" s="1"/>
  <c r="C149" i="3"/>
  <c r="E149" i="3" s="1"/>
  <c r="G148" i="3"/>
  <c r="I148" i="3" s="1"/>
  <c r="K148" i="3"/>
  <c r="L148" i="3" s="1"/>
  <c r="C148" i="3"/>
  <c r="E148" i="3" s="1"/>
  <c r="K147" i="3"/>
  <c r="L147" i="3" s="1"/>
  <c r="G147" i="3"/>
  <c r="I147" i="3" s="1"/>
  <c r="C147" i="3"/>
  <c r="E147" i="3" s="1"/>
  <c r="K146" i="3"/>
  <c r="L146" i="3" s="1"/>
  <c r="G146" i="3"/>
  <c r="I146" i="3" s="1"/>
  <c r="C146" i="3"/>
  <c r="E146" i="3" s="1"/>
  <c r="K145" i="3"/>
  <c r="L145" i="3" s="1"/>
  <c r="G145" i="3"/>
  <c r="I145" i="3" s="1"/>
  <c r="C145" i="3"/>
  <c r="E145" i="3" s="1"/>
  <c r="K144" i="3"/>
  <c r="L144" i="3" s="1"/>
  <c r="G144" i="3"/>
  <c r="I144" i="3" s="1"/>
  <c r="C144" i="3"/>
  <c r="E144" i="3" s="1"/>
  <c r="C143" i="3"/>
  <c r="E143" i="3" s="1"/>
  <c r="G142" i="3"/>
  <c r="I142" i="3" s="1"/>
  <c r="G143" i="3"/>
  <c r="I143" i="3" s="1"/>
  <c r="B154" i="3"/>
  <c r="B153" i="3"/>
  <c r="B152" i="3"/>
  <c r="B151" i="3"/>
  <c r="B150" i="3"/>
  <c r="B149" i="3"/>
  <c r="B148" i="3"/>
  <c r="B147" i="3"/>
  <c r="B146" i="3"/>
  <c r="B145" i="3"/>
  <c r="B144" i="3"/>
  <c r="G43" i="6"/>
  <c r="C43" i="6"/>
  <c r="B43" i="6"/>
  <c r="G42" i="6"/>
  <c r="C42" i="6"/>
  <c r="B42" i="6"/>
  <c r="G41" i="6"/>
  <c r="C41" i="6"/>
  <c r="B41" i="6"/>
  <c r="G40" i="6"/>
  <c r="C40" i="6"/>
  <c r="B40" i="6"/>
  <c r="G39" i="6"/>
  <c r="B39" i="6"/>
  <c r="G38" i="6"/>
  <c r="B38" i="6"/>
  <c r="G37" i="6"/>
  <c r="G36" i="6"/>
  <c r="B36" i="6"/>
  <c r="B37" i="6"/>
  <c r="D37" i="6"/>
  <c r="E37" i="6" s="1"/>
  <c r="I37" i="6"/>
  <c r="J37" i="6" s="1"/>
  <c r="B35" i="6"/>
  <c r="D35" i="6"/>
  <c r="E35" i="6" s="1"/>
  <c r="G35" i="6"/>
  <c r="I35" i="6"/>
  <c r="J35" i="6" s="1"/>
  <c r="G34" i="6"/>
  <c r="B34" i="6"/>
  <c r="I34" i="6"/>
  <c r="J34" i="6" s="1"/>
  <c r="I36" i="6"/>
  <c r="J36" i="6" s="1"/>
  <c r="I38" i="6"/>
  <c r="J38" i="6" s="1"/>
  <c r="I39" i="6"/>
  <c r="J39" i="6" s="1"/>
  <c r="I40" i="6"/>
  <c r="J40" i="6" s="1"/>
  <c r="I41" i="6"/>
  <c r="J41" i="6" s="1"/>
  <c r="I42" i="6"/>
  <c r="J42" i="6" s="1"/>
  <c r="I43" i="6"/>
  <c r="J43" i="6" s="1"/>
  <c r="I33" i="6"/>
  <c r="J33" i="6" s="1"/>
  <c r="G33" i="6"/>
  <c r="B33" i="6"/>
  <c r="D41" i="6"/>
  <c r="D42" i="6"/>
  <c r="D43" i="6"/>
  <c r="D33" i="6"/>
  <c r="E33" i="6" s="1"/>
  <c r="D34" i="6"/>
  <c r="E34" i="6" s="1"/>
  <c r="D36" i="6"/>
  <c r="E36" i="6" s="1"/>
  <c r="D38" i="6"/>
  <c r="E38" i="6" s="1"/>
  <c r="D39" i="6"/>
  <c r="E39" i="6" s="1"/>
  <c r="D40" i="6"/>
  <c r="G140" i="3"/>
  <c r="I140" i="3" s="1"/>
  <c r="K139" i="3"/>
  <c r="L139" i="3" s="1"/>
  <c r="C142" i="3"/>
  <c r="E142" i="3" s="1"/>
  <c r="C141" i="3"/>
  <c r="E141" i="3" s="1"/>
  <c r="C140" i="3"/>
  <c r="E140" i="3" s="1"/>
  <c r="C139" i="3"/>
  <c r="E139" i="3" s="1"/>
  <c r="G141" i="3"/>
  <c r="I141" i="3" s="1"/>
  <c r="G139" i="3"/>
  <c r="I139" i="3" s="1"/>
  <c r="G138" i="3"/>
  <c r="I138" i="3" s="1"/>
  <c r="K143" i="3"/>
  <c r="L143" i="3" s="1"/>
  <c r="B143" i="3"/>
  <c r="K142" i="3"/>
  <c r="L142" i="3" s="1"/>
  <c r="B142" i="3"/>
  <c r="K141" i="3"/>
  <c r="L141" i="3" s="1"/>
  <c r="B141" i="3"/>
  <c r="K140" i="3"/>
  <c r="L140" i="3" s="1"/>
  <c r="B140" i="3"/>
  <c r="K138" i="3"/>
  <c r="L138" i="3" s="1"/>
  <c r="B139" i="3"/>
  <c r="G32" i="6"/>
  <c r="B32" i="6"/>
  <c r="G31" i="6"/>
  <c r="B31" i="6"/>
  <c r="G30" i="6"/>
  <c r="B30" i="6"/>
  <c r="G29" i="6"/>
  <c r="B29" i="6"/>
  <c r="B138" i="3"/>
  <c r="C138" i="3"/>
  <c r="E138" i="3" s="1"/>
  <c r="G28" i="6"/>
  <c r="B28" i="6"/>
  <c r="D28" i="6"/>
  <c r="E28" i="6" s="1"/>
  <c r="D29" i="6"/>
  <c r="E29" i="6" s="1"/>
  <c r="D30" i="6"/>
  <c r="E30" i="6" s="1"/>
  <c r="D31" i="6"/>
  <c r="E31" i="6" s="1"/>
  <c r="D32" i="6"/>
  <c r="E32" i="6" s="1"/>
  <c r="I28" i="6"/>
  <c r="J28" i="6" s="1"/>
  <c r="I29" i="6"/>
  <c r="J29" i="6" s="1"/>
  <c r="I30" i="6"/>
  <c r="J30" i="6" s="1"/>
  <c r="I31" i="6"/>
  <c r="J31" i="6" s="1"/>
  <c r="I32" i="6"/>
  <c r="J32" i="6" s="1"/>
  <c r="I27" i="6"/>
  <c r="J27" i="6" s="1"/>
  <c r="I26" i="6"/>
  <c r="J26" i="6" s="1"/>
  <c r="G27" i="6"/>
  <c r="D27" i="6"/>
  <c r="E27" i="6" s="1"/>
  <c r="B27" i="6"/>
  <c r="G26" i="6"/>
  <c r="D26" i="6"/>
  <c r="E26" i="6" s="1"/>
  <c r="B26" i="6"/>
  <c r="I25" i="6"/>
  <c r="J25" i="6" s="1"/>
  <c r="G25" i="6"/>
  <c r="D25" i="6"/>
  <c r="E25" i="6" s="1"/>
  <c r="B25" i="6"/>
  <c r="I24" i="6"/>
  <c r="J24" i="6" s="1"/>
  <c r="G24" i="6"/>
  <c r="D24" i="6"/>
  <c r="E24" i="6" s="1"/>
  <c r="B24" i="6"/>
  <c r="I23" i="6"/>
  <c r="J23" i="6" s="1"/>
  <c r="G23" i="6"/>
  <c r="D23" i="6"/>
  <c r="E23" i="6" s="1"/>
  <c r="B23" i="6"/>
  <c r="I22" i="6"/>
  <c r="J22" i="6" s="1"/>
  <c r="G22" i="6"/>
  <c r="D22" i="6"/>
  <c r="C22" i="6"/>
  <c r="B22" i="6"/>
  <c r="I21" i="6"/>
  <c r="J21" i="6" s="1"/>
  <c r="G21" i="6"/>
  <c r="D21" i="6"/>
  <c r="C21" i="6"/>
  <c r="B21" i="6"/>
  <c r="I20" i="6"/>
  <c r="J20" i="6" s="1"/>
  <c r="G20" i="6"/>
  <c r="D20" i="6"/>
  <c r="C20" i="6"/>
  <c r="B20" i="6"/>
  <c r="I19" i="6"/>
  <c r="H19" i="6"/>
  <c r="G19" i="6"/>
  <c r="D19" i="6"/>
  <c r="C19" i="6"/>
  <c r="B19" i="6"/>
  <c r="I18" i="6"/>
  <c r="H18" i="6"/>
  <c r="G18" i="6"/>
  <c r="D18" i="6"/>
  <c r="C18" i="6"/>
  <c r="B18" i="6"/>
  <c r="I17" i="6"/>
  <c r="H17" i="6"/>
  <c r="G17" i="6"/>
  <c r="D17" i="6"/>
  <c r="C17" i="6"/>
  <c r="B17" i="6"/>
  <c r="I16" i="6"/>
  <c r="H16" i="6"/>
  <c r="G16" i="6"/>
  <c r="D16" i="6"/>
  <c r="C16" i="6"/>
  <c r="B16" i="6"/>
  <c r="I15" i="6"/>
  <c r="H15" i="6"/>
  <c r="G15" i="6"/>
  <c r="D15" i="6"/>
  <c r="C15" i="6"/>
  <c r="B15" i="6"/>
  <c r="I14" i="6"/>
  <c r="H14" i="6"/>
  <c r="G14" i="6"/>
  <c r="D14" i="6"/>
  <c r="C14" i="6"/>
  <c r="B14" i="6"/>
  <c r="I13" i="6"/>
  <c r="J13" i="6" s="1"/>
  <c r="G13" i="6"/>
  <c r="D13" i="6"/>
  <c r="C13" i="6"/>
  <c r="B13" i="6"/>
  <c r="I12" i="6"/>
  <c r="H12" i="6"/>
  <c r="G12" i="6"/>
  <c r="D12" i="6"/>
  <c r="C12" i="6"/>
  <c r="B12" i="6"/>
  <c r="I11" i="6"/>
  <c r="H11" i="6"/>
  <c r="G11" i="6"/>
  <c r="D11" i="6"/>
  <c r="C11" i="6"/>
  <c r="B11" i="6"/>
  <c r="I10" i="6"/>
  <c r="H10" i="6"/>
  <c r="G10" i="6"/>
  <c r="D10" i="6"/>
  <c r="C10" i="6"/>
  <c r="B10" i="6"/>
  <c r="I9" i="6"/>
  <c r="H9" i="6"/>
  <c r="G9" i="6"/>
  <c r="D9" i="6"/>
  <c r="C9" i="6"/>
  <c r="B9" i="6"/>
  <c r="I8" i="6"/>
  <c r="H8" i="6"/>
  <c r="G8" i="6"/>
  <c r="D8" i="6"/>
  <c r="C8" i="6"/>
  <c r="B8" i="6"/>
  <c r="AM196" i="5"/>
  <c r="AL196" i="5"/>
  <c r="AK196" i="5"/>
  <c r="AG196" i="5"/>
  <c r="AF196" i="5"/>
  <c r="AE196" i="5"/>
  <c r="AB196" i="5"/>
  <c r="AA196" i="5"/>
  <c r="W196" i="5"/>
  <c r="V196" i="5"/>
  <c r="U196" i="5"/>
  <c r="Q196" i="5"/>
  <c r="P196" i="5"/>
  <c r="O196" i="5"/>
  <c r="K196" i="5"/>
  <c r="J196" i="5"/>
  <c r="I196" i="5"/>
  <c r="E196" i="5"/>
  <c r="D196" i="5"/>
  <c r="C196" i="5"/>
  <c r="B196" i="5"/>
  <c r="AM195" i="5"/>
  <c r="AL195" i="5"/>
  <c r="AK195" i="5"/>
  <c r="AG195" i="5"/>
  <c r="AF195" i="5"/>
  <c r="AE195" i="5"/>
  <c r="AB195" i="5"/>
  <c r="AA195" i="5"/>
  <c r="W195" i="5"/>
  <c r="V195" i="5"/>
  <c r="U195" i="5"/>
  <c r="Y195" i="5" s="1"/>
  <c r="Q195" i="5"/>
  <c r="P195" i="5"/>
  <c r="O195" i="5"/>
  <c r="K195" i="5"/>
  <c r="J195" i="5"/>
  <c r="L195" i="5" s="1"/>
  <c r="I195" i="5"/>
  <c r="E195" i="5"/>
  <c r="D195" i="5"/>
  <c r="C195" i="5"/>
  <c r="B195" i="5"/>
  <c r="AM194" i="5"/>
  <c r="AL194" i="5"/>
  <c r="AN194" i="5" s="1"/>
  <c r="AK194" i="5"/>
  <c r="AG194" i="5"/>
  <c r="AF194" i="5"/>
  <c r="AE194" i="5"/>
  <c r="AB194" i="5"/>
  <c r="AA194" i="5"/>
  <c r="W194" i="5"/>
  <c r="V194" i="5"/>
  <c r="U194" i="5"/>
  <c r="Q194" i="5"/>
  <c r="P194" i="5"/>
  <c r="O194" i="5"/>
  <c r="S194" i="5" s="1"/>
  <c r="K194" i="5"/>
  <c r="J194" i="5"/>
  <c r="I194" i="5"/>
  <c r="E194" i="5"/>
  <c r="D194" i="5"/>
  <c r="C194" i="5"/>
  <c r="B194" i="5"/>
  <c r="AM193" i="5"/>
  <c r="AL193" i="5"/>
  <c r="AK193" i="5"/>
  <c r="AG193" i="5"/>
  <c r="AF193" i="5"/>
  <c r="AH193" i="5" s="1"/>
  <c r="AE193" i="5"/>
  <c r="AB193" i="5"/>
  <c r="AA193" i="5"/>
  <c r="W193" i="5"/>
  <c r="V193" i="5"/>
  <c r="X193" i="5" s="1"/>
  <c r="U193" i="5"/>
  <c r="Q193" i="5"/>
  <c r="P193" i="5"/>
  <c r="O193" i="5"/>
  <c r="K193" i="5"/>
  <c r="J193" i="5"/>
  <c r="I193" i="5"/>
  <c r="M193" i="5" s="1"/>
  <c r="E193" i="5"/>
  <c r="D193" i="5"/>
  <c r="C193" i="5"/>
  <c r="B193" i="5"/>
  <c r="AM192" i="5"/>
  <c r="AL192" i="5"/>
  <c r="AK192" i="5"/>
  <c r="AG192" i="5"/>
  <c r="AF192" i="5"/>
  <c r="AE192" i="5"/>
  <c r="AB192" i="5"/>
  <c r="AA192" i="5"/>
  <c r="AC192" i="5" s="1"/>
  <c r="W192" i="5"/>
  <c r="V192" i="5"/>
  <c r="U192" i="5"/>
  <c r="Q192" i="5"/>
  <c r="P192" i="5"/>
  <c r="O192" i="5"/>
  <c r="K192" i="5"/>
  <c r="J192" i="5"/>
  <c r="I192" i="5"/>
  <c r="E192" i="5"/>
  <c r="D192" i="5"/>
  <c r="C192" i="5"/>
  <c r="G192" i="5" s="1"/>
  <c r="B192" i="5"/>
  <c r="AM191" i="5"/>
  <c r="AL191" i="5"/>
  <c r="AK191" i="5"/>
  <c r="AG191" i="5"/>
  <c r="AF191" i="5"/>
  <c r="AE191" i="5"/>
  <c r="AB191" i="5"/>
  <c r="AA191" i="5"/>
  <c r="W191" i="5"/>
  <c r="V191" i="5"/>
  <c r="U191" i="5"/>
  <c r="Y191" i="5" s="1"/>
  <c r="Q191" i="5"/>
  <c r="P191" i="5"/>
  <c r="O191" i="5"/>
  <c r="K191" i="5"/>
  <c r="J191" i="5"/>
  <c r="L191" i="5" s="1"/>
  <c r="I191" i="5"/>
  <c r="E191" i="5"/>
  <c r="D191" i="5"/>
  <c r="C191" i="5"/>
  <c r="B191" i="5"/>
  <c r="AM190" i="5"/>
  <c r="AL190" i="5"/>
  <c r="AN190" i="5" s="1"/>
  <c r="AK190" i="5"/>
  <c r="AG190" i="5"/>
  <c r="AF190" i="5"/>
  <c r="AE190" i="5"/>
  <c r="AB190" i="5"/>
  <c r="AA190" i="5"/>
  <c r="W190" i="5"/>
  <c r="V190" i="5"/>
  <c r="U190" i="5"/>
  <c r="Q190" i="5"/>
  <c r="P190" i="5"/>
  <c r="O190" i="5"/>
  <c r="S190" i="5" s="1"/>
  <c r="K190" i="5"/>
  <c r="J190" i="5"/>
  <c r="I190" i="5"/>
  <c r="E190" i="5"/>
  <c r="D190" i="5"/>
  <c r="F190" i="5" s="1"/>
  <c r="C190" i="5"/>
  <c r="B190" i="5"/>
  <c r="AM189" i="5"/>
  <c r="AL189" i="5"/>
  <c r="AK189" i="5"/>
  <c r="AG189" i="5"/>
  <c r="AF189" i="5"/>
  <c r="AE189" i="5"/>
  <c r="AB189" i="5"/>
  <c r="AC189" i="5" s="1"/>
  <c r="AA189" i="5"/>
  <c r="W189" i="5"/>
  <c r="V189" i="5"/>
  <c r="X189" i="5" s="1"/>
  <c r="U189" i="5"/>
  <c r="Q189" i="5"/>
  <c r="P189" i="5"/>
  <c r="O189" i="5"/>
  <c r="K189" i="5"/>
  <c r="J189" i="5"/>
  <c r="I189" i="5"/>
  <c r="M189" i="5" s="1"/>
  <c r="E189" i="5"/>
  <c r="D189" i="5"/>
  <c r="C189" i="5"/>
  <c r="B189" i="5"/>
  <c r="AM188" i="5"/>
  <c r="AL188" i="5"/>
  <c r="AK188" i="5"/>
  <c r="AG188" i="5"/>
  <c r="AF188" i="5"/>
  <c r="AE188" i="5"/>
  <c r="AB188" i="5"/>
  <c r="AA188" i="5"/>
  <c r="AC188" i="5" s="1"/>
  <c r="W188" i="5"/>
  <c r="V188" i="5"/>
  <c r="U188" i="5"/>
  <c r="Q188" i="5"/>
  <c r="P188" i="5"/>
  <c r="O188" i="5"/>
  <c r="K188" i="5"/>
  <c r="J188" i="5"/>
  <c r="I188" i="5"/>
  <c r="E188" i="5"/>
  <c r="D188" i="5"/>
  <c r="C188" i="5"/>
  <c r="B188" i="5"/>
  <c r="AM187" i="5"/>
  <c r="AN187" i="5" s="1"/>
  <c r="AL187" i="5"/>
  <c r="AK187" i="5"/>
  <c r="AG187" i="5"/>
  <c r="AF187" i="5"/>
  <c r="AE187" i="5"/>
  <c r="AB187" i="5"/>
  <c r="AA187" i="5"/>
  <c r="W187" i="5"/>
  <c r="V187" i="5"/>
  <c r="U187" i="5"/>
  <c r="Y187" i="5" s="1"/>
  <c r="Q187" i="5"/>
  <c r="P187" i="5"/>
  <c r="O187" i="5"/>
  <c r="K187" i="5"/>
  <c r="J187" i="5"/>
  <c r="I187" i="5"/>
  <c r="E187" i="5"/>
  <c r="D187" i="5"/>
  <c r="C187" i="5"/>
  <c r="B187" i="5"/>
  <c r="AM186" i="5"/>
  <c r="AL186" i="5"/>
  <c r="AN186" i="5" s="1"/>
  <c r="AK186" i="5"/>
  <c r="AG186" i="5"/>
  <c r="AF186" i="5"/>
  <c r="AE186" i="5"/>
  <c r="AB186" i="5"/>
  <c r="AA186" i="5"/>
  <c r="W186" i="5"/>
  <c r="V186" i="5"/>
  <c r="U186" i="5"/>
  <c r="Q186" i="5"/>
  <c r="P186" i="5"/>
  <c r="O186" i="5"/>
  <c r="S186" i="5" s="1"/>
  <c r="K186" i="5"/>
  <c r="J186" i="5"/>
  <c r="I186" i="5"/>
  <c r="E186" i="5"/>
  <c r="D186" i="5"/>
  <c r="F186" i="5" s="1"/>
  <c r="C186" i="5"/>
  <c r="B186" i="5"/>
  <c r="AM185" i="5"/>
  <c r="AL185" i="5"/>
  <c r="AK185" i="5"/>
  <c r="AG185" i="5"/>
  <c r="AF185" i="5"/>
  <c r="AE185" i="5"/>
  <c r="AB185" i="5"/>
  <c r="AA185" i="5"/>
  <c r="W185" i="5"/>
  <c r="V185" i="5"/>
  <c r="X185" i="5" s="1"/>
  <c r="U185" i="5"/>
  <c r="Q185" i="5"/>
  <c r="P185" i="5"/>
  <c r="O185" i="5"/>
  <c r="K185" i="5"/>
  <c r="J185" i="5"/>
  <c r="I185" i="5"/>
  <c r="M185" i="5" s="1"/>
  <c r="E185" i="5"/>
  <c r="D185" i="5"/>
  <c r="C185" i="5"/>
  <c r="B185" i="5"/>
  <c r="AM184" i="5"/>
  <c r="AL184" i="5"/>
  <c r="AG184" i="5"/>
  <c r="AF184" i="5"/>
  <c r="AE184" i="5"/>
  <c r="AB184" i="5"/>
  <c r="AC184" i="5" s="1"/>
  <c r="W184" i="5"/>
  <c r="V184" i="5"/>
  <c r="Y184" i="5" s="1"/>
  <c r="Q184" i="5"/>
  <c r="S184" i="5" s="1"/>
  <c r="P184" i="5"/>
  <c r="K184" i="5"/>
  <c r="J184" i="5"/>
  <c r="E184" i="5"/>
  <c r="D184" i="5"/>
  <c r="B184" i="5"/>
  <c r="AM183" i="5"/>
  <c r="AL183" i="5"/>
  <c r="AK183" i="5"/>
  <c r="AG183" i="5"/>
  <c r="AF183" i="5"/>
  <c r="AH183" i="5" s="1"/>
  <c r="AI183" i="5" s="1"/>
  <c r="AE183" i="5"/>
  <c r="AB183" i="5"/>
  <c r="AA183" i="5"/>
  <c r="W183" i="5"/>
  <c r="V183" i="5"/>
  <c r="X183" i="5" s="1"/>
  <c r="U183" i="5"/>
  <c r="Q183" i="5"/>
  <c r="P183" i="5"/>
  <c r="O183" i="5"/>
  <c r="K183" i="5"/>
  <c r="J183" i="5"/>
  <c r="I183" i="5"/>
  <c r="E183" i="5"/>
  <c r="D183" i="5"/>
  <c r="C183" i="5"/>
  <c r="B183" i="5"/>
  <c r="AM182" i="5"/>
  <c r="AL182" i="5"/>
  <c r="AK182" i="5"/>
  <c r="AG182" i="5"/>
  <c r="AF182" i="5"/>
  <c r="AE182" i="5"/>
  <c r="AB182" i="5"/>
  <c r="AA182" i="5"/>
  <c r="AC182" i="5" s="1"/>
  <c r="W182" i="5"/>
  <c r="V182" i="5"/>
  <c r="U182" i="5"/>
  <c r="Q182" i="5"/>
  <c r="P182" i="5"/>
  <c r="R182" i="5" s="1"/>
  <c r="O182" i="5"/>
  <c r="K182" i="5"/>
  <c r="J182" i="5"/>
  <c r="I182" i="5"/>
  <c r="E182" i="5"/>
  <c r="D182" i="5"/>
  <c r="C182" i="5"/>
  <c r="B182" i="5"/>
  <c r="AM181" i="5"/>
  <c r="AN181" i="5" s="1"/>
  <c r="AL181" i="5"/>
  <c r="AK181" i="5"/>
  <c r="AG181" i="5"/>
  <c r="AF181" i="5"/>
  <c r="AE181" i="5"/>
  <c r="AB181" i="5"/>
  <c r="AA181" i="5"/>
  <c r="W181" i="5"/>
  <c r="V181" i="5"/>
  <c r="U181" i="5"/>
  <c r="Y181" i="5" s="1"/>
  <c r="Q181" i="5"/>
  <c r="P181" i="5"/>
  <c r="O181" i="5"/>
  <c r="K181" i="5"/>
  <c r="J181" i="5"/>
  <c r="I181" i="5"/>
  <c r="E181" i="5"/>
  <c r="D181" i="5"/>
  <c r="C181" i="5"/>
  <c r="B181" i="5"/>
  <c r="AM180" i="5"/>
  <c r="AL180" i="5"/>
  <c r="AN180" i="5" s="1"/>
  <c r="AK180" i="5"/>
  <c r="AG180" i="5"/>
  <c r="AH180" i="5" s="1"/>
  <c r="AF180" i="5"/>
  <c r="AE180" i="5"/>
  <c r="AB180" i="5"/>
  <c r="AA180" i="5"/>
  <c r="W180" i="5"/>
  <c r="V180" i="5"/>
  <c r="U180" i="5"/>
  <c r="Q180" i="5"/>
  <c r="P180" i="5"/>
  <c r="O180" i="5"/>
  <c r="S180" i="5" s="1"/>
  <c r="K180" i="5"/>
  <c r="J180" i="5"/>
  <c r="I180" i="5"/>
  <c r="E180" i="5"/>
  <c r="D180" i="5"/>
  <c r="F180" i="5" s="1"/>
  <c r="C180" i="5"/>
  <c r="B180" i="5"/>
  <c r="AM179" i="5"/>
  <c r="AL179" i="5"/>
  <c r="AK179" i="5"/>
  <c r="AG179" i="5"/>
  <c r="AF179" i="5"/>
  <c r="AH179" i="5" s="1"/>
  <c r="AE179" i="5"/>
  <c r="AB179" i="5"/>
  <c r="AC179" i="5" s="1"/>
  <c r="AA179" i="5"/>
  <c r="W179" i="5"/>
  <c r="V179" i="5"/>
  <c r="X179" i="5" s="1"/>
  <c r="U179" i="5"/>
  <c r="Q179" i="5"/>
  <c r="P179" i="5"/>
  <c r="O179" i="5"/>
  <c r="K179" i="5"/>
  <c r="J179" i="5"/>
  <c r="I179" i="5"/>
  <c r="M179" i="5" s="1"/>
  <c r="E179" i="5"/>
  <c r="D179" i="5"/>
  <c r="C179" i="5"/>
  <c r="B179" i="5"/>
  <c r="AM178" i="5"/>
  <c r="AL178" i="5"/>
  <c r="AK178" i="5"/>
  <c r="AG178" i="5"/>
  <c r="AF178" i="5"/>
  <c r="AE178" i="5"/>
  <c r="AB178" i="5"/>
  <c r="AA178" i="5"/>
  <c r="AC178" i="5" s="1"/>
  <c r="W178" i="5"/>
  <c r="V178" i="5"/>
  <c r="U178" i="5"/>
  <c r="Q178" i="5"/>
  <c r="P178" i="5"/>
  <c r="R178" i="5" s="1"/>
  <c r="O178" i="5"/>
  <c r="K178" i="5"/>
  <c r="J178" i="5"/>
  <c r="I178" i="5"/>
  <c r="E178" i="5"/>
  <c r="D178" i="5"/>
  <c r="C178" i="5"/>
  <c r="G178" i="5" s="1"/>
  <c r="B178" i="5"/>
  <c r="AM177" i="5"/>
  <c r="AL177" i="5"/>
  <c r="AK177" i="5"/>
  <c r="AG177" i="5"/>
  <c r="AF177" i="5"/>
  <c r="AE177" i="5"/>
  <c r="AB177" i="5"/>
  <c r="AA177" i="5"/>
  <c r="W177" i="5"/>
  <c r="V177" i="5"/>
  <c r="U177" i="5"/>
  <c r="Q177" i="5"/>
  <c r="R177" i="5" s="1"/>
  <c r="P177" i="5"/>
  <c r="O177" i="5"/>
  <c r="K177" i="5"/>
  <c r="J177" i="5"/>
  <c r="L177" i="5" s="1"/>
  <c r="I177" i="5"/>
  <c r="E177" i="5"/>
  <c r="D177" i="5"/>
  <c r="C177" i="5"/>
  <c r="B177" i="5"/>
  <c r="AM176" i="5"/>
  <c r="AL176" i="5"/>
  <c r="AN176" i="5" s="1"/>
  <c r="AK176" i="5"/>
  <c r="AG176" i="5"/>
  <c r="AF176" i="5"/>
  <c r="AE176" i="5"/>
  <c r="AB176" i="5"/>
  <c r="AA176" i="5"/>
  <c r="W176" i="5"/>
  <c r="V176" i="5"/>
  <c r="U176" i="5"/>
  <c r="Q176" i="5"/>
  <c r="P176" i="5"/>
  <c r="O176" i="5"/>
  <c r="K176" i="5"/>
  <c r="J176" i="5"/>
  <c r="I176" i="5"/>
  <c r="E176" i="5"/>
  <c r="D176" i="5"/>
  <c r="F176" i="5" s="1"/>
  <c r="C176" i="5"/>
  <c r="B176" i="5"/>
  <c r="AM175" i="5"/>
  <c r="AL175" i="5"/>
  <c r="AK175" i="5"/>
  <c r="AG175" i="5"/>
  <c r="AF175" i="5"/>
  <c r="AH175" i="5" s="1"/>
  <c r="AE175" i="5"/>
  <c r="AB175" i="5"/>
  <c r="AA175" i="5"/>
  <c r="W175" i="5"/>
  <c r="V175" i="5"/>
  <c r="U175" i="5"/>
  <c r="Q175" i="5"/>
  <c r="P175" i="5"/>
  <c r="O175" i="5"/>
  <c r="K175" i="5"/>
  <c r="J175" i="5"/>
  <c r="I175" i="5"/>
  <c r="E175" i="5"/>
  <c r="D175" i="5"/>
  <c r="C175" i="5"/>
  <c r="B175" i="5"/>
  <c r="AM174" i="5"/>
  <c r="AL174" i="5"/>
  <c r="AK174" i="5"/>
  <c r="AG174" i="5"/>
  <c r="AF174" i="5"/>
  <c r="AE174" i="5"/>
  <c r="AB174" i="5"/>
  <c r="AA174" i="5"/>
  <c r="AC174" i="5" s="1"/>
  <c r="W174" i="5"/>
  <c r="V174" i="5"/>
  <c r="U174" i="5"/>
  <c r="Q174" i="5"/>
  <c r="P174" i="5"/>
  <c r="R174" i="5" s="1"/>
  <c r="O174" i="5"/>
  <c r="K174" i="5"/>
  <c r="J174" i="5"/>
  <c r="I174" i="5"/>
  <c r="E174" i="5"/>
  <c r="D174" i="5"/>
  <c r="C174" i="5"/>
  <c r="B174" i="5"/>
  <c r="AM173" i="5"/>
  <c r="AL173" i="5"/>
  <c r="AK173" i="5"/>
  <c r="AG173" i="5"/>
  <c r="AF173" i="5"/>
  <c r="AE173" i="5"/>
  <c r="AB173" i="5"/>
  <c r="AA173" i="5"/>
  <c r="W173" i="5"/>
  <c r="V173" i="5"/>
  <c r="U173" i="5"/>
  <c r="Y173" i="5" s="1"/>
  <c r="Q173" i="5"/>
  <c r="P173" i="5"/>
  <c r="O173" i="5"/>
  <c r="K173" i="5"/>
  <c r="J173" i="5"/>
  <c r="L173" i="5" s="1"/>
  <c r="I173" i="5"/>
  <c r="E173" i="5"/>
  <c r="D173" i="5"/>
  <c r="C173" i="5"/>
  <c r="B173" i="5"/>
  <c r="AM172" i="5"/>
  <c r="AL172" i="5"/>
  <c r="AN172" i="5" s="1"/>
  <c r="AK172" i="5"/>
  <c r="AG172" i="5"/>
  <c r="AF172" i="5"/>
  <c r="AE172" i="5"/>
  <c r="AB172" i="5"/>
  <c r="AA172" i="5"/>
  <c r="W172" i="5"/>
  <c r="V172" i="5"/>
  <c r="U172" i="5"/>
  <c r="Q172" i="5"/>
  <c r="P172" i="5"/>
  <c r="O172" i="5"/>
  <c r="S172" i="5" s="1"/>
  <c r="K172" i="5"/>
  <c r="J172" i="5"/>
  <c r="I172" i="5"/>
  <c r="E172" i="5"/>
  <c r="D172" i="5"/>
  <c r="F172" i="5" s="1"/>
  <c r="C172" i="5"/>
  <c r="B172" i="5"/>
  <c r="AS171" i="5"/>
  <c r="AR171" i="5"/>
  <c r="AQ171" i="5"/>
  <c r="AM171" i="5"/>
  <c r="AL171" i="5"/>
  <c r="AN171" i="5" s="1"/>
  <c r="AK171" i="5"/>
  <c r="AG171" i="5"/>
  <c r="AF171" i="5"/>
  <c r="AE171" i="5"/>
  <c r="AB171" i="5"/>
  <c r="AA171" i="5"/>
  <c r="W171" i="5"/>
  <c r="V171" i="5"/>
  <c r="U171" i="5"/>
  <c r="Q171" i="5"/>
  <c r="P171" i="5"/>
  <c r="O171" i="5"/>
  <c r="K171" i="5"/>
  <c r="J171" i="5"/>
  <c r="I171" i="5"/>
  <c r="E171" i="5"/>
  <c r="D171" i="5"/>
  <c r="F171" i="5" s="1"/>
  <c r="C171" i="5"/>
  <c r="B171" i="5"/>
  <c r="AS170" i="5"/>
  <c r="AR170" i="5"/>
  <c r="AQ170" i="5"/>
  <c r="AM170" i="5"/>
  <c r="AL170" i="5"/>
  <c r="AN170" i="5" s="1"/>
  <c r="AK170" i="5"/>
  <c r="AG170" i="5"/>
  <c r="AF170" i="5"/>
  <c r="AE170" i="5"/>
  <c r="AB170" i="5"/>
  <c r="AA170" i="5"/>
  <c r="W170" i="5"/>
  <c r="V170" i="5"/>
  <c r="U170" i="5"/>
  <c r="Q170" i="5"/>
  <c r="P170" i="5"/>
  <c r="O170" i="5"/>
  <c r="S170" i="5" s="1"/>
  <c r="K170" i="5"/>
  <c r="J170" i="5"/>
  <c r="I170" i="5"/>
  <c r="E170" i="5"/>
  <c r="D170" i="5"/>
  <c r="C170" i="5"/>
  <c r="B170" i="5"/>
  <c r="AS169" i="5"/>
  <c r="AR169" i="5"/>
  <c r="AQ169" i="5"/>
  <c r="AM169" i="5"/>
  <c r="AL169" i="5"/>
  <c r="AN169" i="5" s="1"/>
  <c r="AK169" i="5"/>
  <c r="AG169" i="5"/>
  <c r="AF169" i="5"/>
  <c r="AE169" i="5"/>
  <c r="AB169" i="5"/>
  <c r="AA169" i="5"/>
  <c r="W169" i="5"/>
  <c r="V169" i="5"/>
  <c r="U169" i="5"/>
  <c r="Q169" i="5"/>
  <c r="P169" i="5"/>
  <c r="O169" i="5"/>
  <c r="K169" i="5"/>
  <c r="J169" i="5"/>
  <c r="I169" i="5"/>
  <c r="E169" i="5"/>
  <c r="D169" i="5"/>
  <c r="F169" i="5" s="1"/>
  <c r="C169" i="5"/>
  <c r="AS168" i="5"/>
  <c r="AR168" i="5"/>
  <c r="AQ168" i="5"/>
  <c r="AM168" i="5"/>
  <c r="AL168" i="5"/>
  <c r="AK168" i="5"/>
  <c r="AG168" i="5"/>
  <c r="AF168" i="5"/>
  <c r="AE168" i="5"/>
  <c r="AB168" i="5"/>
  <c r="AA168" i="5"/>
  <c r="AC168" i="5" s="1"/>
  <c r="W168" i="5"/>
  <c r="V168" i="5"/>
  <c r="U168" i="5"/>
  <c r="Q168" i="5"/>
  <c r="S168" i="5" s="1"/>
  <c r="P168" i="5"/>
  <c r="O168" i="5"/>
  <c r="K168" i="5"/>
  <c r="J168" i="5"/>
  <c r="I168" i="5"/>
  <c r="E168" i="5"/>
  <c r="D168" i="5"/>
  <c r="F168" i="5" s="1"/>
  <c r="C168" i="5"/>
  <c r="G168" i="5" s="1"/>
  <c r="AS167" i="5"/>
  <c r="AR167" i="5"/>
  <c r="AQ167" i="5"/>
  <c r="AM167" i="5"/>
  <c r="AL167" i="5"/>
  <c r="AK167" i="5"/>
  <c r="AG167" i="5"/>
  <c r="AF167" i="5"/>
  <c r="AE167" i="5"/>
  <c r="AB167" i="5"/>
  <c r="AA167" i="5"/>
  <c r="W167" i="5"/>
  <c r="V167" i="5"/>
  <c r="U167" i="5"/>
  <c r="Q167" i="5"/>
  <c r="P167" i="5"/>
  <c r="O167" i="5"/>
  <c r="K167" i="5"/>
  <c r="J167" i="5"/>
  <c r="L167" i="5" s="1"/>
  <c r="I167" i="5"/>
  <c r="E167" i="5"/>
  <c r="D167" i="5"/>
  <c r="C167" i="5"/>
  <c r="AS166" i="5"/>
  <c r="AR166" i="5"/>
  <c r="AQ166" i="5"/>
  <c r="AM166" i="5"/>
  <c r="AL166" i="5"/>
  <c r="AK166" i="5"/>
  <c r="AG166" i="5"/>
  <c r="AF166" i="5"/>
  <c r="AE166" i="5"/>
  <c r="AB166" i="5"/>
  <c r="AC166" i="5" s="1"/>
  <c r="AA166" i="5"/>
  <c r="W166" i="5"/>
  <c r="V166" i="5"/>
  <c r="X166" i="5" s="1"/>
  <c r="U166" i="5"/>
  <c r="Q166" i="5"/>
  <c r="P166" i="5"/>
  <c r="O166" i="5"/>
  <c r="K166" i="5"/>
  <c r="J166" i="5"/>
  <c r="I166" i="5"/>
  <c r="M166" i="5" s="1"/>
  <c r="E166" i="5"/>
  <c r="D166" i="5"/>
  <c r="C166" i="5"/>
  <c r="B166" i="5"/>
  <c r="AS165" i="5"/>
  <c r="AR165" i="5"/>
  <c r="AQ165" i="5"/>
  <c r="AM165" i="5"/>
  <c r="AL165" i="5"/>
  <c r="AK165" i="5"/>
  <c r="AG165" i="5"/>
  <c r="AF165" i="5"/>
  <c r="AH165" i="5" s="1"/>
  <c r="AE165" i="5"/>
  <c r="AB165" i="5"/>
  <c r="AC165" i="5" s="1"/>
  <c r="AA165" i="5"/>
  <c r="W165" i="5"/>
  <c r="V165" i="5"/>
  <c r="X165" i="5" s="1"/>
  <c r="U165" i="5"/>
  <c r="Q165" i="5"/>
  <c r="P165" i="5"/>
  <c r="O165" i="5"/>
  <c r="K165" i="5"/>
  <c r="J165" i="5"/>
  <c r="I165" i="5"/>
  <c r="M165" i="5" s="1"/>
  <c r="E165" i="5"/>
  <c r="D165" i="5"/>
  <c r="C165" i="5"/>
  <c r="B165" i="5"/>
  <c r="AS164" i="5"/>
  <c r="AR164" i="5"/>
  <c r="AQ164" i="5"/>
  <c r="AM164" i="5"/>
  <c r="AL164" i="5"/>
  <c r="AK164" i="5"/>
  <c r="AG164" i="5"/>
  <c r="AF164" i="5"/>
  <c r="AH164" i="5" s="1"/>
  <c r="AE164" i="5"/>
  <c r="AB164" i="5"/>
  <c r="AA164" i="5"/>
  <c r="W164" i="5"/>
  <c r="V164" i="5"/>
  <c r="X164" i="5" s="1"/>
  <c r="U164" i="5"/>
  <c r="Q164" i="5"/>
  <c r="P164" i="5"/>
  <c r="O164" i="5"/>
  <c r="K164" i="5"/>
  <c r="J164" i="5"/>
  <c r="I164" i="5"/>
  <c r="M164" i="5" s="1"/>
  <c r="E164" i="5"/>
  <c r="D164" i="5"/>
  <c r="C164" i="5"/>
  <c r="B164" i="5"/>
  <c r="AS163" i="5"/>
  <c r="AR163" i="5"/>
  <c r="AQ163" i="5"/>
  <c r="AM163" i="5"/>
  <c r="AL163" i="5"/>
  <c r="AK163" i="5"/>
  <c r="AG163" i="5"/>
  <c r="AF163" i="5"/>
  <c r="AH163" i="5" s="1"/>
  <c r="AE163" i="5"/>
  <c r="AB163" i="5"/>
  <c r="AC163" i="5" s="1"/>
  <c r="AA163" i="5"/>
  <c r="W163" i="5"/>
  <c r="V163" i="5"/>
  <c r="X163" i="5" s="1"/>
  <c r="U163" i="5"/>
  <c r="Q163" i="5"/>
  <c r="P163" i="5"/>
  <c r="O163" i="5"/>
  <c r="K163" i="5"/>
  <c r="J163" i="5"/>
  <c r="I163" i="5"/>
  <c r="M163" i="5" s="1"/>
  <c r="E163" i="5"/>
  <c r="D163" i="5"/>
  <c r="C163" i="5"/>
  <c r="B163" i="5"/>
  <c r="AS162" i="5"/>
  <c r="AT162" i="5" s="1"/>
  <c r="AR162" i="5"/>
  <c r="AQ162" i="5"/>
  <c r="AM162" i="5"/>
  <c r="AL162" i="5"/>
  <c r="AK162" i="5"/>
  <c r="AG162" i="5"/>
  <c r="AF162" i="5"/>
  <c r="AH162" i="5" s="1"/>
  <c r="AE162" i="5"/>
  <c r="AB162" i="5"/>
  <c r="AC162" i="5" s="1"/>
  <c r="AA162" i="5"/>
  <c r="W162" i="5"/>
  <c r="V162" i="5"/>
  <c r="X162" i="5" s="1"/>
  <c r="U162" i="5"/>
  <c r="Q162" i="5"/>
  <c r="P162" i="5"/>
  <c r="O162" i="5"/>
  <c r="K162" i="5"/>
  <c r="J162" i="5"/>
  <c r="I162" i="5"/>
  <c r="M162" i="5" s="1"/>
  <c r="E162" i="5"/>
  <c r="D162" i="5"/>
  <c r="C162" i="5"/>
  <c r="B162" i="5"/>
  <c r="AS161" i="5"/>
  <c r="AR161" i="5"/>
  <c r="AQ161" i="5"/>
  <c r="AM161" i="5"/>
  <c r="AL161" i="5"/>
  <c r="AK161" i="5"/>
  <c r="AG161" i="5"/>
  <c r="AF161" i="5"/>
  <c r="AH161" i="5" s="1"/>
  <c r="AE161" i="5"/>
  <c r="AB161" i="5"/>
  <c r="AA161" i="5"/>
  <c r="W161" i="5"/>
  <c r="V161" i="5"/>
  <c r="X161" i="5" s="1"/>
  <c r="U161" i="5"/>
  <c r="Q161" i="5"/>
  <c r="P161" i="5"/>
  <c r="O161" i="5"/>
  <c r="K161" i="5"/>
  <c r="J161" i="5"/>
  <c r="I161" i="5"/>
  <c r="M161" i="5" s="1"/>
  <c r="E161" i="5"/>
  <c r="D161" i="5"/>
  <c r="C161" i="5"/>
  <c r="B161" i="5"/>
  <c r="AS160" i="5"/>
  <c r="AR160" i="5"/>
  <c r="AQ160" i="5"/>
  <c r="AM160" i="5"/>
  <c r="AL160" i="5"/>
  <c r="AK160" i="5"/>
  <c r="AG160" i="5"/>
  <c r="AF160" i="5"/>
  <c r="AH160" i="5" s="1"/>
  <c r="AE160" i="5"/>
  <c r="AB160" i="5"/>
  <c r="AC160" i="5" s="1"/>
  <c r="AA160" i="5"/>
  <c r="W160" i="5"/>
  <c r="V160" i="5"/>
  <c r="X160" i="5" s="1"/>
  <c r="U160" i="5"/>
  <c r="Q160" i="5"/>
  <c r="P160" i="5"/>
  <c r="O160" i="5"/>
  <c r="K160" i="5"/>
  <c r="J160" i="5"/>
  <c r="I160" i="5"/>
  <c r="M160" i="5" s="1"/>
  <c r="E160" i="5"/>
  <c r="D160" i="5"/>
  <c r="C160" i="5"/>
  <c r="B160" i="5"/>
  <c r="AT159" i="5"/>
  <c r="AU159" i="5" s="1"/>
  <c r="AM159" i="5"/>
  <c r="AL159" i="5"/>
  <c r="AK159" i="5"/>
  <c r="AG159" i="5"/>
  <c r="AF159" i="5"/>
  <c r="AE159" i="5"/>
  <c r="AB159" i="5"/>
  <c r="AA159" i="5"/>
  <c r="AC159" i="5" s="1"/>
  <c r="W159" i="5"/>
  <c r="V159" i="5"/>
  <c r="U159" i="5"/>
  <c r="Q159" i="5"/>
  <c r="P159" i="5"/>
  <c r="O159" i="5"/>
  <c r="K159" i="5"/>
  <c r="J159" i="5"/>
  <c r="I159" i="5"/>
  <c r="E159" i="5"/>
  <c r="D159" i="5"/>
  <c r="C159" i="5"/>
  <c r="B159" i="5"/>
  <c r="AM158" i="5"/>
  <c r="AL158" i="5"/>
  <c r="AK158" i="5"/>
  <c r="AG158" i="5"/>
  <c r="AF158" i="5"/>
  <c r="AE158" i="5"/>
  <c r="AB158" i="5"/>
  <c r="AC158" i="5" s="1"/>
  <c r="AA158" i="5"/>
  <c r="W158" i="5"/>
  <c r="V158" i="5"/>
  <c r="U158" i="5"/>
  <c r="Q158" i="5"/>
  <c r="P158" i="5"/>
  <c r="O158" i="5"/>
  <c r="K158" i="5"/>
  <c r="J158" i="5"/>
  <c r="I158" i="5"/>
  <c r="E158" i="5"/>
  <c r="D158" i="5"/>
  <c r="C158" i="5"/>
  <c r="B158" i="5"/>
  <c r="AM157" i="5"/>
  <c r="AL157" i="5"/>
  <c r="AK157" i="5"/>
  <c r="AG157" i="5"/>
  <c r="AF157" i="5"/>
  <c r="AH157" i="5" s="1"/>
  <c r="AE157" i="5"/>
  <c r="AB157" i="5"/>
  <c r="AA157" i="5"/>
  <c r="W157" i="5"/>
  <c r="V157" i="5"/>
  <c r="U157" i="5"/>
  <c r="Q157" i="5"/>
  <c r="P157" i="5"/>
  <c r="O157" i="5"/>
  <c r="K157" i="5"/>
  <c r="J157" i="5"/>
  <c r="I157" i="5"/>
  <c r="E157" i="5"/>
  <c r="D157" i="5"/>
  <c r="C157" i="5"/>
  <c r="B157" i="5"/>
  <c r="AM156" i="5"/>
  <c r="AL156" i="5"/>
  <c r="AK156" i="5"/>
  <c r="AG156" i="5"/>
  <c r="AF156" i="5"/>
  <c r="AE156" i="5"/>
  <c r="AB156" i="5"/>
  <c r="AA156" i="5"/>
  <c r="W156" i="5"/>
  <c r="V156" i="5"/>
  <c r="U156" i="5"/>
  <c r="Q156" i="5"/>
  <c r="P156" i="5"/>
  <c r="O156" i="5"/>
  <c r="K156" i="5"/>
  <c r="J156" i="5"/>
  <c r="I156" i="5"/>
  <c r="E156" i="5"/>
  <c r="F156" i="5" s="1"/>
  <c r="D156" i="5"/>
  <c r="C156" i="5"/>
  <c r="B156" i="5"/>
  <c r="AM155" i="5"/>
  <c r="AL155" i="5"/>
  <c r="AK155" i="5"/>
  <c r="AG155" i="5"/>
  <c r="AF155" i="5"/>
  <c r="AE155" i="5"/>
  <c r="AB155" i="5"/>
  <c r="AA155" i="5"/>
  <c r="W155" i="5"/>
  <c r="X155" i="5" s="1"/>
  <c r="V155" i="5"/>
  <c r="U155" i="5"/>
  <c r="Q155" i="5"/>
  <c r="P155" i="5"/>
  <c r="O155" i="5"/>
  <c r="K155" i="5"/>
  <c r="J155" i="5"/>
  <c r="I155" i="5"/>
  <c r="E155" i="5"/>
  <c r="D155" i="5"/>
  <c r="C155" i="5"/>
  <c r="B155" i="5"/>
  <c r="AM154" i="5"/>
  <c r="AL154" i="5"/>
  <c r="AN154" i="5" s="1"/>
  <c r="AK154" i="5"/>
  <c r="AG154" i="5"/>
  <c r="AF154" i="5"/>
  <c r="AE154" i="5"/>
  <c r="AB154" i="5"/>
  <c r="AA154" i="5"/>
  <c r="W154" i="5"/>
  <c r="V154" i="5"/>
  <c r="U154" i="5"/>
  <c r="Q154" i="5"/>
  <c r="P154" i="5"/>
  <c r="O154" i="5"/>
  <c r="K154" i="5"/>
  <c r="J154" i="5"/>
  <c r="I154" i="5"/>
  <c r="E154" i="5"/>
  <c r="D154" i="5"/>
  <c r="C154" i="5"/>
  <c r="B154" i="5"/>
  <c r="AM153" i="5"/>
  <c r="AL153" i="5"/>
  <c r="AK153" i="5"/>
  <c r="AG153" i="5"/>
  <c r="AF153" i="5"/>
  <c r="AE153" i="5"/>
  <c r="AB153" i="5"/>
  <c r="AA153" i="5"/>
  <c r="W153" i="5"/>
  <c r="V153" i="5"/>
  <c r="U153" i="5"/>
  <c r="Q153" i="5"/>
  <c r="P153" i="5"/>
  <c r="O153" i="5"/>
  <c r="K153" i="5"/>
  <c r="J153" i="5"/>
  <c r="I153" i="5"/>
  <c r="E153" i="5"/>
  <c r="D153" i="5"/>
  <c r="C153" i="5"/>
  <c r="B153" i="5"/>
  <c r="AM152" i="5"/>
  <c r="AN152" i="5" s="1"/>
  <c r="AL152" i="5"/>
  <c r="AK152" i="5"/>
  <c r="AG152" i="5"/>
  <c r="AF152" i="5"/>
  <c r="AE152" i="5"/>
  <c r="AB152" i="5"/>
  <c r="AA152" i="5"/>
  <c r="AC152" i="5" s="1"/>
  <c r="W152" i="5"/>
  <c r="V152" i="5"/>
  <c r="U152" i="5"/>
  <c r="Q152" i="5"/>
  <c r="P152" i="5"/>
  <c r="O152" i="5"/>
  <c r="K152" i="5"/>
  <c r="J152" i="5"/>
  <c r="L152" i="5" s="1"/>
  <c r="I152" i="5"/>
  <c r="E152" i="5"/>
  <c r="G152" i="5" s="1"/>
  <c r="D152" i="5"/>
  <c r="B152" i="5"/>
  <c r="AM151" i="5"/>
  <c r="AL151" i="5"/>
  <c r="AK151" i="5"/>
  <c r="AG151" i="5"/>
  <c r="AF151" i="5"/>
  <c r="AE151" i="5"/>
  <c r="AB151" i="5"/>
  <c r="AA151" i="5"/>
  <c r="W151" i="5"/>
  <c r="X151" i="5" s="1"/>
  <c r="V151" i="5"/>
  <c r="U151" i="5"/>
  <c r="Q151" i="5"/>
  <c r="P151" i="5"/>
  <c r="O151" i="5"/>
  <c r="K151" i="5"/>
  <c r="J151" i="5"/>
  <c r="E151" i="5"/>
  <c r="F151" i="5" s="1"/>
  <c r="D151" i="5"/>
  <c r="C151" i="5"/>
  <c r="B151" i="5"/>
  <c r="AM150" i="5"/>
  <c r="AL150" i="5"/>
  <c r="AK150" i="5"/>
  <c r="AG150" i="5"/>
  <c r="AF150" i="5"/>
  <c r="AE150" i="5"/>
  <c r="AB150" i="5"/>
  <c r="AA150" i="5"/>
  <c r="W150" i="5"/>
  <c r="V150" i="5"/>
  <c r="U150" i="5"/>
  <c r="Q150" i="5"/>
  <c r="P150" i="5"/>
  <c r="R150" i="5" s="1"/>
  <c r="O150" i="5"/>
  <c r="K150" i="5"/>
  <c r="J150" i="5"/>
  <c r="I150" i="5"/>
  <c r="E150" i="5"/>
  <c r="D150" i="5"/>
  <c r="C150" i="5"/>
  <c r="B150" i="5"/>
  <c r="AM149" i="5"/>
  <c r="AL149" i="5"/>
  <c r="AK149" i="5"/>
  <c r="AG149" i="5"/>
  <c r="AF149" i="5"/>
  <c r="AE149" i="5"/>
  <c r="AB149" i="5"/>
  <c r="AA149" i="5"/>
  <c r="W149" i="5"/>
  <c r="V149" i="5"/>
  <c r="U149" i="5"/>
  <c r="Q149" i="5"/>
  <c r="P149" i="5"/>
  <c r="O149" i="5"/>
  <c r="K149" i="5"/>
  <c r="J149" i="5"/>
  <c r="I149" i="5"/>
  <c r="E149" i="5"/>
  <c r="D149" i="5"/>
  <c r="F149" i="5" s="1"/>
  <c r="C149" i="5"/>
  <c r="B149" i="5"/>
  <c r="AM148" i="5"/>
  <c r="AL148" i="5"/>
  <c r="AK148" i="5"/>
  <c r="AG148" i="5"/>
  <c r="AF148" i="5"/>
  <c r="AE148" i="5"/>
  <c r="AB148" i="5"/>
  <c r="AA148" i="5"/>
  <c r="W148" i="5"/>
  <c r="V148" i="5"/>
  <c r="U148" i="5"/>
  <c r="Y148" i="5" s="1"/>
  <c r="Q148" i="5"/>
  <c r="P148" i="5"/>
  <c r="O148" i="5"/>
  <c r="K148" i="5"/>
  <c r="J148" i="5"/>
  <c r="I148" i="5"/>
  <c r="E148" i="5"/>
  <c r="D148" i="5"/>
  <c r="C148" i="5"/>
  <c r="B148" i="5"/>
  <c r="AM147" i="5"/>
  <c r="AL147" i="5"/>
  <c r="AK147" i="5"/>
  <c r="AG147" i="5"/>
  <c r="AF147" i="5"/>
  <c r="AE147" i="5"/>
  <c r="AB147" i="5"/>
  <c r="AA147" i="5"/>
  <c r="W147" i="5"/>
  <c r="V147" i="5"/>
  <c r="U147" i="5"/>
  <c r="Q147" i="5"/>
  <c r="P147" i="5"/>
  <c r="R147" i="5" s="1"/>
  <c r="O147" i="5"/>
  <c r="S147" i="5" s="1"/>
  <c r="K147" i="5"/>
  <c r="J147" i="5"/>
  <c r="I147" i="5"/>
  <c r="E147" i="5"/>
  <c r="F147" i="5" s="1"/>
  <c r="D147" i="5"/>
  <c r="C147" i="5"/>
  <c r="B147" i="5"/>
  <c r="AM146" i="5"/>
  <c r="AL146" i="5"/>
  <c r="AK146" i="5"/>
  <c r="AG146" i="5"/>
  <c r="AF146" i="5"/>
  <c r="AE146" i="5"/>
  <c r="AB146" i="5"/>
  <c r="AA146" i="5"/>
  <c r="W146" i="5"/>
  <c r="V146" i="5"/>
  <c r="U146" i="5"/>
  <c r="Q146" i="5"/>
  <c r="P146" i="5"/>
  <c r="O146" i="5"/>
  <c r="K146" i="5"/>
  <c r="J146" i="5"/>
  <c r="I146" i="5"/>
  <c r="E146" i="5"/>
  <c r="D146" i="5"/>
  <c r="C146" i="5"/>
  <c r="AM145" i="5"/>
  <c r="AN145" i="5" s="1"/>
  <c r="AL145" i="5"/>
  <c r="AK145" i="5"/>
  <c r="AG145" i="5"/>
  <c r="AF145" i="5"/>
  <c r="AH145" i="5" s="1"/>
  <c r="AE145" i="5"/>
  <c r="AB145" i="5"/>
  <c r="AA145" i="5"/>
  <c r="W145" i="5"/>
  <c r="V145" i="5"/>
  <c r="U145" i="5"/>
  <c r="Q145" i="5"/>
  <c r="P145" i="5"/>
  <c r="O145" i="5"/>
  <c r="K145" i="5"/>
  <c r="J145" i="5"/>
  <c r="I145" i="5"/>
  <c r="E145" i="5"/>
  <c r="F145" i="5" s="1"/>
  <c r="D145" i="5"/>
  <c r="C145" i="5"/>
  <c r="AM144" i="5"/>
  <c r="AL144" i="5"/>
  <c r="AK144" i="5"/>
  <c r="AG144" i="5"/>
  <c r="AF144" i="5"/>
  <c r="AE144" i="5"/>
  <c r="AB144" i="5"/>
  <c r="AA144" i="5"/>
  <c r="W144" i="5"/>
  <c r="V144" i="5"/>
  <c r="U144" i="5"/>
  <c r="Q144" i="5"/>
  <c r="P144" i="5"/>
  <c r="O144" i="5"/>
  <c r="K144" i="5"/>
  <c r="J144" i="5"/>
  <c r="I144" i="5"/>
  <c r="E144" i="5"/>
  <c r="D144" i="5"/>
  <c r="C144" i="5"/>
  <c r="AM143" i="5"/>
  <c r="AL143" i="5"/>
  <c r="AK143" i="5"/>
  <c r="AG143" i="5"/>
  <c r="AF143" i="5"/>
  <c r="AE143" i="5"/>
  <c r="AB143" i="5"/>
  <c r="AA143" i="5"/>
  <c r="W143" i="5"/>
  <c r="V143" i="5"/>
  <c r="U143" i="5"/>
  <c r="Q143" i="5"/>
  <c r="P143" i="5"/>
  <c r="R143" i="5" s="1"/>
  <c r="O143" i="5"/>
  <c r="K143" i="5"/>
  <c r="J143" i="5"/>
  <c r="I143" i="5"/>
  <c r="E143" i="5"/>
  <c r="D143" i="5"/>
  <c r="C143" i="5"/>
  <c r="AM142" i="5"/>
  <c r="AN142" i="5" s="1"/>
  <c r="AL142" i="5"/>
  <c r="AK142" i="5"/>
  <c r="AG142" i="5"/>
  <c r="AF142" i="5"/>
  <c r="AE142" i="5"/>
  <c r="AB142" i="5"/>
  <c r="AA142" i="5"/>
  <c r="W142" i="5"/>
  <c r="V142" i="5"/>
  <c r="U142" i="5"/>
  <c r="Q142" i="5"/>
  <c r="P142" i="5"/>
  <c r="O142" i="5"/>
  <c r="K142" i="5"/>
  <c r="J142" i="5"/>
  <c r="I142" i="5"/>
  <c r="E142" i="5"/>
  <c r="D142" i="5"/>
  <c r="C142" i="5"/>
  <c r="AM141" i="5"/>
  <c r="AL141" i="5"/>
  <c r="AK141" i="5"/>
  <c r="AG141" i="5"/>
  <c r="AF141" i="5"/>
  <c r="AE141" i="5"/>
  <c r="AB141" i="5"/>
  <c r="AA141" i="5"/>
  <c r="W141" i="5"/>
  <c r="V141" i="5"/>
  <c r="U141" i="5"/>
  <c r="Q141" i="5"/>
  <c r="P141" i="5"/>
  <c r="O141" i="5"/>
  <c r="K141" i="5"/>
  <c r="J141" i="5"/>
  <c r="I141" i="5"/>
  <c r="E141" i="5"/>
  <c r="D141" i="5"/>
  <c r="C141" i="5"/>
  <c r="AM140" i="5"/>
  <c r="AL140" i="5"/>
  <c r="AK140" i="5"/>
  <c r="AG140" i="5"/>
  <c r="AF140" i="5"/>
  <c r="AE140" i="5"/>
  <c r="AB140" i="5"/>
  <c r="AA140" i="5"/>
  <c r="W140" i="5"/>
  <c r="X140" i="5" s="1"/>
  <c r="V140" i="5"/>
  <c r="U140" i="5"/>
  <c r="Q140" i="5"/>
  <c r="P140" i="5"/>
  <c r="O140" i="5"/>
  <c r="K140" i="5"/>
  <c r="J140" i="5"/>
  <c r="I140" i="5"/>
  <c r="M140" i="5" s="1"/>
  <c r="E140" i="5"/>
  <c r="D140" i="5"/>
  <c r="C140" i="5"/>
  <c r="AM139" i="5"/>
  <c r="AN139" i="5" s="1"/>
  <c r="AL139" i="5"/>
  <c r="AK139" i="5"/>
  <c r="AG139" i="5"/>
  <c r="AF139" i="5"/>
  <c r="AE139" i="5"/>
  <c r="AB139" i="5"/>
  <c r="AA139" i="5"/>
  <c r="W139" i="5"/>
  <c r="V139" i="5"/>
  <c r="U139" i="5"/>
  <c r="Q139" i="5"/>
  <c r="P139" i="5"/>
  <c r="O139" i="5"/>
  <c r="K139" i="5"/>
  <c r="J139" i="5"/>
  <c r="I139" i="5"/>
  <c r="E139" i="5"/>
  <c r="F139" i="5" s="1"/>
  <c r="D139" i="5"/>
  <c r="C139" i="5"/>
  <c r="AM138" i="5"/>
  <c r="AL138" i="5"/>
  <c r="AK138" i="5"/>
  <c r="AG138" i="5"/>
  <c r="AF138" i="5"/>
  <c r="AE138" i="5"/>
  <c r="AB138" i="5"/>
  <c r="AA138" i="5"/>
  <c r="W138" i="5"/>
  <c r="X138" i="5" s="1"/>
  <c r="V138" i="5"/>
  <c r="U138" i="5"/>
  <c r="Q138" i="5"/>
  <c r="P138" i="5"/>
  <c r="O138" i="5"/>
  <c r="K138" i="5"/>
  <c r="J138" i="5"/>
  <c r="I138" i="5"/>
  <c r="E138" i="5"/>
  <c r="D138" i="5"/>
  <c r="C138" i="5"/>
  <c r="AM137" i="5"/>
  <c r="AL137" i="5"/>
  <c r="AK137" i="5"/>
  <c r="AG137" i="5"/>
  <c r="AF137" i="5"/>
  <c r="AH137" i="5" s="1"/>
  <c r="AE137" i="5"/>
  <c r="AB137" i="5"/>
  <c r="AA137" i="5"/>
  <c r="W137" i="5"/>
  <c r="V137" i="5"/>
  <c r="U137" i="5"/>
  <c r="Q137" i="5"/>
  <c r="P137" i="5"/>
  <c r="S137" i="5" s="1"/>
  <c r="O137" i="5"/>
  <c r="K137" i="5"/>
  <c r="J137" i="5"/>
  <c r="I137" i="5"/>
  <c r="E137" i="5"/>
  <c r="D137" i="5"/>
  <c r="C137" i="5"/>
  <c r="AM136" i="5"/>
  <c r="AN136" i="5" s="1"/>
  <c r="AL136" i="5"/>
  <c r="AK136" i="5"/>
  <c r="AG136" i="5"/>
  <c r="AF136" i="5"/>
  <c r="AE136" i="5"/>
  <c r="AB136" i="5"/>
  <c r="AA136" i="5"/>
  <c r="W136" i="5"/>
  <c r="V136" i="5"/>
  <c r="U136" i="5"/>
  <c r="Q136" i="5"/>
  <c r="P136" i="5"/>
  <c r="O136" i="5"/>
  <c r="K136" i="5"/>
  <c r="J136" i="5"/>
  <c r="I136" i="5"/>
  <c r="E136" i="5"/>
  <c r="F136" i="5" s="1"/>
  <c r="D136" i="5"/>
  <c r="C136" i="5"/>
  <c r="AM135" i="5"/>
  <c r="AL135" i="5"/>
  <c r="AK135" i="5"/>
  <c r="AG135" i="5"/>
  <c r="AF135" i="5"/>
  <c r="AE135" i="5"/>
  <c r="AB135" i="5"/>
  <c r="AA135" i="5"/>
  <c r="W135" i="5"/>
  <c r="V135" i="5"/>
  <c r="U135" i="5"/>
  <c r="Q135" i="5"/>
  <c r="P135" i="5"/>
  <c r="R135" i="5" s="1"/>
  <c r="O135" i="5"/>
  <c r="K135" i="5"/>
  <c r="J135" i="5"/>
  <c r="I135" i="5"/>
  <c r="E135" i="5"/>
  <c r="D135" i="5"/>
  <c r="C135" i="5"/>
  <c r="AM134" i="5"/>
  <c r="AN134" i="5" s="1"/>
  <c r="AO134" i="5" s="1"/>
  <c r="AL134" i="5"/>
  <c r="AK134" i="5"/>
  <c r="AG134" i="5"/>
  <c r="AF134" i="5"/>
  <c r="AH134" i="5" s="1"/>
  <c r="AE134" i="5"/>
  <c r="AB134" i="5"/>
  <c r="AA134" i="5"/>
  <c r="W134" i="5"/>
  <c r="X134" i="5" s="1"/>
  <c r="V134" i="5"/>
  <c r="U134" i="5"/>
  <c r="Q134" i="5"/>
  <c r="P134" i="5"/>
  <c r="O134" i="5"/>
  <c r="K134" i="5"/>
  <c r="J134" i="5"/>
  <c r="I134" i="5"/>
  <c r="M134" i="5" s="1"/>
  <c r="E134" i="5"/>
  <c r="D134" i="5"/>
  <c r="C134" i="5"/>
  <c r="AM133" i="5"/>
  <c r="AN133" i="5" s="1"/>
  <c r="AL133" i="5"/>
  <c r="AK133" i="5"/>
  <c r="AG133" i="5"/>
  <c r="AF133" i="5"/>
  <c r="AE133" i="5"/>
  <c r="AB133" i="5"/>
  <c r="AA133" i="5"/>
  <c r="W133" i="5"/>
  <c r="V133" i="5"/>
  <c r="U133" i="5"/>
  <c r="Q133" i="5"/>
  <c r="P133" i="5"/>
  <c r="O133" i="5"/>
  <c r="K133" i="5"/>
  <c r="J133" i="5"/>
  <c r="I133" i="5"/>
  <c r="E133" i="5"/>
  <c r="F133" i="5" s="1"/>
  <c r="D133" i="5"/>
  <c r="C133" i="5"/>
  <c r="AM132" i="5"/>
  <c r="AL132" i="5"/>
  <c r="AK132" i="5"/>
  <c r="AG132" i="5"/>
  <c r="AF132" i="5"/>
  <c r="AE132" i="5"/>
  <c r="AB132" i="5"/>
  <c r="AA132" i="5"/>
  <c r="W132" i="5"/>
  <c r="V132" i="5"/>
  <c r="U132" i="5"/>
  <c r="Q132" i="5"/>
  <c r="P132" i="5"/>
  <c r="O132" i="5"/>
  <c r="K132" i="5"/>
  <c r="J132" i="5"/>
  <c r="I132" i="5"/>
  <c r="E132" i="5"/>
  <c r="D132" i="5"/>
  <c r="C132" i="5"/>
  <c r="AM131" i="5"/>
  <c r="AL131" i="5"/>
  <c r="AK131" i="5"/>
  <c r="AG131" i="5"/>
  <c r="AF131" i="5"/>
  <c r="AH131" i="5" s="1"/>
  <c r="AE131" i="5"/>
  <c r="AB131" i="5"/>
  <c r="AA131" i="5"/>
  <c r="W131" i="5"/>
  <c r="V131" i="5"/>
  <c r="U131" i="5"/>
  <c r="Q131" i="5"/>
  <c r="P131" i="5"/>
  <c r="O131" i="5"/>
  <c r="K131" i="5"/>
  <c r="J131" i="5"/>
  <c r="I131" i="5"/>
  <c r="E131" i="5"/>
  <c r="D131" i="5"/>
  <c r="C131" i="5"/>
  <c r="AM130" i="5"/>
  <c r="AN130" i="5" s="1"/>
  <c r="AL130" i="5"/>
  <c r="AK130" i="5"/>
  <c r="AG130" i="5"/>
  <c r="AF130" i="5"/>
  <c r="AE130" i="5"/>
  <c r="AB130" i="5"/>
  <c r="AA130" i="5"/>
  <c r="W130" i="5"/>
  <c r="V130" i="5"/>
  <c r="U130" i="5"/>
  <c r="Q130" i="5"/>
  <c r="P130" i="5"/>
  <c r="O130" i="5"/>
  <c r="K130" i="5"/>
  <c r="J130" i="5"/>
  <c r="I130" i="5"/>
  <c r="E130" i="5"/>
  <c r="F130" i="5" s="1"/>
  <c r="D130" i="5"/>
  <c r="C130" i="5"/>
  <c r="AM129" i="5"/>
  <c r="AL129" i="5"/>
  <c r="AK129" i="5"/>
  <c r="AG129" i="5"/>
  <c r="AF129" i="5"/>
  <c r="AE129" i="5"/>
  <c r="AB129" i="5"/>
  <c r="AA129" i="5"/>
  <c r="W129" i="5"/>
  <c r="V129" i="5"/>
  <c r="U129" i="5"/>
  <c r="Q129" i="5"/>
  <c r="P129" i="5"/>
  <c r="O129" i="5"/>
  <c r="K129" i="5"/>
  <c r="J129" i="5"/>
  <c r="I129" i="5"/>
  <c r="E129" i="5"/>
  <c r="D129" i="5"/>
  <c r="C129" i="5"/>
  <c r="AM128" i="5"/>
  <c r="AL128" i="5"/>
  <c r="AK128" i="5"/>
  <c r="AG128" i="5"/>
  <c r="AF128" i="5"/>
  <c r="AH128" i="5" s="1"/>
  <c r="AE128" i="5"/>
  <c r="AB128" i="5"/>
  <c r="AA128" i="5"/>
  <c r="W128" i="5"/>
  <c r="V128" i="5"/>
  <c r="U128" i="5"/>
  <c r="Q128" i="5"/>
  <c r="P128" i="5"/>
  <c r="O128" i="5"/>
  <c r="K128" i="5"/>
  <c r="J128" i="5"/>
  <c r="I128" i="5"/>
  <c r="E128" i="5"/>
  <c r="D128" i="5"/>
  <c r="C128" i="5"/>
  <c r="AM127" i="5"/>
  <c r="AN127" i="5" s="1"/>
  <c r="AL127" i="5"/>
  <c r="AK127" i="5"/>
  <c r="AG127" i="5"/>
  <c r="AF127" i="5"/>
  <c r="AE127" i="5"/>
  <c r="AB127" i="5"/>
  <c r="AA127" i="5"/>
  <c r="W127" i="5"/>
  <c r="V127" i="5"/>
  <c r="U127" i="5"/>
  <c r="Q127" i="5"/>
  <c r="P127" i="5"/>
  <c r="O127" i="5"/>
  <c r="K127" i="5"/>
  <c r="J127" i="5"/>
  <c r="I127" i="5"/>
  <c r="E127" i="5"/>
  <c r="D127" i="5"/>
  <c r="C127" i="5"/>
  <c r="AM126" i="5"/>
  <c r="AL126" i="5"/>
  <c r="AK126" i="5"/>
  <c r="AG126" i="5"/>
  <c r="AF126" i="5"/>
  <c r="AE126" i="5"/>
  <c r="AB126" i="5"/>
  <c r="AA126" i="5"/>
  <c r="W126" i="5"/>
  <c r="V126" i="5"/>
  <c r="U126" i="5"/>
  <c r="Q126" i="5"/>
  <c r="P126" i="5"/>
  <c r="O126" i="5"/>
  <c r="K126" i="5"/>
  <c r="J126" i="5"/>
  <c r="I126" i="5"/>
  <c r="E126" i="5"/>
  <c r="D126" i="5"/>
  <c r="F126" i="5" s="1"/>
  <c r="C126" i="5"/>
  <c r="AM125" i="5"/>
  <c r="AL125" i="5"/>
  <c r="AK125" i="5"/>
  <c r="AG125" i="5"/>
  <c r="AF125" i="5"/>
  <c r="AH125" i="5" s="1"/>
  <c r="AE125" i="5"/>
  <c r="AB125" i="5"/>
  <c r="AA125" i="5"/>
  <c r="W125" i="5"/>
  <c r="V125" i="5"/>
  <c r="U125" i="5"/>
  <c r="Q125" i="5"/>
  <c r="P125" i="5"/>
  <c r="O125" i="5"/>
  <c r="K125" i="5"/>
  <c r="J125" i="5"/>
  <c r="I125" i="5"/>
  <c r="E125" i="5"/>
  <c r="D125" i="5"/>
  <c r="C125" i="5"/>
  <c r="AM124" i="5"/>
  <c r="AL124" i="5"/>
  <c r="AK124" i="5"/>
  <c r="AG124" i="5"/>
  <c r="AF124" i="5"/>
  <c r="AE124" i="5"/>
  <c r="AB124" i="5"/>
  <c r="AA124" i="5"/>
  <c r="AC124" i="5" s="1"/>
  <c r="W124" i="5"/>
  <c r="V124" i="5"/>
  <c r="U124" i="5"/>
  <c r="Q124" i="5"/>
  <c r="P124" i="5"/>
  <c r="O124" i="5"/>
  <c r="K124" i="5"/>
  <c r="J124" i="5"/>
  <c r="I124" i="5"/>
  <c r="M124" i="5" s="1"/>
  <c r="E124" i="5"/>
  <c r="D124" i="5"/>
  <c r="C124" i="5"/>
  <c r="AM123" i="5"/>
  <c r="AL123" i="5"/>
  <c r="AK123" i="5"/>
  <c r="AG123" i="5"/>
  <c r="AF123" i="5"/>
  <c r="AE123" i="5"/>
  <c r="AB123" i="5"/>
  <c r="AA123" i="5"/>
  <c r="W123" i="5"/>
  <c r="V123" i="5"/>
  <c r="U123" i="5"/>
  <c r="Q123" i="5"/>
  <c r="P123" i="5"/>
  <c r="R123" i="5" s="1"/>
  <c r="O123" i="5"/>
  <c r="K123" i="5"/>
  <c r="J123" i="5"/>
  <c r="I123" i="5"/>
  <c r="E123" i="5"/>
  <c r="D123" i="5"/>
  <c r="C123" i="5"/>
  <c r="AM122" i="5"/>
  <c r="AL122" i="5"/>
  <c r="AK122" i="5"/>
  <c r="AG122" i="5"/>
  <c r="AF122" i="5"/>
  <c r="AH122" i="5" s="1"/>
  <c r="AE122" i="5"/>
  <c r="AB122" i="5"/>
  <c r="AA122" i="5"/>
  <c r="W122" i="5"/>
  <c r="V122" i="5"/>
  <c r="U122" i="5"/>
  <c r="Q122" i="5"/>
  <c r="P122" i="5"/>
  <c r="O122" i="5"/>
  <c r="K122" i="5"/>
  <c r="J122" i="5"/>
  <c r="I122" i="5"/>
  <c r="M122" i="5" s="1"/>
  <c r="E122" i="5"/>
  <c r="D122" i="5"/>
  <c r="C122" i="5"/>
  <c r="AM121" i="5"/>
  <c r="AN121" i="5" s="1"/>
  <c r="AL121" i="5"/>
  <c r="AK121" i="5"/>
  <c r="AG121" i="5"/>
  <c r="AF121" i="5"/>
  <c r="AE121" i="5"/>
  <c r="AB121" i="5"/>
  <c r="AA121" i="5"/>
  <c r="W121" i="5"/>
  <c r="V121" i="5"/>
  <c r="U121" i="5"/>
  <c r="Q121" i="5"/>
  <c r="P121" i="5"/>
  <c r="O121" i="5"/>
  <c r="K121" i="5"/>
  <c r="J121" i="5"/>
  <c r="I121" i="5"/>
  <c r="H121" i="5"/>
  <c r="E121" i="5"/>
  <c r="D121" i="5"/>
  <c r="C121" i="5"/>
  <c r="AM120" i="5"/>
  <c r="AL120" i="5"/>
  <c r="AK120" i="5"/>
  <c r="AG120" i="5"/>
  <c r="AH120" i="5" s="1"/>
  <c r="AF120" i="5"/>
  <c r="AE120" i="5"/>
  <c r="AB120" i="5"/>
  <c r="AA120" i="5"/>
  <c r="W120" i="5"/>
  <c r="V120" i="5"/>
  <c r="U120" i="5"/>
  <c r="Q120" i="5"/>
  <c r="P120" i="5"/>
  <c r="O120" i="5"/>
  <c r="K120" i="5"/>
  <c r="J120" i="5"/>
  <c r="I120" i="5"/>
  <c r="E120" i="5"/>
  <c r="D120" i="5"/>
  <c r="C120" i="5"/>
  <c r="AM119" i="5"/>
  <c r="AL119" i="5"/>
  <c r="AK119" i="5"/>
  <c r="AG119" i="5"/>
  <c r="AF119" i="5"/>
  <c r="AE119" i="5"/>
  <c r="AB119" i="5"/>
  <c r="AA119" i="5"/>
  <c r="W119" i="5"/>
  <c r="V119" i="5"/>
  <c r="U119" i="5"/>
  <c r="Q119" i="5"/>
  <c r="P119" i="5"/>
  <c r="O119" i="5"/>
  <c r="K119" i="5"/>
  <c r="J119" i="5"/>
  <c r="I119" i="5"/>
  <c r="E119" i="5"/>
  <c r="D119" i="5"/>
  <c r="C119" i="5"/>
  <c r="AM118" i="5"/>
  <c r="AL118" i="5"/>
  <c r="AN118" i="5" s="1"/>
  <c r="AK118" i="5"/>
  <c r="AG118" i="5"/>
  <c r="AF118" i="5"/>
  <c r="AE118" i="5"/>
  <c r="AB118" i="5"/>
  <c r="AA118" i="5"/>
  <c r="AC118" i="5" s="1"/>
  <c r="W118" i="5"/>
  <c r="V118" i="5"/>
  <c r="U118" i="5"/>
  <c r="Q118" i="5"/>
  <c r="P118" i="5"/>
  <c r="O118" i="5"/>
  <c r="K118" i="5"/>
  <c r="J118" i="5"/>
  <c r="I118" i="5"/>
  <c r="E118" i="5"/>
  <c r="D118" i="5"/>
  <c r="C118" i="5"/>
  <c r="AM117" i="5"/>
  <c r="AL117" i="5"/>
  <c r="AK117" i="5"/>
  <c r="AG117" i="5"/>
  <c r="AF117" i="5"/>
  <c r="AE117" i="5"/>
  <c r="AB117" i="5"/>
  <c r="AA117" i="5"/>
  <c r="W117" i="5"/>
  <c r="V117" i="5"/>
  <c r="U117" i="5"/>
  <c r="Q117" i="5"/>
  <c r="P117" i="5"/>
  <c r="O117" i="5"/>
  <c r="K117" i="5"/>
  <c r="J117" i="5"/>
  <c r="I117" i="5"/>
  <c r="E117" i="5"/>
  <c r="D117" i="5"/>
  <c r="C117" i="5"/>
  <c r="AM116" i="5"/>
  <c r="AL116" i="5"/>
  <c r="AK116" i="5"/>
  <c r="AG116" i="5"/>
  <c r="AF116" i="5"/>
  <c r="AE116" i="5"/>
  <c r="AB116" i="5"/>
  <c r="AA116" i="5"/>
  <c r="W116" i="5"/>
  <c r="V116" i="5"/>
  <c r="X116" i="5" s="1"/>
  <c r="U116" i="5"/>
  <c r="Q116" i="5"/>
  <c r="P116" i="5"/>
  <c r="O116" i="5"/>
  <c r="K116" i="5"/>
  <c r="J116" i="5"/>
  <c r="L116" i="5" s="1"/>
  <c r="I116" i="5"/>
  <c r="E116" i="5"/>
  <c r="D116" i="5"/>
  <c r="C116" i="5"/>
  <c r="AM115" i="5"/>
  <c r="AL115" i="5"/>
  <c r="AN115" i="5" s="1"/>
  <c r="AK115" i="5"/>
  <c r="AG115" i="5"/>
  <c r="AF115" i="5"/>
  <c r="AE115" i="5"/>
  <c r="AB115" i="5"/>
  <c r="AA115" i="5"/>
  <c r="AC115" i="5" s="1"/>
  <c r="W115" i="5"/>
  <c r="V115" i="5"/>
  <c r="U115" i="5"/>
  <c r="Q115" i="5"/>
  <c r="R115" i="5" s="1"/>
  <c r="P115" i="5"/>
  <c r="O115" i="5"/>
  <c r="K115" i="5"/>
  <c r="J115" i="5"/>
  <c r="I115" i="5"/>
  <c r="E115" i="5"/>
  <c r="D115" i="5"/>
  <c r="C115" i="5"/>
  <c r="AM114" i="5"/>
  <c r="AL114" i="5"/>
  <c r="AK114" i="5"/>
  <c r="AG114" i="5"/>
  <c r="AH114" i="5" s="1"/>
  <c r="AF114" i="5"/>
  <c r="AE114" i="5"/>
  <c r="AB114" i="5"/>
  <c r="AA114" i="5"/>
  <c r="W114" i="5"/>
  <c r="V114" i="5"/>
  <c r="U114" i="5"/>
  <c r="Q114" i="5"/>
  <c r="P114" i="5"/>
  <c r="O114" i="5"/>
  <c r="K114" i="5"/>
  <c r="J114" i="5"/>
  <c r="I114" i="5"/>
  <c r="E114" i="5"/>
  <c r="D114" i="5"/>
  <c r="C114" i="5"/>
  <c r="AM113" i="5"/>
  <c r="AL113" i="5"/>
  <c r="AK113" i="5"/>
  <c r="AG113" i="5"/>
  <c r="AF113" i="5"/>
  <c r="AE113" i="5"/>
  <c r="AB113" i="5"/>
  <c r="AA113" i="5"/>
  <c r="W113" i="5"/>
  <c r="V113" i="5"/>
  <c r="X113" i="5" s="1"/>
  <c r="U113" i="5"/>
  <c r="Q113" i="5"/>
  <c r="P113" i="5"/>
  <c r="O113" i="5"/>
  <c r="K113" i="5"/>
  <c r="J113" i="5"/>
  <c r="L113" i="5" s="1"/>
  <c r="I113" i="5"/>
  <c r="E113" i="5"/>
  <c r="D113" i="5"/>
  <c r="C113" i="5"/>
  <c r="AM112" i="5"/>
  <c r="AL112" i="5"/>
  <c r="AN112" i="5" s="1"/>
  <c r="AK112" i="5"/>
  <c r="AG112" i="5"/>
  <c r="AF112" i="5"/>
  <c r="AE112" i="5"/>
  <c r="AB112" i="5"/>
  <c r="AA112" i="5"/>
  <c r="AC112" i="5" s="1"/>
  <c r="W112" i="5"/>
  <c r="V112" i="5"/>
  <c r="U112" i="5"/>
  <c r="Q112" i="5"/>
  <c r="P112" i="5"/>
  <c r="O112" i="5"/>
  <c r="K112" i="5"/>
  <c r="J112" i="5"/>
  <c r="I112" i="5"/>
  <c r="E112" i="5"/>
  <c r="D112" i="5"/>
  <c r="F112" i="5" s="1"/>
  <c r="C112" i="5"/>
  <c r="AM111" i="5"/>
  <c r="AL111" i="5"/>
  <c r="AK111" i="5"/>
  <c r="AG111" i="5"/>
  <c r="AF111" i="5"/>
  <c r="AE111" i="5"/>
  <c r="AB111" i="5"/>
  <c r="AA111" i="5"/>
  <c r="W111" i="5"/>
  <c r="V111" i="5"/>
  <c r="U111" i="5"/>
  <c r="Q111" i="5"/>
  <c r="P111" i="5"/>
  <c r="O111" i="5"/>
  <c r="K111" i="5"/>
  <c r="J111" i="5"/>
  <c r="I111" i="5"/>
  <c r="E111" i="5"/>
  <c r="D111" i="5"/>
  <c r="C111" i="5"/>
  <c r="AM110" i="5"/>
  <c r="AL110" i="5"/>
  <c r="AK110" i="5"/>
  <c r="AG110" i="5"/>
  <c r="AF110" i="5"/>
  <c r="AE110" i="5"/>
  <c r="AB110" i="5"/>
  <c r="AA110" i="5"/>
  <c r="W110" i="5"/>
  <c r="V110" i="5"/>
  <c r="X110" i="5" s="1"/>
  <c r="U110" i="5"/>
  <c r="Q110" i="5"/>
  <c r="P110" i="5"/>
  <c r="O110" i="5"/>
  <c r="K110" i="5"/>
  <c r="J110" i="5"/>
  <c r="I110" i="5"/>
  <c r="E110" i="5"/>
  <c r="D110" i="5"/>
  <c r="C110" i="5"/>
  <c r="AM109" i="5"/>
  <c r="AL109" i="5"/>
  <c r="AK109" i="5"/>
  <c r="AG109" i="5"/>
  <c r="AF109" i="5"/>
  <c r="AE109" i="5"/>
  <c r="AB109" i="5"/>
  <c r="AA109" i="5"/>
  <c r="AC109" i="5" s="1"/>
  <c r="W109" i="5"/>
  <c r="V109" i="5"/>
  <c r="U109" i="5"/>
  <c r="Q109" i="5"/>
  <c r="P109" i="5"/>
  <c r="O109" i="5"/>
  <c r="K109" i="5"/>
  <c r="J109" i="5"/>
  <c r="I109" i="5"/>
  <c r="E109" i="5"/>
  <c r="D109" i="5"/>
  <c r="F109" i="5" s="1"/>
  <c r="C109" i="5"/>
  <c r="AM108" i="5"/>
  <c r="AL108" i="5"/>
  <c r="AK108" i="5"/>
  <c r="AG108" i="5"/>
  <c r="AH108" i="5" s="1"/>
  <c r="AF108" i="5"/>
  <c r="AE108" i="5"/>
  <c r="AB108" i="5"/>
  <c r="AA108" i="5"/>
  <c r="W108" i="5"/>
  <c r="V108" i="5"/>
  <c r="U108" i="5"/>
  <c r="Q108" i="5"/>
  <c r="P108" i="5"/>
  <c r="O108" i="5"/>
  <c r="K108" i="5"/>
  <c r="J108" i="5"/>
  <c r="I108" i="5"/>
  <c r="E108" i="5"/>
  <c r="D108" i="5"/>
  <c r="C108" i="5"/>
  <c r="AM107" i="5"/>
  <c r="AL107" i="5"/>
  <c r="AK107" i="5"/>
  <c r="AG107" i="5"/>
  <c r="AF107" i="5"/>
  <c r="AE107" i="5"/>
  <c r="AB107" i="5"/>
  <c r="AA107" i="5"/>
  <c r="W107" i="5"/>
  <c r="V107" i="5"/>
  <c r="X107" i="5" s="1"/>
  <c r="U107" i="5"/>
  <c r="Q107" i="5"/>
  <c r="P107" i="5"/>
  <c r="O107" i="5"/>
  <c r="K107" i="5"/>
  <c r="J107" i="5"/>
  <c r="I107" i="5"/>
  <c r="E107" i="5"/>
  <c r="D107" i="5"/>
  <c r="C107" i="5"/>
  <c r="AM106" i="5"/>
  <c r="AL106" i="5"/>
  <c r="AN106" i="5" s="1"/>
  <c r="AK106" i="5"/>
  <c r="AG106" i="5"/>
  <c r="AF106" i="5"/>
  <c r="AE106" i="5"/>
  <c r="AB106" i="5"/>
  <c r="AA106" i="5"/>
  <c r="W106" i="5"/>
  <c r="V106" i="5"/>
  <c r="U106" i="5"/>
  <c r="Q106" i="5"/>
  <c r="P106" i="5"/>
  <c r="O106" i="5"/>
  <c r="K106" i="5"/>
  <c r="J106" i="5"/>
  <c r="I106" i="5"/>
  <c r="E106" i="5"/>
  <c r="D106" i="5"/>
  <c r="F106" i="5" s="1"/>
  <c r="C106" i="5"/>
  <c r="AM105" i="5"/>
  <c r="AL105" i="5"/>
  <c r="AK105" i="5"/>
  <c r="AG105" i="5"/>
  <c r="AF105" i="5"/>
  <c r="AE105" i="5"/>
  <c r="AB105" i="5"/>
  <c r="AA105" i="5"/>
  <c r="W105" i="5"/>
  <c r="X105" i="5" s="1"/>
  <c r="V105" i="5"/>
  <c r="U105" i="5"/>
  <c r="Q105" i="5"/>
  <c r="P105" i="5"/>
  <c r="O105" i="5"/>
  <c r="K105" i="5"/>
  <c r="J105" i="5"/>
  <c r="I105" i="5"/>
  <c r="E105" i="5"/>
  <c r="D105" i="5"/>
  <c r="C105" i="5"/>
  <c r="AM104" i="5"/>
  <c r="AL104" i="5"/>
  <c r="AK104" i="5"/>
  <c r="AG104" i="5"/>
  <c r="AF104" i="5"/>
  <c r="AE104" i="5"/>
  <c r="AB104" i="5"/>
  <c r="AA104" i="5"/>
  <c r="W104" i="5"/>
  <c r="V104" i="5"/>
  <c r="U104" i="5"/>
  <c r="Q104" i="5"/>
  <c r="P104" i="5"/>
  <c r="O104" i="5"/>
  <c r="K104" i="5"/>
  <c r="J104" i="5"/>
  <c r="L104" i="5" s="1"/>
  <c r="I104" i="5"/>
  <c r="E104" i="5"/>
  <c r="D104" i="5"/>
  <c r="C104" i="5"/>
  <c r="AM103" i="5"/>
  <c r="AL103" i="5"/>
  <c r="AK103" i="5"/>
  <c r="AG103" i="5"/>
  <c r="AF103" i="5"/>
  <c r="AE103" i="5"/>
  <c r="AB103" i="5"/>
  <c r="AA103" i="5"/>
  <c r="AC103" i="5" s="1"/>
  <c r="W103" i="5"/>
  <c r="V103" i="5"/>
  <c r="U103" i="5"/>
  <c r="Q103" i="5"/>
  <c r="P103" i="5"/>
  <c r="O103" i="5"/>
  <c r="K103" i="5"/>
  <c r="J103" i="5"/>
  <c r="I103" i="5"/>
  <c r="E103" i="5"/>
  <c r="D103" i="5"/>
  <c r="C103" i="5"/>
  <c r="AM102" i="5"/>
  <c r="AL102" i="5"/>
  <c r="AK102" i="5"/>
  <c r="AG102" i="5"/>
  <c r="AH102" i="5" s="1"/>
  <c r="AF102" i="5"/>
  <c r="AE102" i="5"/>
  <c r="AB102" i="5"/>
  <c r="AA102" i="5"/>
  <c r="W102" i="5"/>
  <c r="X102" i="5" s="1"/>
  <c r="V102" i="5"/>
  <c r="U102" i="5"/>
  <c r="Q102" i="5"/>
  <c r="P102" i="5"/>
  <c r="O102" i="5"/>
  <c r="K102" i="5"/>
  <c r="J102" i="5"/>
  <c r="I102" i="5"/>
  <c r="E102" i="5"/>
  <c r="D102" i="5"/>
  <c r="C102" i="5"/>
  <c r="AM101" i="5"/>
  <c r="AN101" i="5" s="1"/>
  <c r="AL101" i="5"/>
  <c r="AK101" i="5"/>
  <c r="AG101" i="5"/>
  <c r="AF101" i="5"/>
  <c r="AE101" i="5"/>
  <c r="AB101" i="5"/>
  <c r="AA101" i="5"/>
  <c r="W101" i="5"/>
  <c r="V101" i="5"/>
  <c r="U101" i="5"/>
  <c r="Q101" i="5"/>
  <c r="P101" i="5"/>
  <c r="O101" i="5"/>
  <c r="K101" i="5"/>
  <c r="J101" i="5"/>
  <c r="I101" i="5"/>
  <c r="E101" i="5"/>
  <c r="D101" i="5"/>
  <c r="C101" i="5"/>
  <c r="AM100" i="5"/>
  <c r="AL100" i="5"/>
  <c r="AK100" i="5"/>
  <c r="AG100" i="5"/>
  <c r="AF100" i="5"/>
  <c r="AE100" i="5"/>
  <c r="AB100" i="5"/>
  <c r="AA100" i="5"/>
  <c r="AC100" i="5" s="1"/>
  <c r="W100" i="5"/>
  <c r="V100" i="5"/>
  <c r="U100" i="5"/>
  <c r="Q100" i="5"/>
  <c r="R100" i="5" s="1"/>
  <c r="P100" i="5"/>
  <c r="O100" i="5"/>
  <c r="K100" i="5"/>
  <c r="J100" i="5"/>
  <c r="L100" i="5" s="1"/>
  <c r="I100" i="5"/>
  <c r="E100" i="5"/>
  <c r="D100" i="5"/>
  <c r="C100" i="5"/>
  <c r="AM99" i="5"/>
  <c r="AL99" i="5"/>
  <c r="AK99" i="5"/>
  <c r="AG99" i="5"/>
  <c r="AH99" i="5" s="1"/>
  <c r="AF99" i="5"/>
  <c r="AE99" i="5"/>
  <c r="AB99" i="5"/>
  <c r="AA99" i="5"/>
  <c r="W99" i="5"/>
  <c r="X99" i="5" s="1"/>
  <c r="V99" i="5"/>
  <c r="U99" i="5"/>
  <c r="Q99" i="5"/>
  <c r="P99" i="5"/>
  <c r="O99" i="5"/>
  <c r="K99" i="5"/>
  <c r="J99" i="5"/>
  <c r="I99" i="5"/>
  <c r="E99" i="5"/>
  <c r="D99" i="5"/>
  <c r="C99" i="5"/>
  <c r="AM98" i="5"/>
  <c r="AN98" i="5" s="1"/>
  <c r="AL98" i="5"/>
  <c r="AK98" i="5"/>
  <c r="AG98" i="5"/>
  <c r="AF98" i="5"/>
  <c r="AE98" i="5"/>
  <c r="AB98" i="5"/>
  <c r="AA98" i="5"/>
  <c r="W98" i="5"/>
  <c r="V98" i="5"/>
  <c r="U98" i="5"/>
  <c r="Y98" i="5" s="1"/>
  <c r="Q98" i="5"/>
  <c r="P98" i="5"/>
  <c r="O98" i="5"/>
  <c r="K98" i="5"/>
  <c r="J98" i="5"/>
  <c r="I98" i="5"/>
  <c r="E98" i="5"/>
  <c r="D98" i="5"/>
  <c r="C98" i="5"/>
  <c r="AM97" i="5"/>
  <c r="AL97" i="5"/>
  <c r="AK97" i="5"/>
  <c r="AG97" i="5"/>
  <c r="AF97" i="5"/>
  <c r="AE97" i="5"/>
  <c r="AB97" i="5"/>
  <c r="AA97" i="5"/>
  <c r="AC97" i="5" s="1"/>
  <c r="W97" i="5"/>
  <c r="V97" i="5"/>
  <c r="U97" i="5"/>
  <c r="Q97" i="5"/>
  <c r="P97" i="5"/>
  <c r="O97" i="5"/>
  <c r="K97" i="5"/>
  <c r="J97" i="5"/>
  <c r="I97" i="5"/>
  <c r="E97" i="5"/>
  <c r="D97" i="5"/>
  <c r="F97" i="5" s="1"/>
  <c r="C97" i="5"/>
  <c r="AM96" i="5"/>
  <c r="AL96" i="5"/>
  <c r="AK96" i="5"/>
  <c r="AG96" i="5"/>
  <c r="AH96" i="5" s="1"/>
  <c r="AF96" i="5"/>
  <c r="AE96" i="5"/>
  <c r="AB96" i="5"/>
  <c r="AA96" i="5"/>
  <c r="W96" i="5"/>
  <c r="X96" i="5" s="1"/>
  <c r="V96" i="5"/>
  <c r="U96" i="5"/>
  <c r="Q96" i="5"/>
  <c r="P96" i="5"/>
  <c r="O96" i="5"/>
  <c r="K96" i="5"/>
  <c r="J96" i="5"/>
  <c r="I96" i="5"/>
  <c r="E96" i="5"/>
  <c r="D96" i="5"/>
  <c r="C96" i="5"/>
  <c r="AM95" i="5"/>
  <c r="AL95" i="5"/>
  <c r="AK95" i="5"/>
  <c r="AG95" i="5"/>
  <c r="AF95" i="5"/>
  <c r="AE95" i="5"/>
  <c r="AB95" i="5"/>
  <c r="AA95" i="5"/>
  <c r="W95" i="5"/>
  <c r="V95" i="5"/>
  <c r="U95" i="5"/>
  <c r="Q95" i="5"/>
  <c r="S95" i="5" s="1"/>
  <c r="P95" i="5"/>
  <c r="O95" i="5"/>
  <c r="K95" i="5"/>
  <c r="J95" i="5"/>
  <c r="I95" i="5"/>
  <c r="E95" i="5"/>
  <c r="D95" i="5"/>
  <c r="C95" i="5"/>
  <c r="AM94" i="5"/>
  <c r="AL94" i="5"/>
  <c r="AK94" i="5"/>
  <c r="AG94" i="5"/>
  <c r="AF94" i="5"/>
  <c r="AE94" i="5"/>
  <c r="AB94" i="5"/>
  <c r="AA94" i="5"/>
  <c r="W94" i="5"/>
  <c r="V94" i="5"/>
  <c r="U94" i="5"/>
  <c r="Q94" i="5"/>
  <c r="P94" i="5"/>
  <c r="O94" i="5"/>
  <c r="K94" i="5"/>
  <c r="J94" i="5"/>
  <c r="L94" i="5" s="1"/>
  <c r="I94" i="5"/>
  <c r="E94" i="5"/>
  <c r="D94" i="5"/>
  <c r="F94" i="5" s="1"/>
  <c r="C94" i="5"/>
  <c r="AM93" i="5"/>
  <c r="AL93" i="5"/>
  <c r="AK93" i="5"/>
  <c r="AG93" i="5"/>
  <c r="AH93" i="5" s="1"/>
  <c r="AI93" i="5" s="1"/>
  <c r="AF93" i="5"/>
  <c r="AE93" i="5"/>
  <c r="AB93" i="5"/>
  <c r="AA93" i="5"/>
  <c r="W93" i="5"/>
  <c r="X93" i="5" s="1"/>
  <c r="V93" i="5"/>
  <c r="U93" i="5"/>
  <c r="Q93" i="5"/>
  <c r="P93" i="5"/>
  <c r="O93" i="5"/>
  <c r="K93" i="5"/>
  <c r="J93" i="5"/>
  <c r="I93" i="5"/>
  <c r="E93" i="5"/>
  <c r="D93" i="5"/>
  <c r="C93" i="5"/>
  <c r="AM92" i="5"/>
  <c r="AN92" i="5" s="1"/>
  <c r="AL92" i="5"/>
  <c r="AK92" i="5"/>
  <c r="AG92" i="5"/>
  <c r="AF92" i="5"/>
  <c r="AE92" i="5"/>
  <c r="AB92" i="5"/>
  <c r="AA92" i="5"/>
  <c r="W92" i="5"/>
  <c r="V92" i="5"/>
  <c r="U92" i="5"/>
  <c r="Q92" i="5"/>
  <c r="P92" i="5"/>
  <c r="O92" i="5"/>
  <c r="K92" i="5"/>
  <c r="J92" i="5"/>
  <c r="L92" i="5" s="1"/>
  <c r="I92" i="5"/>
  <c r="E92" i="5"/>
  <c r="D92" i="5"/>
  <c r="C92" i="5"/>
  <c r="AM91" i="5"/>
  <c r="AL91" i="5"/>
  <c r="AK91" i="5"/>
  <c r="AG91" i="5"/>
  <c r="AF91" i="5"/>
  <c r="AE91" i="5"/>
  <c r="AB91" i="5"/>
  <c r="AA91" i="5"/>
  <c r="AC91" i="5" s="1"/>
  <c r="W91" i="5"/>
  <c r="V91" i="5"/>
  <c r="U91" i="5"/>
  <c r="Q91" i="5"/>
  <c r="R91" i="5" s="1"/>
  <c r="P91" i="5"/>
  <c r="O91" i="5"/>
  <c r="K91" i="5"/>
  <c r="J91" i="5"/>
  <c r="I91" i="5"/>
  <c r="E91" i="5"/>
  <c r="D91" i="5"/>
  <c r="C91" i="5"/>
  <c r="AM90" i="5"/>
  <c r="AL90" i="5"/>
  <c r="AK90" i="5"/>
  <c r="AG90" i="5"/>
  <c r="AH90" i="5" s="1"/>
  <c r="AF90" i="5"/>
  <c r="AE90" i="5"/>
  <c r="AB90" i="5"/>
  <c r="AA90" i="5"/>
  <c r="W90" i="5"/>
  <c r="V90" i="5"/>
  <c r="U90" i="5"/>
  <c r="Q90" i="5"/>
  <c r="P90" i="5"/>
  <c r="O90" i="5"/>
  <c r="K90" i="5"/>
  <c r="J90" i="5"/>
  <c r="I90" i="5"/>
  <c r="E90" i="5"/>
  <c r="D90" i="5"/>
  <c r="C90" i="5"/>
  <c r="AM89" i="5"/>
  <c r="AN89" i="5" s="1"/>
  <c r="AL89" i="5"/>
  <c r="AK89" i="5"/>
  <c r="AG89" i="5"/>
  <c r="AF89" i="5"/>
  <c r="AE89" i="5"/>
  <c r="AB89" i="5"/>
  <c r="AA89" i="5"/>
  <c r="W89" i="5"/>
  <c r="V89" i="5"/>
  <c r="U89" i="5"/>
  <c r="Q89" i="5"/>
  <c r="P89" i="5"/>
  <c r="O89" i="5"/>
  <c r="K89" i="5"/>
  <c r="J89" i="5"/>
  <c r="I89" i="5"/>
  <c r="E89" i="5"/>
  <c r="D89" i="5"/>
  <c r="C89" i="5"/>
  <c r="AM88" i="5"/>
  <c r="AL88" i="5"/>
  <c r="AK88" i="5"/>
  <c r="AG88" i="5"/>
  <c r="AF88" i="5"/>
  <c r="AE88" i="5"/>
  <c r="AB88" i="5"/>
  <c r="AA88" i="5"/>
  <c r="AC88" i="5" s="1"/>
  <c r="W88" i="5"/>
  <c r="V88" i="5"/>
  <c r="U88" i="5"/>
  <c r="Q88" i="5"/>
  <c r="P88" i="5"/>
  <c r="O88" i="5"/>
  <c r="K88" i="5"/>
  <c r="J88" i="5"/>
  <c r="L88" i="5" s="1"/>
  <c r="I88" i="5"/>
  <c r="E88" i="5"/>
  <c r="D88" i="5"/>
  <c r="F88" i="5" s="1"/>
  <c r="C88" i="5"/>
  <c r="AM87" i="5"/>
  <c r="AL87" i="5"/>
  <c r="AK87" i="5"/>
  <c r="AG87" i="5"/>
  <c r="AF87" i="5"/>
  <c r="AE87" i="5"/>
  <c r="AB87" i="5"/>
  <c r="AA87" i="5"/>
  <c r="W87" i="5"/>
  <c r="V87" i="5"/>
  <c r="U87" i="5"/>
  <c r="Q87" i="5"/>
  <c r="P87" i="5"/>
  <c r="O87" i="5"/>
  <c r="K87" i="5"/>
  <c r="J87" i="5"/>
  <c r="I87" i="5"/>
  <c r="E87" i="5"/>
  <c r="D87" i="5"/>
  <c r="C87" i="5"/>
  <c r="AM86" i="5"/>
  <c r="AL86" i="5"/>
  <c r="AK86" i="5"/>
  <c r="AG86" i="5"/>
  <c r="AF86" i="5"/>
  <c r="AE86" i="5"/>
  <c r="AB86" i="5"/>
  <c r="AA86" i="5"/>
  <c r="W86" i="5"/>
  <c r="V86" i="5"/>
  <c r="U86" i="5"/>
  <c r="Q86" i="5"/>
  <c r="P86" i="5"/>
  <c r="O86" i="5"/>
  <c r="K86" i="5"/>
  <c r="J86" i="5"/>
  <c r="L86" i="5" s="1"/>
  <c r="I86" i="5"/>
  <c r="E86" i="5"/>
  <c r="D86" i="5"/>
  <c r="C86" i="5"/>
  <c r="AM85" i="5"/>
  <c r="AL85" i="5"/>
  <c r="AK85" i="5"/>
  <c r="AG85" i="5"/>
  <c r="AF85" i="5"/>
  <c r="AE85" i="5"/>
  <c r="AB85" i="5"/>
  <c r="AA85" i="5"/>
  <c r="AC85" i="5" s="1"/>
  <c r="W85" i="5"/>
  <c r="V85" i="5"/>
  <c r="U85" i="5"/>
  <c r="Q85" i="5"/>
  <c r="P85" i="5"/>
  <c r="O85" i="5"/>
  <c r="K85" i="5"/>
  <c r="J85" i="5"/>
  <c r="I85" i="5"/>
  <c r="E85" i="5"/>
  <c r="D85" i="5"/>
  <c r="C85" i="5"/>
  <c r="AM84" i="5"/>
  <c r="AL84" i="5"/>
  <c r="AK84" i="5"/>
  <c r="AG84" i="5"/>
  <c r="AH84" i="5" s="1"/>
  <c r="AF84" i="5"/>
  <c r="AE84" i="5"/>
  <c r="AB84" i="5"/>
  <c r="AA84" i="5"/>
  <c r="W84" i="5"/>
  <c r="V84" i="5"/>
  <c r="U84" i="5"/>
  <c r="Q84" i="5"/>
  <c r="P84" i="5"/>
  <c r="O84" i="5"/>
  <c r="K84" i="5"/>
  <c r="J84" i="5"/>
  <c r="I84" i="5"/>
  <c r="E84" i="5"/>
  <c r="D84" i="5"/>
  <c r="C84" i="5"/>
  <c r="AM83" i="5"/>
  <c r="AN83" i="5" s="1"/>
  <c r="AL83" i="5"/>
  <c r="AK83" i="5"/>
  <c r="AG83" i="5"/>
  <c r="AF83" i="5"/>
  <c r="AE83" i="5"/>
  <c r="AB83" i="5"/>
  <c r="AA83" i="5"/>
  <c r="W83" i="5"/>
  <c r="V83" i="5"/>
  <c r="U83" i="5"/>
  <c r="Q83" i="5"/>
  <c r="P83" i="5"/>
  <c r="O83" i="5"/>
  <c r="K83" i="5"/>
  <c r="J83" i="5"/>
  <c r="I83" i="5"/>
  <c r="E83" i="5"/>
  <c r="D83" i="5"/>
  <c r="C83" i="5"/>
  <c r="AM82" i="5"/>
  <c r="AL82" i="5"/>
  <c r="AK82" i="5"/>
  <c r="AG82" i="5"/>
  <c r="AF82" i="5"/>
  <c r="AE82" i="5"/>
  <c r="AB82" i="5"/>
  <c r="AA82" i="5"/>
  <c r="AC82" i="5" s="1"/>
  <c r="W82" i="5"/>
  <c r="V82" i="5"/>
  <c r="U82" i="5"/>
  <c r="Q82" i="5"/>
  <c r="P82" i="5"/>
  <c r="O82" i="5"/>
  <c r="K82" i="5"/>
  <c r="J82" i="5"/>
  <c r="L82" i="5" s="1"/>
  <c r="I82" i="5"/>
  <c r="E82" i="5"/>
  <c r="D82" i="5"/>
  <c r="F82" i="5" s="1"/>
  <c r="C82" i="5"/>
  <c r="AM81" i="5"/>
  <c r="AL81" i="5"/>
  <c r="AK81" i="5"/>
  <c r="AG81" i="5"/>
  <c r="AF81" i="5"/>
  <c r="AE81" i="5"/>
  <c r="AB81" i="5"/>
  <c r="AA81" i="5"/>
  <c r="W81" i="5"/>
  <c r="V81" i="5"/>
  <c r="U81" i="5"/>
  <c r="Q81" i="5"/>
  <c r="P81" i="5"/>
  <c r="O81" i="5"/>
  <c r="K81" i="5"/>
  <c r="J81" i="5"/>
  <c r="I81" i="5"/>
  <c r="E81" i="5"/>
  <c r="D81" i="5"/>
  <c r="C81" i="5"/>
  <c r="AM80" i="5"/>
  <c r="AL80" i="5"/>
  <c r="AK80" i="5"/>
  <c r="AG80" i="5"/>
  <c r="AF80" i="5"/>
  <c r="AE80" i="5"/>
  <c r="AB80" i="5"/>
  <c r="AA80" i="5"/>
  <c r="W80" i="5"/>
  <c r="V80" i="5"/>
  <c r="U80" i="5"/>
  <c r="Q80" i="5"/>
  <c r="P80" i="5"/>
  <c r="O80" i="5"/>
  <c r="K80" i="5"/>
  <c r="J80" i="5"/>
  <c r="L80" i="5" s="1"/>
  <c r="I80" i="5"/>
  <c r="E80" i="5"/>
  <c r="D80" i="5"/>
  <c r="C80" i="5"/>
  <c r="AM79" i="5"/>
  <c r="AL79" i="5"/>
  <c r="AK79" i="5"/>
  <c r="AG79" i="5"/>
  <c r="AF79" i="5"/>
  <c r="AE79" i="5"/>
  <c r="AB79" i="5"/>
  <c r="AA79" i="5"/>
  <c r="AC79" i="5" s="1"/>
  <c r="W79" i="5"/>
  <c r="V79" i="5"/>
  <c r="U79" i="5"/>
  <c r="Q79" i="5"/>
  <c r="R79" i="5" s="1"/>
  <c r="P79" i="5"/>
  <c r="O79" i="5"/>
  <c r="K79" i="5"/>
  <c r="J79" i="5"/>
  <c r="I79" i="5"/>
  <c r="E79" i="5"/>
  <c r="D79" i="5"/>
  <c r="F79" i="5" s="1"/>
  <c r="C79" i="5"/>
  <c r="AM78" i="5"/>
  <c r="AL78" i="5"/>
  <c r="AK78" i="5"/>
  <c r="AG78" i="5"/>
  <c r="AH78" i="5" s="1"/>
  <c r="AF78" i="5"/>
  <c r="AE78" i="5"/>
  <c r="AB78" i="5"/>
  <c r="AA78" i="5"/>
  <c r="W78" i="5"/>
  <c r="V78" i="5"/>
  <c r="U78" i="5"/>
  <c r="Q78" i="5"/>
  <c r="P78" i="5"/>
  <c r="O78" i="5"/>
  <c r="K78" i="5"/>
  <c r="J78" i="5"/>
  <c r="I78" i="5"/>
  <c r="E78" i="5"/>
  <c r="D78" i="5"/>
  <c r="C78" i="5"/>
  <c r="AM77" i="5"/>
  <c r="AN77" i="5" s="1"/>
  <c r="AL77" i="5"/>
  <c r="AK77" i="5"/>
  <c r="AG77" i="5"/>
  <c r="AF77" i="5"/>
  <c r="AE77" i="5"/>
  <c r="AB77" i="5"/>
  <c r="AA77" i="5"/>
  <c r="W77" i="5"/>
  <c r="V77" i="5"/>
  <c r="U77" i="5"/>
  <c r="Q77" i="5"/>
  <c r="P77" i="5"/>
  <c r="O77" i="5"/>
  <c r="K77" i="5"/>
  <c r="J77" i="5"/>
  <c r="I77" i="5"/>
  <c r="E77" i="5"/>
  <c r="D77" i="5"/>
  <c r="C77" i="5"/>
  <c r="AM76" i="5"/>
  <c r="AL76" i="5"/>
  <c r="AK76" i="5"/>
  <c r="AG76" i="5"/>
  <c r="AF76" i="5"/>
  <c r="AE76" i="5"/>
  <c r="AB76" i="5"/>
  <c r="AA76" i="5"/>
  <c r="AC76" i="5" s="1"/>
  <c r="W76" i="5"/>
  <c r="V76" i="5"/>
  <c r="U76" i="5"/>
  <c r="Q76" i="5"/>
  <c r="R76" i="5" s="1"/>
  <c r="P76" i="5"/>
  <c r="O76" i="5"/>
  <c r="K76" i="5"/>
  <c r="J76" i="5"/>
  <c r="L76" i="5" s="1"/>
  <c r="I76" i="5"/>
  <c r="E76" i="5"/>
  <c r="D76" i="5"/>
  <c r="F76" i="5" s="1"/>
  <c r="C76" i="5"/>
  <c r="AM75" i="5"/>
  <c r="AL75" i="5"/>
  <c r="AK75" i="5"/>
  <c r="AG75" i="5"/>
  <c r="AF75" i="5"/>
  <c r="AE75" i="5"/>
  <c r="AB75" i="5"/>
  <c r="AA75" i="5"/>
  <c r="W75" i="5"/>
  <c r="X75" i="5" s="1"/>
  <c r="V75" i="5"/>
  <c r="U75" i="5"/>
  <c r="Q75" i="5"/>
  <c r="P75" i="5"/>
  <c r="O75" i="5"/>
  <c r="K75" i="5"/>
  <c r="J75" i="5"/>
  <c r="I75" i="5"/>
  <c r="E75" i="5"/>
  <c r="D75" i="5"/>
  <c r="C75" i="5"/>
  <c r="G75" i="5" s="1"/>
  <c r="AM74" i="5"/>
  <c r="AN74" i="5" s="1"/>
  <c r="AL74" i="5"/>
  <c r="AK74" i="5"/>
  <c r="AG74" i="5"/>
  <c r="AF74" i="5"/>
  <c r="AE74" i="5"/>
  <c r="AB74" i="5"/>
  <c r="AA74" i="5"/>
  <c r="W74" i="5"/>
  <c r="V74" i="5"/>
  <c r="U74" i="5"/>
  <c r="Q74" i="5"/>
  <c r="P74" i="5"/>
  <c r="O74" i="5"/>
  <c r="K74" i="5"/>
  <c r="J74" i="5"/>
  <c r="I74" i="5"/>
  <c r="E74" i="5"/>
  <c r="D74" i="5"/>
  <c r="C74" i="5"/>
  <c r="AM73" i="5"/>
  <c r="AL73" i="5"/>
  <c r="AK73" i="5"/>
  <c r="AG73" i="5"/>
  <c r="AF73" i="5"/>
  <c r="AE73" i="5"/>
  <c r="AB73" i="5"/>
  <c r="AA73" i="5"/>
  <c r="AC73" i="5" s="1"/>
  <c r="W73" i="5"/>
  <c r="V73" i="5"/>
  <c r="U73" i="5"/>
  <c r="Q73" i="5"/>
  <c r="P73" i="5"/>
  <c r="O73" i="5"/>
  <c r="K73" i="5"/>
  <c r="J73" i="5"/>
  <c r="I73" i="5"/>
  <c r="E73" i="5"/>
  <c r="D73" i="5"/>
  <c r="F73" i="5" s="1"/>
  <c r="C73" i="5"/>
  <c r="AM72" i="5"/>
  <c r="AL72" i="5"/>
  <c r="AK72" i="5"/>
  <c r="AG72" i="5"/>
  <c r="AH72" i="5" s="1"/>
  <c r="AF72" i="5"/>
  <c r="AE72" i="5"/>
  <c r="AB72" i="5"/>
  <c r="AA72" i="5"/>
  <c r="W72" i="5"/>
  <c r="X72" i="5" s="1"/>
  <c r="V72" i="5"/>
  <c r="U72" i="5"/>
  <c r="Q72" i="5"/>
  <c r="P72" i="5"/>
  <c r="O72" i="5"/>
  <c r="K72" i="5"/>
  <c r="J72" i="5"/>
  <c r="I72" i="5"/>
  <c r="E72" i="5"/>
  <c r="D72" i="5"/>
  <c r="C72" i="5"/>
  <c r="AM71" i="5"/>
  <c r="AN71" i="5" s="1"/>
  <c r="AL71" i="5"/>
  <c r="AK71" i="5"/>
  <c r="AG71" i="5"/>
  <c r="AF71" i="5"/>
  <c r="AE71" i="5"/>
  <c r="AB71" i="5"/>
  <c r="AA71" i="5"/>
  <c r="W71" i="5"/>
  <c r="V71" i="5"/>
  <c r="U71" i="5"/>
  <c r="Q71" i="5"/>
  <c r="P71" i="5"/>
  <c r="O71" i="5"/>
  <c r="K71" i="5"/>
  <c r="J71" i="5"/>
  <c r="I71" i="5"/>
  <c r="E71" i="5"/>
  <c r="D71" i="5"/>
  <c r="C71" i="5"/>
  <c r="AM70" i="5"/>
  <c r="AL70" i="5"/>
  <c r="AK70" i="5"/>
  <c r="AG70" i="5"/>
  <c r="AF70" i="5"/>
  <c r="AE70" i="5"/>
  <c r="AB70" i="5"/>
  <c r="AA70" i="5"/>
  <c r="W70" i="5"/>
  <c r="V70" i="5"/>
  <c r="U70" i="5"/>
  <c r="Q70" i="5"/>
  <c r="P70" i="5"/>
  <c r="O70" i="5"/>
  <c r="K70" i="5"/>
  <c r="J70" i="5"/>
  <c r="I70" i="5"/>
  <c r="E70" i="5"/>
  <c r="D70" i="5"/>
  <c r="C70" i="5"/>
  <c r="AM69" i="5"/>
  <c r="AL69" i="5"/>
  <c r="AK69" i="5"/>
  <c r="AG69" i="5"/>
  <c r="AF69" i="5"/>
  <c r="AE69" i="5"/>
  <c r="AB69" i="5"/>
  <c r="AA69" i="5"/>
  <c r="W69" i="5"/>
  <c r="V69" i="5"/>
  <c r="U69" i="5"/>
  <c r="Q69" i="5"/>
  <c r="P69" i="5"/>
  <c r="O69" i="5"/>
  <c r="K69" i="5"/>
  <c r="J69" i="5"/>
  <c r="I69" i="5"/>
  <c r="E69" i="5"/>
  <c r="D69" i="5"/>
  <c r="C69" i="5"/>
  <c r="AM68" i="5"/>
  <c r="AL68" i="5"/>
  <c r="AK68" i="5"/>
  <c r="AG68" i="5"/>
  <c r="AF68" i="5"/>
  <c r="AE68" i="5"/>
  <c r="AB68" i="5"/>
  <c r="AA68" i="5"/>
  <c r="W68" i="5"/>
  <c r="V68" i="5"/>
  <c r="X68" i="5" s="1"/>
  <c r="U68" i="5"/>
  <c r="Q68" i="5"/>
  <c r="P68" i="5"/>
  <c r="O68" i="5"/>
  <c r="K68" i="5"/>
  <c r="J68" i="5"/>
  <c r="I68" i="5"/>
  <c r="E68" i="5"/>
  <c r="D68" i="5"/>
  <c r="C68" i="5"/>
  <c r="AM67" i="5"/>
  <c r="AL67" i="5"/>
  <c r="AK67" i="5"/>
  <c r="AG67" i="5"/>
  <c r="AF67" i="5"/>
  <c r="AE67" i="5"/>
  <c r="AB67" i="5"/>
  <c r="AA67" i="5"/>
  <c r="W67" i="5"/>
  <c r="V67" i="5"/>
  <c r="U67" i="5"/>
  <c r="Q67" i="5"/>
  <c r="P67" i="5"/>
  <c r="O67" i="5"/>
  <c r="K67" i="5"/>
  <c r="J67" i="5"/>
  <c r="I67" i="5"/>
  <c r="E67" i="5"/>
  <c r="D67" i="5"/>
  <c r="F67" i="5" s="1"/>
  <c r="C67" i="5"/>
  <c r="AM66" i="5"/>
  <c r="AL66" i="5"/>
  <c r="AK66" i="5"/>
  <c r="AG66" i="5"/>
  <c r="AH66" i="5" s="1"/>
  <c r="AF66" i="5"/>
  <c r="AE66" i="5"/>
  <c r="AB66" i="5"/>
  <c r="AA66" i="5"/>
  <c r="W66" i="5"/>
  <c r="V66" i="5"/>
  <c r="U66" i="5"/>
  <c r="Q66" i="5"/>
  <c r="P66" i="5"/>
  <c r="O66" i="5"/>
  <c r="K66" i="5"/>
  <c r="J66" i="5"/>
  <c r="I66" i="5"/>
  <c r="E66" i="5"/>
  <c r="D66" i="5"/>
  <c r="C66" i="5"/>
  <c r="AM65" i="5"/>
  <c r="AL65" i="5"/>
  <c r="AK65" i="5"/>
  <c r="AG65" i="5"/>
  <c r="AF65" i="5"/>
  <c r="AE65" i="5"/>
  <c r="AB65" i="5"/>
  <c r="AA65" i="5"/>
  <c r="W65" i="5"/>
  <c r="V65" i="5"/>
  <c r="U65" i="5"/>
  <c r="Q65" i="5"/>
  <c r="P65" i="5"/>
  <c r="O65" i="5"/>
  <c r="K65" i="5"/>
  <c r="J65" i="5"/>
  <c r="I65" i="5"/>
  <c r="E65" i="5"/>
  <c r="D65" i="5"/>
  <c r="C65" i="5"/>
  <c r="AM64" i="5"/>
  <c r="AL64" i="5"/>
  <c r="AK64" i="5"/>
  <c r="AG64" i="5"/>
  <c r="AF64" i="5"/>
  <c r="AE64" i="5"/>
  <c r="AB64" i="5"/>
  <c r="AA64" i="5"/>
  <c r="W64" i="5"/>
  <c r="V64" i="5"/>
  <c r="U64" i="5"/>
  <c r="Q64" i="5"/>
  <c r="P64" i="5"/>
  <c r="O64" i="5"/>
  <c r="K64" i="5"/>
  <c r="J64" i="5"/>
  <c r="M64" i="5" s="1"/>
  <c r="I64" i="5"/>
  <c r="E64" i="5"/>
  <c r="D64" i="5"/>
  <c r="F64" i="5" s="1"/>
  <c r="C64" i="5"/>
  <c r="AM63" i="5"/>
  <c r="AL63" i="5"/>
  <c r="AK63" i="5"/>
  <c r="AG63" i="5"/>
  <c r="AH63" i="5" s="1"/>
  <c r="AF63" i="5"/>
  <c r="AE63" i="5"/>
  <c r="AB63" i="5"/>
  <c r="AA63" i="5"/>
  <c r="W63" i="5"/>
  <c r="V63" i="5"/>
  <c r="U63" i="5"/>
  <c r="Q63" i="5"/>
  <c r="P63" i="5"/>
  <c r="O63" i="5"/>
  <c r="K63" i="5"/>
  <c r="J63" i="5"/>
  <c r="I63" i="5"/>
  <c r="E63" i="5"/>
  <c r="D63" i="5"/>
  <c r="C63" i="5"/>
  <c r="AM62" i="5"/>
  <c r="AL62" i="5"/>
  <c r="AK62" i="5"/>
  <c r="AG62" i="5"/>
  <c r="AF62" i="5"/>
  <c r="AE62" i="5"/>
  <c r="AB62" i="5"/>
  <c r="AA62" i="5"/>
  <c r="W62" i="5"/>
  <c r="V62" i="5"/>
  <c r="X62" i="5" s="1"/>
  <c r="U62" i="5"/>
  <c r="Q62" i="5"/>
  <c r="P62" i="5"/>
  <c r="O62" i="5"/>
  <c r="K62" i="5"/>
  <c r="J62" i="5"/>
  <c r="I62" i="5"/>
  <c r="E62" i="5"/>
  <c r="D62" i="5"/>
  <c r="C62" i="5"/>
  <c r="AM61" i="5"/>
  <c r="AL61" i="5"/>
  <c r="AN61" i="5" s="1"/>
  <c r="AK61" i="5"/>
  <c r="AG61" i="5"/>
  <c r="AF61" i="5"/>
  <c r="AE61" i="5"/>
  <c r="AB61" i="5"/>
  <c r="AA61" i="5"/>
  <c r="AC61" i="5" s="1"/>
  <c r="W61" i="5"/>
  <c r="V61" i="5"/>
  <c r="U61" i="5"/>
  <c r="Q61" i="5"/>
  <c r="P61" i="5"/>
  <c r="O61" i="5"/>
  <c r="K61" i="5"/>
  <c r="J61" i="5"/>
  <c r="I61" i="5"/>
  <c r="E61" i="5"/>
  <c r="D61" i="5"/>
  <c r="F61" i="5" s="1"/>
  <c r="C61" i="5"/>
  <c r="G61" i="5" s="1"/>
  <c r="AM60" i="5"/>
  <c r="AL60" i="5"/>
  <c r="AK60" i="5"/>
  <c r="AG60" i="5"/>
  <c r="AF60" i="5"/>
  <c r="AE60" i="5"/>
  <c r="AB60" i="5"/>
  <c r="AA60" i="5"/>
  <c r="AC60" i="5" s="1"/>
  <c r="W60" i="5"/>
  <c r="V60" i="5"/>
  <c r="U60" i="5"/>
  <c r="Q60" i="5"/>
  <c r="P60" i="5"/>
  <c r="O60" i="5"/>
  <c r="K60" i="5"/>
  <c r="J60" i="5"/>
  <c r="I60" i="5"/>
  <c r="E60" i="5"/>
  <c r="D60" i="5"/>
  <c r="F60" i="5" s="1"/>
  <c r="C60" i="5"/>
  <c r="AM59" i="5"/>
  <c r="AL59" i="5"/>
  <c r="AK59" i="5"/>
  <c r="AG59" i="5"/>
  <c r="AF59" i="5"/>
  <c r="AE59" i="5"/>
  <c r="AB59" i="5"/>
  <c r="AC59" i="5" s="1"/>
  <c r="W59" i="5"/>
  <c r="V59" i="5"/>
  <c r="Q59" i="5"/>
  <c r="P59" i="5"/>
  <c r="O59" i="5"/>
  <c r="K59" i="5"/>
  <c r="J59" i="5"/>
  <c r="I59" i="5"/>
  <c r="E59" i="5"/>
  <c r="D59" i="5"/>
  <c r="C59" i="5"/>
  <c r="AM58" i="5"/>
  <c r="AL58" i="5"/>
  <c r="AK58" i="5"/>
  <c r="AG58" i="5"/>
  <c r="AF58" i="5"/>
  <c r="AE58" i="5"/>
  <c r="AB58" i="5"/>
  <c r="AC58" i="5" s="1"/>
  <c r="W58" i="5"/>
  <c r="V58" i="5"/>
  <c r="Q58" i="5"/>
  <c r="P58" i="5"/>
  <c r="E58" i="5"/>
  <c r="D58" i="5"/>
  <c r="C58" i="5"/>
  <c r="AM57" i="5"/>
  <c r="AL57" i="5"/>
  <c r="AK57" i="5"/>
  <c r="AG57" i="5"/>
  <c r="AF57" i="5"/>
  <c r="AE57" i="5"/>
  <c r="AB57" i="5"/>
  <c r="AC57" i="5" s="1"/>
  <c r="W57" i="5"/>
  <c r="V57" i="5"/>
  <c r="Q57" i="5"/>
  <c r="P57" i="5"/>
  <c r="K57" i="5"/>
  <c r="J57" i="5"/>
  <c r="E57" i="5"/>
  <c r="D57" i="5"/>
  <c r="C57" i="5"/>
  <c r="AM56" i="5"/>
  <c r="AL56" i="5"/>
  <c r="AK56" i="5"/>
  <c r="AG56" i="5"/>
  <c r="AF56" i="5"/>
  <c r="AE56" i="5"/>
  <c r="AB56" i="5"/>
  <c r="AC56" i="5" s="1"/>
  <c r="W56" i="5"/>
  <c r="V56" i="5"/>
  <c r="Q56" i="5"/>
  <c r="P56" i="5"/>
  <c r="K56" i="5"/>
  <c r="J56" i="5"/>
  <c r="E56" i="5"/>
  <c r="D56" i="5"/>
  <c r="C56" i="5"/>
  <c r="AM55" i="5"/>
  <c r="AL55" i="5"/>
  <c r="AK55" i="5"/>
  <c r="AG55" i="5"/>
  <c r="AF55" i="5"/>
  <c r="AE55" i="5"/>
  <c r="AB55" i="5"/>
  <c r="AC55" i="5" s="1"/>
  <c r="W55" i="5"/>
  <c r="V55" i="5"/>
  <c r="Q55" i="5"/>
  <c r="P55" i="5"/>
  <c r="K55" i="5"/>
  <c r="J55" i="5"/>
  <c r="E55" i="5"/>
  <c r="D55" i="5"/>
  <c r="C55" i="5"/>
  <c r="AM54" i="5"/>
  <c r="AL54" i="5"/>
  <c r="AK54" i="5"/>
  <c r="AG54" i="5"/>
  <c r="AF54" i="5"/>
  <c r="AE54" i="5"/>
  <c r="AB54" i="5"/>
  <c r="AC54" i="5" s="1"/>
  <c r="W54" i="5"/>
  <c r="V54" i="5"/>
  <c r="Q54" i="5"/>
  <c r="P54" i="5"/>
  <c r="K54" i="5"/>
  <c r="J54" i="5"/>
  <c r="E54" i="5"/>
  <c r="D54" i="5"/>
  <c r="G54" i="5" s="1"/>
  <c r="AM53" i="5"/>
  <c r="AL53" i="5"/>
  <c r="AK53" i="5"/>
  <c r="AG53" i="5"/>
  <c r="AF53" i="5"/>
  <c r="AE53" i="5"/>
  <c r="AB53" i="5"/>
  <c r="AA53" i="5"/>
  <c r="W53" i="5"/>
  <c r="V53" i="5"/>
  <c r="U53" i="5"/>
  <c r="Q53" i="5"/>
  <c r="P53" i="5"/>
  <c r="O53" i="5"/>
  <c r="K53" i="5"/>
  <c r="J53" i="5"/>
  <c r="I53" i="5"/>
  <c r="E53" i="5"/>
  <c r="D53" i="5"/>
  <c r="C53" i="5"/>
  <c r="AM52" i="5"/>
  <c r="AL52" i="5"/>
  <c r="AK52" i="5"/>
  <c r="AG52" i="5"/>
  <c r="AF52" i="5"/>
  <c r="AE52" i="5"/>
  <c r="AB52" i="5"/>
  <c r="AA52" i="5"/>
  <c r="W52" i="5"/>
  <c r="V52" i="5"/>
  <c r="U52" i="5"/>
  <c r="Q52" i="5"/>
  <c r="P52" i="5"/>
  <c r="O52" i="5"/>
  <c r="K52" i="5"/>
  <c r="J52" i="5"/>
  <c r="I52" i="5"/>
  <c r="E52" i="5"/>
  <c r="D52" i="5"/>
  <c r="C52" i="5"/>
  <c r="AM51" i="5"/>
  <c r="AL51" i="5"/>
  <c r="AK51" i="5"/>
  <c r="AG51" i="5"/>
  <c r="AF51" i="5"/>
  <c r="AE51" i="5"/>
  <c r="AB51" i="5"/>
  <c r="AA51" i="5"/>
  <c r="AC51" i="5" s="1"/>
  <c r="W51" i="5"/>
  <c r="V51" i="5"/>
  <c r="U51" i="5"/>
  <c r="Q51" i="5"/>
  <c r="P51" i="5"/>
  <c r="O51" i="5"/>
  <c r="K51" i="5"/>
  <c r="J51" i="5"/>
  <c r="I51" i="5"/>
  <c r="E51" i="5"/>
  <c r="D51" i="5"/>
  <c r="C51" i="5"/>
  <c r="AM50" i="5"/>
  <c r="AL50" i="5"/>
  <c r="AK50" i="5"/>
  <c r="AG50" i="5"/>
  <c r="AF50" i="5"/>
  <c r="AE50" i="5"/>
  <c r="AB50" i="5"/>
  <c r="AA50" i="5"/>
  <c r="W50" i="5"/>
  <c r="V50" i="5"/>
  <c r="U50" i="5"/>
  <c r="Q50" i="5"/>
  <c r="P50" i="5"/>
  <c r="R50" i="5" s="1"/>
  <c r="O50" i="5"/>
  <c r="K50" i="5"/>
  <c r="J50" i="5"/>
  <c r="I50" i="5"/>
  <c r="E50" i="5"/>
  <c r="D50" i="5"/>
  <c r="C50" i="5"/>
  <c r="AM49" i="5"/>
  <c r="AL49" i="5"/>
  <c r="AK49" i="5"/>
  <c r="AG49" i="5"/>
  <c r="AF49" i="5"/>
  <c r="AE49" i="5"/>
  <c r="AB49" i="5"/>
  <c r="AA49" i="5"/>
  <c r="W49" i="5"/>
  <c r="V49" i="5"/>
  <c r="U49" i="5"/>
  <c r="Q49" i="5"/>
  <c r="P49" i="5"/>
  <c r="O49" i="5"/>
  <c r="K49" i="5"/>
  <c r="J49" i="5"/>
  <c r="L49" i="5" s="1"/>
  <c r="I49" i="5"/>
  <c r="E49" i="5"/>
  <c r="D49" i="5"/>
  <c r="C49" i="5"/>
  <c r="AM48" i="5"/>
  <c r="AL48" i="5"/>
  <c r="AK48" i="5"/>
  <c r="AG48" i="5"/>
  <c r="AF48" i="5"/>
  <c r="AE48" i="5"/>
  <c r="AB48" i="5"/>
  <c r="AA48" i="5"/>
  <c r="W48" i="5"/>
  <c r="X48" i="5" s="1"/>
  <c r="V48" i="5"/>
  <c r="U48" i="5"/>
  <c r="Q48" i="5"/>
  <c r="P48" i="5"/>
  <c r="O48" i="5"/>
  <c r="K48" i="5"/>
  <c r="J48" i="5"/>
  <c r="I48" i="5"/>
  <c r="E48" i="5"/>
  <c r="D48" i="5"/>
  <c r="C48" i="5"/>
  <c r="G48" i="5" s="1"/>
  <c r="AM47" i="5"/>
  <c r="AL47" i="5"/>
  <c r="AK47" i="5"/>
  <c r="AG47" i="5"/>
  <c r="AF47" i="5"/>
  <c r="AE47" i="5"/>
  <c r="AB47" i="5"/>
  <c r="AA47" i="5"/>
  <c r="W47" i="5"/>
  <c r="V47" i="5"/>
  <c r="U47" i="5"/>
  <c r="Q47" i="5"/>
  <c r="P47" i="5"/>
  <c r="O47" i="5"/>
  <c r="K47" i="5"/>
  <c r="J47" i="5"/>
  <c r="I47" i="5"/>
  <c r="E47" i="5"/>
  <c r="D47" i="5"/>
  <c r="C47" i="5"/>
  <c r="AM46" i="5"/>
  <c r="AL46" i="5"/>
  <c r="AK46" i="5"/>
  <c r="AG46" i="5"/>
  <c r="AF46" i="5"/>
  <c r="AH46" i="5" s="1"/>
  <c r="AE46" i="5"/>
  <c r="AB46" i="5"/>
  <c r="AC46" i="5" s="1"/>
  <c r="W46" i="5"/>
  <c r="V46" i="5"/>
  <c r="Q46" i="5"/>
  <c r="P46" i="5"/>
  <c r="K46" i="5"/>
  <c r="J46" i="5"/>
  <c r="E46" i="5"/>
  <c r="D46" i="5"/>
  <c r="AM45" i="5"/>
  <c r="AL45" i="5"/>
  <c r="AK45" i="5"/>
  <c r="AG45" i="5"/>
  <c r="AF45" i="5"/>
  <c r="AE45" i="5"/>
  <c r="AB45" i="5"/>
  <c r="AA45" i="5"/>
  <c r="W45" i="5"/>
  <c r="V45" i="5"/>
  <c r="U45" i="5"/>
  <c r="Q45" i="5"/>
  <c r="P45" i="5"/>
  <c r="O45" i="5"/>
  <c r="K45" i="5"/>
  <c r="J45" i="5"/>
  <c r="I45" i="5"/>
  <c r="E45" i="5"/>
  <c r="D45" i="5"/>
  <c r="C45" i="5"/>
  <c r="AM44" i="5"/>
  <c r="AL44" i="5"/>
  <c r="AK44" i="5"/>
  <c r="AG44" i="5"/>
  <c r="AF44" i="5"/>
  <c r="AE44" i="5"/>
  <c r="AB44" i="5"/>
  <c r="AA44" i="5"/>
  <c r="W44" i="5"/>
  <c r="V44" i="5"/>
  <c r="U44" i="5"/>
  <c r="Q44" i="5"/>
  <c r="P44" i="5"/>
  <c r="O44" i="5"/>
  <c r="K44" i="5"/>
  <c r="J44" i="5"/>
  <c r="I44" i="5"/>
  <c r="E44" i="5"/>
  <c r="G44" i="5" s="1"/>
  <c r="D44" i="5"/>
  <c r="C44" i="5"/>
  <c r="AM43" i="5"/>
  <c r="AL43" i="5"/>
  <c r="AK43" i="5"/>
  <c r="AG43" i="5"/>
  <c r="AF43" i="5"/>
  <c r="AE43" i="5"/>
  <c r="AB43" i="5"/>
  <c r="AC43" i="5" s="1"/>
  <c r="AD43" i="5" s="1"/>
  <c r="W43" i="5"/>
  <c r="V43" i="5"/>
  <c r="Q43" i="5"/>
  <c r="P43" i="5"/>
  <c r="K43" i="5"/>
  <c r="J43" i="5"/>
  <c r="E43" i="5"/>
  <c r="D43" i="5"/>
  <c r="AM42" i="5"/>
  <c r="AL42" i="5"/>
  <c r="AK42" i="5"/>
  <c r="AG42" i="5"/>
  <c r="AF42" i="5"/>
  <c r="AE42" i="5"/>
  <c r="AD42" i="5"/>
  <c r="Y42" i="5"/>
  <c r="X42" i="5"/>
  <c r="S42" i="5"/>
  <c r="R42" i="5"/>
  <c r="M42" i="5"/>
  <c r="L42" i="5"/>
  <c r="F42" i="5"/>
  <c r="G42" i="5" s="1"/>
  <c r="AM41" i="5"/>
  <c r="AL41" i="5"/>
  <c r="AK41" i="5"/>
  <c r="AG41" i="5"/>
  <c r="AF41" i="5"/>
  <c r="AH41" i="5" s="1"/>
  <c r="AI41" i="5" s="1"/>
  <c r="AE41" i="5"/>
  <c r="AD41" i="5"/>
  <c r="Y41" i="5"/>
  <c r="X41" i="5"/>
  <c r="S41" i="5"/>
  <c r="R41" i="5"/>
  <c r="M41" i="5"/>
  <c r="L41" i="5"/>
  <c r="F41" i="5"/>
  <c r="G41" i="5" s="1"/>
  <c r="AM40" i="5"/>
  <c r="AL40" i="5"/>
  <c r="AK40" i="5"/>
  <c r="AG40" i="5"/>
  <c r="AF40" i="5"/>
  <c r="AE40" i="5"/>
  <c r="AD40" i="5"/>
  <c r="Y40" i="5"/>
  <c r="X40" i="5"/>
  <c r="S40" i="5"/>
  <c r="T40" i="5" s="1"/>
  <c r="R40" i="5"/>
  <c r="M40" i="5"/>
  <c r="L40" i="5"/>
  <c r="F40" i="5"/>
  <c r="G40" i="5" s="1"/>
  <c r="AM39" i="5"/>
  <c r="AL39" i="5"/>
  <c r="AK39" i="5"/>
  <c r="AG39" i="5"/>
  <c r="AF39" i="5"/>
  <c r="AE39" i="5"/>
  <c r="AD39" i="5"/>
  <c r="Y39" i="5"/>
  <c r="X39" i="5"/>
  <c r="S39" i="5"/>
  <c r="R39" i="5"/>
  <c r="M39" i="5"/>
  <c r="N39" i="5" s="1"/>
  <c r="L39" i="5"/>
  <c r="F39" i="5"/>
  <c r="G39" i="5" s="1"/>
  <c r="AM38" i="5"/>
  <c r="AL38" i="5"/>
  <c r="AK38" i="5"/>
  <c r="AG38" i="5"/>
  <c r="AF38" i="5"/>
  <c r="AE38" i="5"/>
  <c r="AD38" i="5"/>
  <c r="Y38" i="5"/>
  <c r="X38" i="5"/>
  <c r="S38" i="5"/>
  <c r="R38" i="5"/>
  <c r="M38" i="5"/>
  <c r="L38" i="5"/>
  <c r="F38" i="5"/>
  <c r="G38" i="5" s="1"/>
  <c r="AM37" i="5"/>
  <c r="AL37" i="5"/>
  <c r="AK37" i="5"/>
  <c r="AG37" i="5"/>
  <c r="AF37" i="5"/>
  <c r="AE37" i="5"/>
  <c r="AD37" i="5"/>
  <c r="Y37" i="5"/>
  <c r="X37" i="5"/>
  <c r="S37" i="5"/>
  <c r="R37" i="5"/>
  <c r="M37" i="5"/>
  <c r="L37" i="5"/>
  <c r="F37" i="5"/>
  <c r="G37" i="5" s="1"/>
  <c r="AM36" i="5"/>
  <c r="AL36" i="5"/>
  <c r="AK36" i="5"/>
  <c r="AG36" i="5"/>
  <c r="AF36" i="5"/>
  <c r="AE36" i="5"/>
  <c r="AD36" i="5"/>
  <c r="Y36" i="5"/>
  <c r="X36" i="5"/>
  <c r="S36" i="5"/>
  <c r="R36" i="5"/>
  <c r="M36" i="5"/>
  <c r="L36" i="5"/>
  <c r="F36" i="5"/>
  <c r="G36" i="5" s="1"/>
  <c r="AM35" i="5"/>
  <c r="AL35" i="5"/>
  <c r="AK35" i="5"/>
  <c r="AG35" i="5"/>
  <c r="AF35" i="5"/>
  <c r="AE35" i="5"/>
  <c r="AD35" i="5"/>
  <c r="Y35" i="5"/>
  <c r="X35" i="5"/>
  <c r="S35" i="5"/>
  <c r="R35" i="5"/>
  <c r="M35" i="5"/>
  <c r="N35" i="5" s="1"/>
  <c r="L35" i="5"/>
  <c r="F35" i="5"/>
  <c r="G35" i="5" s="1"/>
  <c r="AM34" i="5"/>
  <c r="AL34" i="5"/>
  <c r="AK34" i="5"/>
  <c r="AG34" i="5"/>
  <c r="AF34" i="5"/>
  <c r="AE34" i="5"/>
  <c r="AD34" i="5"/>
  <c r="Y34" i="5"/>
  <c r="X34" i="5"/>
  <c r="S34" i="5"/>
  <c r="R34" i="5"/>
  <c r="M34" i="5"/>
  <c r="L34" i="5"/>
  <c r="F34" i="5"/>
  <c r="G34" i="5" s="1"/>
  <c r="AM33" i="5"/>
  <c r="AL33" i="5"/>
  <c r="AK33" i="5"/>
  <c r="AG33" i="5"/>
  <c r="AF33" i="5"/>
  <c r="AE33" i="5"/>
  <c r="AD33" i="5"/>
  <c r="Y33" i="5"/>
  <c r="X33" i="5"/>
  <c r="S33" i="5"/>
  <c r="R33" i="5"/>
  <c r="M33" i="5"/>
  <c r="N34" i="5" s="1"/>
  <c r="L33" i="5"/>
  <c r="F33" i="5"/>
  <c r="G33" i="5" s="1"/>
  <c r="AM32" i="5"/>
  <c r="AL32" i="5"/>
  <c r="AK32" i="5"/>
  <c r="AG32" i="5"/>
  <c r="AF32" i="5"/>
  <c r="AE32" i="5"/>
  <c r="AD32" i="5"/>
  <c r="Y32" i="5"/>
  <c r="X32" i="5"/>
  <c r="S32" i="5"/>
  <c r="T33" i="5" s="1"/>
  <c r="R32" i="5"/>
  <c r="M32" i="5"/>
  <c r="L32" i="5"/>
  <c r="F32" i="5"/>
  <c r="G32" i="5" s="1"/>
  <c r="AD31" i="5"/>
  <c r="Y31" i="5"/>
  <c r="X31" i="5"/>
  <c r="S31" i="5"/>
  <c r="R31" i="5"/>
  <c r="M31" i="5"/>
  <c r="L31" i="5"/>
  <c r="F31" i="5"/>
  <c r="G31" i="5" s="1"/>
  <c r="AD30" i="5"/>
  <c r="Y30" i="5"/>
  <c r="X30" i="5"/>
  <c r="S30" i="5"/>
  <c r="R30" i="5"/>
  <c r="M30" i="5"/>
  <c r="L30" i="5"/>
  <c r="F30" i="5"/>
  <c r="G30" i="5" s="1"/>
  <c r="AD29" i="5"/>
  <c r="Y29" i="5"/>
  <c r="X29" i="5"/>
  <c r="S29" i="5"/>
  <c r="R29" i="5"/>
  <c r="M29" i="5"/>
  <c r="L29" i="5"/>
  <c r="F29" i="5"/>
  <c r="G29" i="5" s="1"/>
  <c r="AD28" i="5"/>
  <c r="Y28" i="5"/>
  <c r="X28" i="5"/>
  <c r="S28" i="5"/>
  <c r="R28" i="5"/>
  <c r="M28" i="5"/>
  <c r="L28" i="5"/>
  <c r="F28" i="5"/>
  <c r="G28" i="5" s="1"/>
  <c r="AD27" i="5"/>
  <c r="Y27" i="5"/>
  <c r="X27" i="5"/>
  <c r="S27" i="5"/>
  <c r="R27" i="5"/>
  <c r="M27" i="5"/>
  <c r="L27" i="5"/>
  <c r="F27" i="5"/>
  <c r="G27" i="5" s="1"/>
  <c r="AD26" i="5"/>
  <c r="Y26" i="5"/>
  <c r="X26" i="5"/>
  <c r="S26" i="5"/>
  <c r="R26" i="5"/>
  <c r="M26" i="5"/>
  <c r="L26" i="5"/>
  <c r="F26" i="5"/>
  <c r="G26" i="5" s="1"/>
  <c r="AD25" i="5"/>
  <c r="Y25" i="5"/>
  <c r="X25" i="5"/>
  <c r="S25" i="5"/>
  <c r="R25" i="5"/>
  <c r="M25" i="5"/>
  <c r="L25" i="5"/>
  <c r="F25" i="5"/>
  <c r="G25" i="5" s="1"/>
  <c r="AD24" i="5"/>
  <c r="Y24" i="5"/>
  <c r="X24" i="5"/>
  <c r="S24" i="5"/>
  <c r="R24" i="5"/>
  <c r="M24" i="5"/>
  <c r="L24" i="5"/>
  <c r="F24" i="5"/>
  <c r="G24" i="5" s="1"/>
  <c r="AD23" i="5"/>
  <c r="Y23" i="5"/>
  <c r="X23" i="5"/>
  <c r="S23" i="5"/>
  <c r="R23" i="5"/>
  <c r="M23" i="5"/>
  <c r="L23" i="5"/>
  <c r="F23" i="5"/>
  <c r="G23" i="5" s="1"/>
  <c r="AD22" i="5"/>
  <c r="Y22" i="5"/>
  <c r="X22" i="5"/>
  <c r="S22" i="5"/>
  <c r="R22" i="5"/>
  <c r="M22" i="5"/>
  <c r="L22" i="5"/>
  <c r="F22" i="5"/>
  <c r="G22" i="5" s="1"/>
  <c r="AD21" i="5"/>
  <c r="Y21" i="5"/>
  <c r="X21" i="5"/>
  <c r="S21" i="5"/>
  <c r="R21" i="5"/>
  <c r="M21" i="5"/>
  <c r="L21" i="5"/>
  <c r="F21" i="5"/>
  <c r="G21" i="5" s="1"/>
  <c r="AD20" i="5"/>
  <c r="Y20" i="5"/>
  <c r="X20" i="5"/>
  <c r="S20" i="5"/>
  <c r="R20" i="5"/>
  <c r="M20" i="5"/>
  <c r="L20" i="5"/>
  <c r="F20" i="5"/>
  <c r="G20" i="5" s="1"/>
  <c r="AD19" i="5"/>
  <c r="Y19" i="5"/>
  <c r="X19" i="5"/>
  <c r="S19" i="5"/>
  <c r="R19" i="5"/>
  <c r="M19" i="5"/>
  <c r="L19" i="5"/>
  <c r="F19" i="5"/>
  <c r="G19" i="5" s="1"/>
  <c r="AD18" i="5"/>
  <c r="Y18" i="5"/>
  <c r="X18" i="5"/>
  <c r="S18" i="5"/>
  <c r="R18" i="5"/>
  <c r="M18" i="5"/>
  <c r="L18" i="5"/>
  <c r="F18" i="5"/>
  <c r="G18" i="5" s="1"/>
  <c r="AD17" i="5"/>
  <c r="Y17" i="5"/>
  <c r="X17" i="5"/>
  <c r="S17" i="5"/>
  <c r="R17" i="5"/>
  <c r="M17" i="5"/>
  <c r="L17" i="5"/>
  <c r="F17" i="5"/>
  <c r="G17" i="5" s="1"/>
  <c r="B17" i="5"/>
  <c r="AD16" i="5"/>
  <c r="Y16" i="5"/>
  <c r="X16" i="5"/>
  <c r="S16" i="5"/>
  <c r="R16" i="5"/>
  <c r="M16" i="5"/>
  <c r="L16" i="5"/>
  <c r="F16" i="5"/>
  <c r="G16" i="5" s="1"/>
  <c r="AD15" i="5"/>
  <c r="Y15" i="5"/>
  <c r="X15" i="5"/>
  <c r="S15" i="5"/>
  <c r="R15" i="5"/>
  <c r="M15" i="5"/>
  <c r="L15" i="5"/>
  <c r="F15" i="5"/>
  <c r="G15" i="5" s="1"/>
  <c r="AD14" i="5"/>
  <c r="Y14" i="5"/>
  <c r="X14" i="5"/>
  <c r="S14" i="5"/>
  <c r="R14" i="5"/>
  <c r="M14" i="5"/>
  <c r="L14" i="5"/>
  <c r="F14" i="5"/>
  <c r="G14" i="5" s="1"/>
  <c r="AD13" i="5"/>
  <c r="Y13" i="5"/>
  <c r="X13" i="5"/>
  <c r="S13" i="5"/>
  <c r="R13" i="5"/>
  <c r="M13" i="5"/>
  <c r="L13" i="5"/>
  <c r="F13" i="5"/>
  <c r="G13" i="5" s="1"/>
  <c r="AD12" i="5"/>
  <c r="Y12" i="5"/>
  <c r="X12" i="5"/>
  <c r="S12" i="5"/>
  <c r="R12" i="5"/>
  <c r="M12" i="5"/>
  <c r="L12" i="5"/>
  <c r="F12" i="5"/>
  <c r="G12" i="5" s="1"/>
  <c r="AD11" i="5"/>
  <c r="Y11" i="5"/>
  <c r="X11" i="5"/>
  <c r="S11" i="5"/>
  <c r="R11" i="5"/>
  <c r="M11" i="5"/>
  <c r="L11" i="5"/>
  <c r="F11" i="5"/>
  <c r="G11" i="5" s="1"/>
  <c r="AD10" i="5"/>
  <c r="Y10" i="5"/>
  <c r="X10" i="5"/>
  <c r="S10" i="5"/>
  <c r="R10" i="5"/>
  <c r="M10" i="5"/>
  <c r="L10" i="5"/>
  <c r="F10" i="5"/>
  <c r="G10" i="5" s="1"/>
  <c r="Y9" i="5"/>
  <c r="X9" i="5"/>
  <c r="S9" i="5"/>
  <c r="T10" i="5" s="1"/>
  <c r="R9" i="5"/>
  <c r="M9" i="5"/>
  <c r="L9" i="5"/>
  <c r="F9" i="5"/>
  <c r="G9" i="5" s="1"/>
  <c r="AB58" i="4"/>
  <c r="AC58" i="4" s="1"/>
  <c r="W58" i="4"/>
  <c r="X58" i="4" s="1"/>
  <c r="V58" i="4"/>
  <c r="AB57" i="4"/>
  <c r="AC57" i="4" s="1"/>
  <c r="W57" i="4"/>
  <c r="V57" i="4"/>
  <c r="S57" i="4"/>
  <c r="AB55" i="4"/>
  <c r="AC55" i="4" s="1"/>
  <c r="W55" i="4"/>
  <c r="V55" i="4"/>
  <c r="Q55" i="4"/>
  <c r="P55" i="4"/>
  <c r="K55" i="4"/>
  <c r="J55" i="4"/>
  <c r="E55" i="4"/>
  <c r="D55" i="4"/>
  <c r="AB54" i="4"/>
  <c r="AC54" i="4" s="1"/>
  <c r="W54" i="4"/>
  <c r="V54" i="4"/>
  <c r="Q54" i="4"/>
  <c r="P54" i="4"/>
  <c r="K54" i="4"/>
  <c r="J54" i="4"/>
  <c r="E54" i="4"/>
  <c r="D54" i="4"/>
  <c r="AB53" i="4"/>
  <c r="AC53" i="4" s="1"/>
  <c r="W53" i="4"/>
  <c r="V53" i="4"/>
  <c r="Q53" i="4"/>
  <c r="P53" i="4"/>
  <c r="K53" i="4"/>
  <c r="J53" i="4"/>
  <c r="E53" i="4"/>
  <c r="D53" i="4"/>
  <c r="AB52" i="4"/>
  <c r="AC52" i="4" s="1"/>
  <c r="W52" i="4"/>
  <c r="V52" i="4"/>
  <c r="Q52" i="4"/>
  <c r="P52" i="4"/>
  <c r="K52" i="4"/>
  <c r="J52" i="4"/>
  <c r="E52" i="4"/>
  <c r="D52" i="4"/>
  <c r="AB51" i="4"/>
  <c r="AC51" i="4" s="1"/>
  <c r="W51" i="4"/>
  <c r="X51" i="4" s="1"/>
  <c r="V51" i="4"/>
  <c r="Q51" i="4"/>
  <c r="P51" i="4"/>
  <c r="K51" i="4"/>
  <c r="J51" i="4"/>
  <c r="E51" i="4"/>
  <c r="D51" i="4"/>
  <c r="AB50" i="4"/>
  <c r="AC50" i="4" s="1"/>
  <c r="W50" i="4"/>
  <c r="V50" i="4"/>
  <c r="Q50" i="4"/>
  <c r="P50" i="4"/>
  <c r="K50" i="4"/>
  <c r="J50" i="4"/>
  <c r="E50" i="4"/>
  <c r="D50" i="4"/>
  <c r="AB49" i="4"/>
  <c r="AC49" i="4" s="1"/>
  <c r="W49" i="4"/>
  <c r="V49" i="4"/>
  <c r="Q49" i="4"/>
  <c r="P49" i="4"/>
  <c r="K49" i="4"/>
  <c r="J49" i="4"/>
  <c r="E49" i="4"/>
  <c r="D49" i="4"/>
  <c r="AB48" i="4"/>
  <c r="AC48" i="4" s="1"/>
  <c r="W48" i="4"/>
  <c r="V48" i="4"/>
  <c r="X48" i="4" s="1"/>
  <c r="Q48" i="4"/>
  <c r="P48" i="4"/>
  <c r="K48" i="4"/>
  <c r="J48" i="4"/>
  <c r="E48" i="4"/>
  <c r="D48" i="4"/>
  <c r="AC47" i="4"/>
  <c r="Y47" i="4"/>
  <c r="X47" i="4"/>
  <c r="S47" i="4"/>
  <c r="M47" i="4"/>
  <c r="L47" i="4"/>
  <c r="G47" i="4"/>
  <c r="F47" i="4"/>
  <c r="AB46" i="4"/>
  <c r="AC46" i="4" s="1"/>
  <c r="W46" i="4"/>
  <c r="V46" i="4"/>
  <c r="Q46" i="4"/>
  <c r="P46" i="4"/>
  <c r="K46" i="4"/>
  <c r="M46" i="4" s="1"/>
  <c r="J46" i="4"/>
  <c r="E46" i="4"/>
  <c r="D46" i="4"/>
  <c r="AB45" i="4"/>
  <c r="AC45" i="4" s="1"/>
  <c r="W45" i="4"/>
  <c r="V45" i="4"/>
  <c r="Q45" i="4"/>
  <c r="P45" i="4"/>
  <c r="K45" i="4"/>
  <c r="J45" i="4"/>
  <c r="E45" i="4"/>
  <c r="D45" i="4"/>
  <c r="AB44" i="4"/>
  <c r="AC44" i="4" s="1"/>
  <c r="W44" i="4"/>
  <c r="V44" i="4"/>
  <c r="Y44" i="4" s="1"/>
  <c r="Q44" i="4"/>
  <c r="P44" i="4"/>
  <c r="K44" i="4"/>
  <c r="J44" i="4"/>
  <c r="E44" i="4"/>
  <c r="D44" i="4"/>
  <c r="AB43" i="4"/>
  <c r="AC43" i="4" s="1"/>
  <c r="W43" i="4"/>
  <c r="V43" i="4"/>
  <c r="Q43" i="4"/>
  <c r="P43" i="4"/>
  <c r="K43" i="4"/>
  <c r="J43" i="4"/>
  <c r="E43" i="4"/>
  <c r="D43" i="4"/>
  <c r="AB42" i="4"/>
  <c r="AC42" i="4" s="1"/>
  <c r="V42" i="4"/>
  <c r="Y42" i="4" s="1"/>
  <c r="Q42" i="4"/>
  <c r="P42" i="4"/>
  <c r="K42" i="4"/>
  <c r="J42" i="4"/>
  <c r="E42" i="4"/>
  <c r="D42" i="4"/>
  <c r="AB41" i="4"/>
  <c r="AC41" i="4" s="1"/>
  <c r="V41" i="4"/>
  <c r="X41" i="4" s="1"/>
  <c r="Q41" i="4"/>
  <c r="P41" i="4"/>
  <c r="K41" i="4"/>
  <c r="J41" i="4"/>
  <c r="E41" i="4"/>
  <c r="D41" i="4"/>
  <c r="AB40" i="4"/>
  <c r="AC40" i="4" s="1"/>
  <c r="V40" i="4"/>
  <c r="Q40" i="4"/>
  <c r="P40" i="4"/>
  <c r="K40" i="4"/>
  <c r="J40" i="4"/>
  <c r="E40" i="4"/>
  <c r="D40" i="4"/>
  <c r="AB39" i="4"/>
  <c r="AC39" i="4" s="1"/>
  <c r="V39" i="4"/>
  <c r="Q39" i="4"/>
  <c r="P39" i="4"/>
  <c r="R39" i="4" s="1"/>
  <c r="K39" i="4"/>
  <c r="J39" i="4"/>
  <c r="E39" i="4"/>
  <c r="D39" i="4"/>
  <c r="F39" i="4" s="1"/>
  <c r="AB38" i="4"/>
  <c r="AC38" i="4" s="1"/>
  <c r="V38" i="4"/>
  <c r="Y38" i="4" s="1"/>
  <c r="Q38" i="4"/>
  <c r="P38" i="4"/>
  <c r="K38" i="4"/>
  <c r="J38" i="4"/>
  <c r="E38" i="4"/>
  <c r="D38" i="4"/>
  <c r="AB37" i="4"/>
  <c r="AC37" i="4" s="1"/>
  <c r="W37" i="4"/>
  <c r="Q37" i="4"/>
  <c r="P37" i="4"/>
  <c r="R37" i="4" s="1"/>
  <c r="K37" i="4"/>
  <c r="J37" i="4"/>
  <c r="E37" i="4"/>
  <c r="D37" i="4"/>
  <c r="AB36" i="4"/>
  <c r="AC36" i="4" s="1"/>
  <c r="Y36" i="4"/>
  <c r="X36" i="4"/>
  <c r="Q36" i="4"/>
  <c r="P36" i="4"/>
  <c r="K36" i="4"/>
  <c r="L36" i="4" s="1"/>
  <c r="J36" i="4"/>
  <c r="E36" i="4"/>
  <c r="D36" i="4"/>
  <c r="AB35" i="4"/>
  <c r="AC35" i="4" s="1"/>
  <c r="V35" i="4"/>
  <c r="X35" i="4" s="1"/>
  <c r="Q35" i="4"/>
  <c r="P35" i="4"/>
  <c r="K35" i="4"/>
  <c r="J35" i="4"/>
  <c r="E35" i="4"/>
  <c r="D35" i="4"/>
  <c r="AB34" i="4"/>
  <c r="AC34" i="4" s="1"/>
  <c r="Y34" i="4"/>
  <c r="X34" i="4"/>
  <c r="Q34" i="4"/>
  <c r="P34" i="4"/>
  <c r="K34" i="4"/>
  <c r="J34" i="4"/>
  <c r="E34" i="4"/>
  <c r="D34" i="4"/>
  <c r="AB33" i="4"/>
  <c r="AC33" i="4" s="1"/>
  <c r="V33" i="4"/>
  <c r="Q33" i="4"/>
  <c r="P33" i="4"/>
  <c r="K33" i="4"/>
  <c r="J33" i="4"/>
  <c r="L33" i="4" s="1"/>
  <c r="E33" i="4"/>
  <c r="D33" i="4"/>
  <c r="AB32" i="4"/>
  <c r="AC32" i="4" s="1"/>
  <c r="V32" i="4"/>
  <c r="Y32" i="4" s="1"/>
  <c r="Q32" i="4"/>
  <c r="P32" i="4"/>
  <c r="K32" i="4"/>
  <c r="J32" i="4"/>
  <c r="E32" i="4"/>
  <c r="D32" i="4"/>
  <c r="AB31" i="4"/>
  <c r="AC31" i="4" s="1"/>
  <c r="W31" i="4"/>
  <c r="X31" i="4" s="1"/>
  <c r="Q31" i="4"/>
  <c r="P31" i="4"/>
  <c r="K31" i="4"/>
  <c r="J31" i="4"/>
  <c r="E31" i="4"/>
  <c r="D31" i="4"/>
  <c r="AB30" i="4"/>
  <c r="AC30" i="4" s="1"/>
  <c r="V30" i="4"/>
  <c r="Q30" i="4"/>
  <c r="P30" i="4"/>
  <c r="K30" i="4"/>
  <c r="J30" i="4"/>
  <c r="E30" i="4"/>
  <c r="D30" i="4"/>
  <c r="AB29" i="4"/>
  <c r="AC29" i="4" s="1"/>
  <c r="Y29" i="4"/>
  <c r="X29" i="4"/>
  <c r="P29" i="4"/>
  <c r="R29" i="4" s="1"/>
  <c r="J29" i="4"/>
  <c r="L29" i="4" s="1"/>
  <c r="D29" i="4"/>
  <c r="G29" i="4" s="1"/>
  <c r="AC28" i="4"/>
  <c r="Y28" i="4"/>
  <c r="X28" i="4"/>
  <c r="S28" i="4"/>
  <c r="R28" i="4"/>
  <c r="M28" i="4"/>
  <c r="L28" i="4"/>
  <c r="G28" i="4"/>
  <c r="AC27" i="4"/>
  <c r="Y27" i="4"/>
  <c r="X27" i="4"/>
  <c r="P27" i="4"/>
  <c r="R27" i="4" s="1"/>
  <c r="J27" i="4"/>
  <c r="G27" i="4"/>
  <c r="F27" i="4"/>
  <c r="AC26" i="4"/>
  <c r="Y26" i="4"/>
  <c r="X26" i="4"/>
  <c r="S26" i="4"/>
  <c r="R26" i="4"/>
  <c r="M26" i="4"/>
  <c r="L26" i="4"/>
  <c r="G26" i="4"/>
  <c r="F26" i="4"/>
  <c r="AB25" i="4"/>
  <c r="AC25" i="4" s="1"/>
  <c r="Y25" i="4"/>
  <c r="X25" i="4"/>
  <c r="S25" i="4"/>
  <c r="R25" i="4"/>
  <c r="M25" i="4"/>
  <c r="L25" i="4"/>
  <c r="G25" i="4"/>
  <c r="F25" i="4"/>
  <c r="AB24" i="4"/>
  <c r="AC24" i="4" s="1"/>
  <c r="Y24" i="4"/>
  <c r="X24" i="4"/>
  <c r="S24" i="4"/>
  <c r="R24" i="4"/>
  <c r="M24" i="4"/>
  <c r="L24" i="4"/>
  <c r="G24" i="4"/>
  <c r="F24" i="4"/>
  <c r="AC23" i="4"/>
  <c r="Y23" i="4"/>
  <c r="X23" i="4"/>
  <c r="S23" i="4"/>
  <c r="R23" i="4"/>
  <c r="M23" i="4"/>
  <c r="L23" i="4"/>
  <c r="G23" i="4"/>
  <c r="F23" i="4"/>
  <c r="AC22" i="4"/>
  <c r="Y22" i="4"/>
  <c r="X22" i="4"/>
  <c r="S22" i="4"/>
  <c r="R22" i="4"/>
  <c r="M22" i="4"/>
  <c r="L22" i="4"/>
  <c r="G22" i="4"/>
  <c r="F22" i="4"/>
  <c r="AC21" i="4"/>
  <c r="Y21" i="4"/>
  <c r="X21" i="4"/>
  <c r="S21" i="4"/>
  <c r="R21" i="4"/>
  <c r="M21" i="4"/>
  <c r="L21" i="4"/>
  <c r="G21" i="4"/>
  <c r="F21" i="4"/>
  <c r="AC20" i="4"/>
  <c r="Y20" i="4"/>
  <c r="X20" i="4"/>
  <c r="S20" i="4"/>
  <c r="R20" i="4"/>
  <c r="M20" i="4"/>
  <c r="L20" i="4"/>
  <c r="G20" i="4"/>
  <c r="H20" i="4" s="1"/>
  <c r="F20" i="4"/>
  <c r="AC19" i="4"/>
  <c r="Y19" i="4"/>
  <c r="X19" i="4"/>
  <c r="S19" i="4"/>
  <c r="R19" i="4"/>
  <c r="M19" i="4"/>
  <c r="L19" i="4"/>
  <c r="G19" i="4"/>
  <c r="F19" i="4"/>
  <c r="AC18" i="4"/>
  <c r="Y18" i="4"/>
  <c r="X18" i="4"/>
  <c r="S18" i="4"/>
  <c r="R18" i="4"/>
  <c r="M18" i="4"/>
  <c r="L18" i="4"/>
  <c r="G18" i="4"/>
  <c r="F18" i="4"/>
  <c r="AC17" i="4"/>
  <c r="Y17" i="4"/>
  <c r="X17" i="4"/>
  <c r="S17" i="4"/>
  <c r="R17" i="4"/>
  <c r="M17" i="4"/>
  <c r="L17" i="4"/>
  <c r="G17" i="4"/>
  <c r="F17" i="4"/>
  <c r="AC16" i="4"/>
  <c r="Y16" i="4"/>
  <c r="X16" i="4"/>
  <c r="S16" i="4"/>
  <c r="R16" i="4"/>
  <c r="M16" i="4"/>
  <c r="L16" i="4"/>
  <c r="G16" i="4"/>
  <c r="F16" i="4"/>
  <c r="AC15" i="4"/>
  <c r="Y15" i="4"/>
  <c r="X15" i="4"/>
  <c r="S15" i="4"/>
  <c r="R15" i="4"/>
  <c r="M15" i="4"/>
  <c r="L15" i="4"/>
  <c r="G15" i="4"/>
  <c r="F15" i="4"/>
  <c r="AC14" i="4"/>
  <c r="Y14" i="4"/>
  <c r="X14" i="4"/>
  <c r="S14" i="4"/>
  <c r="R14" i="4"/>
  <c r="M14" i="4"/>
  <c r="L14" i="4"/>
  <c r="G14" i="4"/>
  <c r="F14" i="4"/>
  <c r="AC13" i="4"/>
  <c r="Y13" i="4"/>
  <c r="X13" i="4"/>
  <c r="S13" i="4"/>
  <c r="R13" i="4"/>
  <c r="M13" i="4"/>
  <c r="L13" i="4"/>
  <c r="G13" i="4"/>
  <c r="F13" i="4"/>
  <c r="AC12" i="4"/>
  <c r="Y12" i="4"/>
  <c r="X12" i="4"/>
  <c r="S12" i="4"/>
  <c r="R12" i="4"/>
  <c r="M12" i="4"/>
  <c r="L12" i="4"/>
  <c r="G12" i="4"/>
  <c r="F12" i="4"/>
  <c r="AC11" i="4"/>
  <c r="Y11" i="4"/>
  <c r="X11" i="4"/>
  <c r="S11" i="4"/>
  <c r="R11" i="4"/>
  <c r="M11" i="4"/>
  <c r="L11" i="4"/>
  <c r="G11" i="4"/>
  <c r="F11" i="4"/>
  <c r="AC10" i="4"/>
  <c r="Y10" i="4"/>
  <c r="X10" i="4"/>
  <c r="S10" i="4"/>
  <c r="R10" i="4"/>
  <c r="M10" i="4"/>
  <c r="L10" i="4"/>
  <c r="G10" i="4"/>
  <c r="F10" i="4"/>
  <c r="AC9" i="4"/>
  <c r="Y9" i="4"/>
  <c r="X9" i="4"/>
  <c r="S9" i="4"/>
  <c r="R9" i="4"/>
  <c r="M9" i="4"/>
  <c r="L9" i="4"/>
  <c r="G9" i="4"/>
  <c r="F9" i="4"/>
  <c r="AC8" i="4"/>
  <c r="Y8" i="4"/>
  <c r="X8" i="4"/>
  <c r="S8" i="4"/>
  <c r="R8" i="4"/>
  <c r="M8" i="4"/>
  <c r="L8" i="4"/>
  <c r="G8" i="4"/>
  <c r="F8" i="4"/>
  <c r="K137" i="3"/>
  <c r="L137" i="3" s="1"/>
  <c r="G137" i="3"/>
  <c r="I137" i="3" s="1"/>
  <c r="C137" i="3"/>
  <c r="E137" i="3" s="1"/>
  <c r="B137" i="3"/>
  <c r="K136" i="3"/>
  <c r="L136" i="3" s="1"/>
  <c r="G136" i="3"/>
  <c r="I136" i="3" s="1"/>
  <c r="C136" i="3"/>
  <c r="E136" i="3" s="1"/>
  <c r="B136" i="3"/>
  <c r="K135" i="3"/>
  <c r="L135" i="3" s="1"/>
  <c r="G135" i="3"/>
  <c r="I135" i="3" s="1"/>
  <c r="C135" i="3"/>
  <c r="E135" i="3" s="1"/>
  <c r="B135" i="3"/>
  <c r="K134" i="3"/>
  <c r="L134" i="3" s="1"/>
  <c r="G134" i="3"/>
  <c r="I134" i="3" s="1"/>
  <c r="C134" i="3"/>
  <c r="E134" i="3" s="1"/>
  <c r="B134" i="3"/>
  <c r="K133" i="3"/>
  <c r="L133" i="3" s="1"/>
  <c r="G133" i="3"/>
  <c r="I133" i="3" s="1"/>
  <c r="C133" i="3"/>
  <c r="E133" i="3" s="1"/>
  <c r="B133" i="3"/>
  <c r="K132" i="3"/>
  <c r="L132" i="3" s="1"/>
  <c r="G132" i="3"/>
  <c r="I132" i="3" s="1"/>
  <c r="C132" i="3"/>
  <c r="E132" i="3" s="1"/>
  <c r="B132" i="3"/>
  <c r="K131" i="3"/>
  <c r="L131" i="3" s="1"/>
  <c r="G131" i="3"/>
  <c r="I131" i="3" s="1"/>
  <c r="C131" i="3"/>
  <c r="E131" i="3" s="1"/>
  <c r="B131" i="3"/>
  <c r="K130" i="3"/>
  <c r="L130" i="3" s="1"/>
  <c r="G130" i="3"/>
  <c r="I130" i="3" s="1"/>
  <c r="C130" i="3"/>
  <c r="E130" i="3" s="1"/>
  <c r="B130" i="3"/>
  <c r="K129" i="3"/>
  <c r="L129" i="3" s="1"/>
  <c r="G129" i="3"/>
  <c r="I129" i="3" s="1"/>
  <c r="C129" i="3"/>
  <c r="E129" i="3" s="1"/>
  <c r="B129" i="3"/>
  <c r="K128" i="3"/>
  <c r="L128" i="3" s="1"/>
  <c r="G128" i="3"/>
  <c r="I128" i="3" s="1"/>
  <c r="C128" i="3"/>
  <c r="E128" i="3" s="1"/>
  <c r="B128" i="3"/>
  <c r="K127" i="3"/>
  <c r="L127" i="3" s="1"/>
  <c r="G127" i="3"/>
  <c r="I127" i="3" s="1"/>
  <c r="C127" i="3"/>
  <c r="E127" i="3" s="1"/>
  <c r="B127" i="3"/>
  <c r="K126" i="3"/>
  <c r="L126" i="3" s="1"/>
  <c r="G126" i="3"/>
  <c r="I126" i="3" s="1"/>
  <c r="C126" i="3"/>
  <c r="E126" i="3" s="1"/>
  <c r="B126" i="3"/>
  <c r="K125" i="3"/>
  <c r="L125" i="3" s="1"/>
  <c r="G125" i="3"/>
  <c r="I125" i="3" s="1"/>
  <c r="C125" i="3"/>
  <c r="E125" i="3" s="1"/>
  <c r="B125" i="3"/>
  <c r="K124" i="3"/>
  <c r="L124" i="3" s="1"/>
  <c r="G124" i="3"/>
  <c r="I124" i="3" s="1"/>
  <c r="C124" i="3"/>
  <c r="E124" i="3" s="1"/>
  <c r="B124" i="3"/>
  <c r="K123" i="3"/>
  <c r="L123" i="3" s="1"/>
  <c r="G123" i="3"/>
  <c r="I123" i="3" s="1"/>
  <c r="C123" i="3"/>
  <c r="E123" i="3" s="1"/>
  <c r="B123" i="3"/>
  <c r="K122" i="3"/>
  <c r="L122" i="3" s="1"/>
  <c r="G122" i="3"/>
  <c r="I122" i="3" s="1"/>
  <c r="C122" i="3"/>
  <c r="E122" i="3" s="1"/>
  <c r="B122" i="3"/>
  <c r="K121" i="3"/>
  <c r="L121" i="3" s="1"/>
  <c r="G121" i="3"/>
  <c r="I121" i="3" s="1"/>
  <c r="C121" i="3"/>
  <c r="E121" i="3" s="1"/>
  <c r="B121" i="3"/>
  <c r="K120" i="3"/>
  <c r="L120" i="3" s="1"/>
  <c r="G120" i="3"/>
  <c r="I120" i="3" s="1"/>
  <c r="C120" i="3"/>
  <c r="E120" i="3" s="1"/>
  <c r="B120" i="3"/>
  <c r="K119" i="3"/>
  <c r="L119" i="3" s="1"/>
  <c r="G119" i="3"/>
  <c r="I119" i="3" s="1"/>
  <c r="C119" i="3"/>
  <c r="E119" i="3" s="1"/>
  <c r="B119" i="3"/>
  <c r="K118" i="3"/>
  <c r="L118" i="3" s="1"/>
  <c r="G118" i="3"/>
  <c r="I118" i="3" s="1"/>
  <c r="C118" i="3"/>
  <c r="E118" i="3" s="1"/>
  <c r="B118" i="3"/>
  <c r="K117" i="3"/>
  <c r="L117" i="3" s="1"/>
  <c r="G117" i="3"/>
  <c r="I117" i="3" s="1"/>
  <c r="C117" i="3"/>
  <c r="E117" i="3" s="1"/>
  <c r="B117" i="3"/>
  <c r="K116" i="3"/>
  <c r="L116" i="3" s="1"/>
  <c r="G116" i="3"/>
  <c r="I116" i="3" s="1"/>
  <c r="C116" i="3"/>
  <c r="E116" i="3" s="1"/>
  <c r="B116" i="3"/>
  <c r="K115" i="3"/>
  <c r="L115" i="3" s="1"/>
  <c r="G115" i="3"/>
  <c r="I115" i="3" s="1"/>
  <c r="C115" i="3"/>
  <c r="E115" i="3" s="1"/>
  <c r="B115" i="3"/>
  <c r="K114" i="3"/>
  <c r="L114" i="3" s="1"/>
  <c r="G114" i="3"/>
  <c r="I114" i="3" s="1"/>
  <c r="C114" i="3"/>
  <c r="E114" i="3" s="1"/>
  <c r="K113" i="3"/>
  <c r="L113" i="3" s="1"/>
  <c r="G113" i="3"/>
  <c r="I113" i="3" s="1"/>
  <c r="C113" i="3"/>
  <c r="E113" i="3" s="1"/>
  <c r="K112" i="3"/>
  <c r="L112" i="3" s="1"/>
  <c r="G112" i="3"/>
  <c r="I112" i="3" s="1"/>
  <c r="C112" i="3"/>
  <c r="E112" i="3" s="1"/>
  <c r="K111" i="3"/>
  <c r="L111" i="3" s="1"/>
  <c r="G111" i="3"/>
  <c r="I111" i="3" s="1"/>
  <c r="C111" i="3"/>
  <c r="E111" i="3" s="1"/>
  <c r="K110" i="3"/>
  <c r="L110" i="3" s="1"/>
  <c r="G110" i="3"/>
  <c r="I110" i="3" s="1"/>
  <c r="C110" i="3"/>
  <c r="E110" i="3" s="1"/>
  <c r="B110" i="3"/>
  <c r="K109" i="3"/>
  <c r="L109" i="3" s="1"/>
  <c r="G109" i="3"/>
  <c r="I109" i="3" s="1"/>
  <c r="C109" i="3"/>
  <c r="E109" i="3" s="1"/>
  <c r="B109" i="3"/>
  <c r="K108" i="3"/>
  <c r="L108" i="3" s="1"/>
  <c r="G108" i="3"/>
  <c r="I108" i="3" s="1"/>
  <c r="C108" i="3"/>
  <c r="E108" i="3" s="1"/>
  <c r="B108" i="3"/>
  <c r="K107" i="3"/>
  <c r="L107" i="3" s="1"/>
  <c r="G107" i="3"/>
  <c r="I107" i="3" s="1"/>
  <c r="C107" i="3"/>
  <c r="E107" i="3" s="1"/>
  <c r="B107" i="3"/>
  <c r="K106" i="3"/>
  <c r="L106" i="3" s="1"/>
  <c r="G106" i="3"/>
  <c r="I106" i="3" s="1"/>
  <c r="C106" i="3"/>
  <c r="E106" i="3" s="1"/>
  <c r="B106" i="3"/>
  <c r="K105" i="3"/>
  <c r="L105" i="3" s="1"/>
  <c r="G105" i="3"/>
  <c r="I105" i="3" s="1"/>
  <c r="C105" i="3"/>
  <c r="E105" i="3" s="1"/>
  <c r="B105" i="3"/>
  <c r="K104" i="3"/>
  <c r="L104" i="3" s="1"/>
  <c r="G104" i="3"/>
  <c r="I104" i="3" s="1"/>
  <c r="C104" i="3"/>
  <c r="E104" i="3" s="1"/>
  <c r="B104" i="3"/>
  <c r="K103" i="3"/>
  <c r="L103" i="3" s="1"/>
  <c r="G103" i="3"/>
  <c r="I103" i="3" s="1"/>
  <c r="C103" i="3"/>
  <c r="E103" i="3" s="1"/>
  <c r="B103" i="3"/>
  <c r="K102" i="3"/>
  <c r="L102" i="3" s="1"/>
  <c r="G102" i="3"/>
  <c r="I102" i="3" s="1"/>
  <c r="C102" i="3"/>
  <c r="E102" i="3" s="1"/>
  <c r="B102" i="3"/>
  <c r="K101" i="3"/>
  <c r="L101" i="3" s="1"/>
  <c r="G101" i="3"/>
  <c r="I101" i="3" s="1"/>
  <c r="C101" i="3"/>
  <c r="E101" i="3" s="1"/>
  <c r="B101" i="3"/>
  <c r="K100" i="3"/>
  <c r="L100" i="3" s="1"/>
  <c r="G100" i="3"/>
  <c r="I100" i="3" s="1"/>
  <c r="C100" i="3"/>
  <c r="E100" i="3" s="1"/>
  <c r="B100" i="3"/>
  <c r="K99" i="3"/>
  <c r="L99" i="3" s="1"/>
  <c r="G99" i="3"/>
  <c r="I99" i="3" s="1"/>
  <c r="C99" i="3"/>
  <c r="E99" i="3" s="1"/>
  <c r="B99" i="3"/>
  <c r="K98" i="3"/>
  <c r="L98" i="3" s="1"/>
  <c r="G98" i="3"/>
  <c r="I98" i="3" s="1"/>
  <c r="C98" i="3"/>
  <c r="E98" i="3" s="1"/>
  <c r="B98" i="3"/>
  <c r="K97" i="3"/>
  <c r="L97" i="3" s="1"/>
  <c r="G97" i="3"/>
  <c r="I97" i="3" s="1"/>
  <c r="C97" i="3"/>
  <c r="E97" i="3" s="1"/>
  <c r="B97" i="3"/>
  <c r="L96" i="3"/>
  <c r="G96" i="3"/>
  <c r="I96" i="3" s="1"/>
  <c r="C96" i="3"/>
  <c r="E96" i="3" s="1"/>
  <c r="B96" i="3"/>
  <c r="L95" i="3"/>
  <c r="M95" i="3" s="1"/>
  <c r="G95" i="3"/>
  <c r="I95" i="3" s="1"/>
  <c r="C95" i="3"/>
  <c r="E95" i="3" s="1"/>
  <c r="B95" i="3"/>
  <c r="G94" i="3"/>
  <c r="I94" i="3" s="1"/>
  <c r="C94" i="3"/>
  <c r="E94" i="3" s="1"/>
  <c r="B94" i="3"/>
  <c r="G93" i="3"/>
  <c r="I93" i="3" s="1"/>
  <c r="C93" i="3"/>
  <c r="E93" i="3" s="1"/>
  <c r="B93" i="3"/>
  <c r="G92" i="3"/>
  <c r="I92" i="3" s="1"/>
  <c r="C92" i="3"/>
  <c r="E92" i="3" s="1"/>
  <c r="G91" i="3"/>
  <c r="I91" i="3" s="1"/>
  <c r="C91" i="3"/>
  <c r="E91" i="3" s="1"/>
  <c r="G90" i="3"/>
  <c r="I90" i="3" s="1"/>
  <c r="C90" i="3"/>
  <c r="E90" i="3" s="1"/>
  <c r="G89" i="3"/>
  <c r="I89" i="3" s="1"/>
  <c r="C89" i="3"/>
  <c r="E89" i="3" s="1"/>
  <c r="B89" i="3"/>
  <c r="G88" i="3"/>
  <c r="I88" i="3" s="1"/>
  <c r="C88" i="3"/>
  <c r="E88" i="3" s="1"/>
  <c r="B88" i="3"/>
  <c r="G87" i="3"/>
  <c r="I87" i="3" s="1"/>
  <c r="C87" i="3"/>
  <c r="E87" i="3" s="1"/>
  <c r="G86" i="3"/>
  <c r="I86" i="3" s="1"/>
  <c r="C86" i="3"/>
  <c r="E86" i="3" s="1"/>
  <c r="B86" i="3"/>
  <c r="G85" i="3"/>
  <c r="I85" i="3" s="1"/>
  <c r="C85" i="3"/>
  <c r="E85" i="3" s="1"/>
  <c r="B85" i="3"/>
  <c r="G84" i="3"/>
  <c r="I84" i="3" s="1"/>
  <c r="C84" i="3"/>
  <c r="E84" i="3" s="1"/>
  <c r="B84" i="3"/>
  <c r="G83" i="3"/>
  <c r="I83" i="3" s="1"/>
  <c r="C83" i="3"/>
  <c r="E83" i="3" s="1"/>
  <c r="B83" i="3"/>
  <c r="L82" i="3"/>
  <c r="I82" i="3"/>
  <c r="E82" i="3"/>
  <c r="B82" i="3"/>
  <c r="L81" i="3"/>
  <c r="I81" i="3"/>
  <c r="E81" i="3"/>
  <c r="B81" i="3"/>
  <c r="L80" i="3"/>
  <c r="I80" i="3"/>
  <c r="E80" i="3"/>
  <c r="B80" i="3"/>
  <c r="L79" i="3"/>
  <c r="I79" i="3"/>
  <c r="E79" i="3"/>
  <c r="B79" i="3"/>
  <c r="L78" i="3"/>
  <c r="I78" i="3"/>
  <c r="E78" i="3"/>
  <c r="B78" i="3"/>
  <c r="L77" i="3"/>
  <c r="I77" i="3"/>
  <c r="E77" i="3"/>
  <c r="B77" i="3"/>
  <c r="L76" i="3"/>
  <c r="I76" i="3"/>
  <c r="E76" i="3"/>
  <c r="B76" i="3"/>
  <c r="L75" i="3"/>
  <c r="I75" i="3"/>
  <c r="E75" i="3"/>
  <c r="B75" i="3"/>
  <c r="L74" i="3"/>
  <c r="I74" i="3"/>
  <c r="E74" i="3"/>
  <c r="B74" i="3"/>
  <c r="L73" i="3"/>
  <c r="I73" i="3"/>
  <c r="E73" i="3"/>
  <c r="B73" i="3"/>
  <c r="L72" i="3"/>
  <c r="I72" i="3"/>
  <c r="E72" i="3"/>
  <c r="B72" i="3"/>
  <c r="L71" i="3"/>
  <c r="I71" i="3"/>
  <c r="E71" i="3"/>
  <c r="B71" i="3"/>
  <c r="L70" i="3"/>
  <c r="I70" i="3"/>
  <c r="E70" i="3"/>
  <c r="B70" i="3"/>
  <c r="L69" i="3"/>
  <c r="I69" i="3"/>
  <c r="E69" i="3"/>
  <c r="B69" i="3"/>
  <c r="L68" i="3"/>
  <c r="I68" i="3"/>
  <c r="E68" i="3"/>
  <c r="B68" i="3"/>
  <c r="L67" i="3"/>
  <c r="I67" i="3"/>
  <c r="E67" i="3"/>
  <c r="B67" i="3"/>
  <c r="L66" i="3"/>
  <c r="I66" i="3"/>
  <c r="E66" i="3"/>
  <c r="B66" i="3"/>
  <c r="L65" i="3"/>
  <c r="I65" i="3"/>
  <c r="E65" i="3"/>
  <c r="B65" i="3"/>
  <c r="L64" i="3"/>
  <c r="I64" i="3"/>
  <c r="E64" i="3"/>
  <c r="B64" i="3"/>
  <c r="L63" i="3"/>
  <c r="I63" i="3"/>
  <c r="E63" i="3"/>
  <c r="B63" i="3"/>
  <c r="L62" i="3"/>
  <c r="I62" i="3"/>
  <c r="E62" i="3"/>
  <c r="B62" i="3"/>
  <c r="L61" i="3"/>
  <c r="I61" i="3"/>
  <c r="E61" i="3"/>
  <c r="B61" i="3"/>
  <c r="L60" i="3"/>
  <c r="I60" i="3"/>
  <c r="E60" i="3"/>
  <c r="B60" i="3"/>
  <c r="L59" i="3"/>
  <c r="I59" i="3"/>
  <c r="E59" i="3"/>
  <c r="B59" i="3"/>
  <c r="L58" i="3"/>
  <c r="I58" i="3"/>
  <c r="E58" i="3"/>
  <c r="B58" i="3"/>
  <c r="L57" i="3"/>
  <c r="I57" i="3"/>
  <c r="E57" i="3"/>
  <c r="B57" i="3"/>
  <c r="L56" i="3"/>
  <c r="I56" i="3"/>
  <c r="E56" i="3"/>
  <c r="B56" i="3"/>
  <c r="L55" i="3"/>
  <c r="I55" i="3"/>
  <c r="E55" i="3"/>
  <c r="B55" i="3"/>
  <c r="L54" i="3"/>
  <c r="I54" i="3"/>
  <c r="E54" i="3"/>
  <c r="B54" i="3"/>
  <c r="L53" i="3"/>
  <c r="I53" i="3"/>
  <c r="E53" i="3"/>
  <c r="B53" i="3"/>
  <c r="L52" i="3"/>
  <c r="I52" i="3"/>
  <c r="E52" i="3"/>
  <c r="B52" i="3"/>
  <c r="L51" i="3"/>
  <c r="I51" i="3"/>
  <c r="E51" i="3"/>
  <c r="B51" i="3"/>
  <c r="L50" i="3"/>
  <c r="I50" i="3"/>
  <c r="E50" i="3"/>
  <c r="B50" i="3"/>
  <c r="L49" i="3"/>
  <c r="I49" i="3"/>
  <c r="E49" i="3"/>
  <c r="B49" i="3"/>
  <c r="L48" i="3"/>
  <c r="I48" i="3"/>
  <c r="E48" i="3"/>
  <c r="B48" i="3"/>
  <c r="L47" i="3"/>
  <c r="I47" i="3"/>
  <c r="E47" i="3"/>
  <c r="B47" i="3"/>
  <c r="L46" i="3"/>
  <c r="I46" i="3"/>
  <c r="E46" i="3"/>
  <c r="B46" i="3"/>
  <c r="L45" i="3"/>
  <c r="I45" i="3"/>
  <c r="E45" i="3"/>
  <c r="B45" i="3"/>
  <c r="L44" i="3"/>
  <c r="I44" i="3"/>
  <c r="E44" i="3"/>
  <c r="B44" i="3"/>
  <c r="L43" i="3"/>
  <c r="I43" i="3"/>
  <c r="E43" i="3"/>
  <c r="B43" i="3"/>
  <c r="L42" i="3"/>
  <c r="I42" i="3"/>
  <c r="E42" i="3"/>
  <c r="B42" i="3"/>
  <c r="L41" i="3"/>
  <c r="I41" i="3"/>
  <c r="E41" i="3"/>
  <c r="B41" i="3"/>
  <c r="L40" i="3"/>
  <c r="I40" i="3"/>
  <c r="E40" i="3"/>
  <c r="B40" i="3"/>
  <c r="L39" i="3"/>
  <c r="I39" i="3"/>
  <c r="E39" i="3"/>
  <c r="B39" i="3"/>
  <c r="L38" i="3"/>
  <c r="I38" i="3"/>
  <c r="E38" i="3"/>
  <c r="B38" i="3"/>
  <c r="L37" i="3"/>
  <c r="I37" i="3"/>
  <c r="E37" i="3"/>
  <c r="B37" i="3"/>
  <c r="L36" i="3"/>
  <c r="I36" i="3"/>
  <c r="E36" i="3"/>
  <c r="B36" i="3"/>
  <c r="L35" i="3"/>
  <c r="I35" i="3"/>
  <c r="E35" i="3"/>
  <c r="B35" i="3"/>
  <c r="L34" i="3"/>
  <c r="I34" i="3"/>
  <c r="E34" i="3"/>
  <c r="B34" i="3"/>
  <c r="L33" i="3"/>
  <c r="I33" i="3"/>
  <c r="E33" i="3"/>
  <c r="B33" i="3"/>
  <c r="L32" i="3"/>
  <c r="I32" i="3"/>
  <c r="E32" i="3"/>
  <c r="B32" i="3"/>
  <c r="L31" i="3"/>
  <c r="I31" i="3"/>
  <c r="E31" i="3"/>
  <c r="B31" i="3"/>
  <c r="L30" i="3"/>
  <c r="I30" i="3"/>
  <c r="E30" i="3"/>
  <c r="B30" i="3"/>
  <c r="L29" i="3"/>
  <c r="I29" i="3"/>
  <c r="E29" i="3"/>
  <c r="B29" i="3"/>
  <c r="L28" i="3"/>
  <c r="I28" i="3"/>
  <c r="E28" i="3"/>
  <c r="B28" i="3"/>
  <c r="L27" i="3"/>
  <c r="I27" i="3"/>
  <c r="E27" i="3"/>
  <c r="B27" i="3"/>
  <c r="L26" i="3"/>
  <c r="I26" i="3"/>
  <c r="E26" i="3"/>
  <c r="B26" i="3"/>
  <c r="L25" i="3"/>
  <c r="I25" i="3"/>
  <c r="E25" i="3"/>
  <c r="B25" i="3"/>
  <c r="L24" i="3"/>
  <c r="I24" i="3"/>
  <c r="E24" i="3"/>
  <c r="B24" i="3"/>
  <c r="L23" i="3"/>
  <c r="I23" i="3"/>
  <c r="E23" i="3"/>
  <c r="B23" i="3"/>
  <c r="L22" i="3"/>
  <c r="I22" i="3"/>
  <c r="E22" i="3"/>
  <c r="B22" i="3"/>
  <c r="L21" i="3"/>
  <c r="I21" i="3"/>
  <c r="E21" i="3"/>
  <c r="B21" i="3"/>
  <c r="L20" i="3"/>
  <c r="I20" i="3"/>
  <c r="E20" i="3"/>
  <c r="B20" i="3"/>
  <c r="L19" i="3"/>
  <c r="I19" i="3"/>
  <c r="E19" i="3"/>
  <c r="B19" i="3"/>
  <c r="L18" i="3"/>
  <c r="I18" i="3"/>
  <c r="E18" i="3"/>
  <c r="B18" i="3"/>
  <c r="L17" i="3"/>
  <c r="I17" i="3"/>
  <c r="E17" i="3"/>
  <c r="B17" i="3"/>
  <c r="L16" i="3"/>
  <c r="I16" i="3"/>
  <c r="E16" i="3"/>
  <c r="B16" i="3"/>
  <c r="L15" i="3"/>
  <c r="I15" i="3"/>
  <c r="E15" i="3"/>
  <c r="B15" i="3"/>
  <c r="L14" i="3"/>
  <c r="I14" i="3"/>
  <c r="E14" i="3"/>
  <c r="B14" i="3"/>
  <c r="L13" i="3"/>
  <c r="I13" i="3"/>
  <c r="E13" i="3"/>
  <c r="L12" i="3"/>
  <c r="I12" i="3"/>
  <c r="E12" i="3"/>
  <c r="L11" i="3"/>
  <c r="I11" i="3"/>
  <c r="E11" i="3"/>
  <c r="L10" i="3"/>
  <c r="I10" i="3"/>
  <c r="E10" i="3"/>
  <c r="L9" i="3"/>
  <c r="I9" i="3"/>
  <c r="E9" i="3"/>
  <c r="L8" i="3"/>
  <c r="I8" i="3"/>
  <c r="E8" i="3"/>
  <c r="L7" i="3"/>
  <c r="I7" i="3"/>
  <c r="E7" i="3"/>
  <c r="B7" i="3"/>
  <c r="L6" i="3"/>
  <c r="I6" i="3"/>
  <c r="E6" i="3"/>
  <c r="B6" i="3"/>
  <c r="X154" i="5"/>
  <c r="X159" i="5"/>
  <c r="F57" i="4"/>
  <c r="AN104" i="5"/>
  <c r="AN110" i="5"/>
  <c r="AC136" i="5"/>
  <c r="AC139" i="5"/>
  <c r="L150" i="5"/>
  <c r="L184" i="5"/>
  <c r="N26" i="5"/>
  <c r="F85" i="5"/>
  <c r="AN158" i="5"/>
  <c r="AC164" i="5"/>
  <c r="AC193" i="5"/>
  <c r="AH194" i="5"/>
  <c r="AI194" i="5" s="1"/>
  <c r="AN195" i="5"/>
  <c r="F196" i="5"/>
  <c r="Y31" i="4"/>
  <c r="AH153" i="5"/>
  <c r="AC167" i="5"/>
  <c r="L179" i="5"/>
  <c r="AN64" i="5"/>
  <c r="AN119" i="5"/>
  <c r="AO119" i="5" s="1"/>
  <c r="G57" i="4"/>
  <c r="H58" i="4" s="1"/>
  <c r="L30" i="4"/>
  <c r="S37" i="4"/>
  <c r="M53" i="4"/>
  <c r="AN54" i="5"/>
  <c r="F91" i="5"/>
  <c r="X117" i="5"/>
  <c r="AC145" i="5"/>
  <c r="R170" i="5"/>
  <c r="X175" i="5"/>
  <c r="L189" i="5"/>
  <c r="F121" i="5"/>
  <c r="AC121" i="5"/>
  <c r="AH172" i="5"/>
  <c r="X173" i="5"/>
  <c r="F178" i="5"/>
  <c r="R190" i="5"/>
  <c r="F192" i="5"/>
  <c r="AN57" i="5"/>
  <c r="AN113" i="5"/>
  <c r="AC130" i="5"/>
  <c r="L160" i="5"/>
  <c r="L140" i="5"/>
  <c r="L181" i="5"/>
  <c r="X111" i="5"/>
  <c r="G144" i="5"/>
  <c r="L166" i="5"/>
  <c r="X181" i="5"/>
  <c r="L59" i="5"/>
  <c r="L194" i="5"/>
  <c r="H10" i="5"/>
  <c r="N23" i="5"/>
  <c r="R180" i="5"/>
  <c r="R186" i="5"/>
  <c r="R194" i="5"/>
  <c r="L162" i="5"/>
  <c r="R168" i="5"/>
  <c r="AH42" i="5"/>
  <c r="AI42" i="5" s="1"/>
  <c r="F124" i="5"/>
  <c r="AC156" i="5"/>
  <c r="F51" i="5"/>
  <c r="R97" i="5"/>
  <c r="X60" i="5"/>
  <c r="Y63" i="5"/>
  <c r="F70" i="5"/>
  <c r="AN103" i="5"/>
  <c r="G130" i="5"/>
  <c r="AC133" i="5"/>
  <c r="AC185" i="5"/>
  <c r="AH190" i="5"/>
  <c r="AI190" i="5" s="1"/>
  <c r="R195" i="5"/>
  <c r="X196" i="5"/>
  <c r="F52" i="5"/>
  <c r="L58" i="5"/>
  <c r="Y114" i="5"/>
  <c r="F142" i="5"/>
  <c r="L148" i="5"/>
  <c r="X148" i="5"/>
  <c r="AH171" i="5"/>
  <c r="AI171" i="5" s="1"/>
  <c r="L193" i="5"/>
  <c r="F103" i="5"/>
  <c r="R103" i="5"/>
  <c r="AN107" i="5"/>
  <c r="F118" i="5"/>
  <c r="AC127" i="5"/>
  <c r="AC142" i="5"/>
  <c r="L146" i="5"/>
  <c r="X146" i="5"/>
  <c r="L163" i="5"/>
  <c r="AH166" i="5"/>
  <c r="AH170" i="5"/>
  <c r="AI170" i="5" s="1"/>
  <c r="R171" i="5"/>
  <c r="M184" i="5"/>
  <c r="S195" i="5"/>
  <c r="E15" i="6"/>
  <c r="E19" i="6"/>
  <c r="K20" i="6"/>
  <c r="J9" i="6"/>
  <c r="K25" i="6"/>
  <c r="F152" i="5"/>
  <c r="F46" i="5"/>
  <c r="Y72" i="5"/>
  <c r="N17" i="5"/>
  <c r="Z18" i="5"/>
  <c r="Z30" i="5"/>
  <c r="Y108" i="5"/>
  <c r="G139" i="5"/>
  <c r="AN73" i="5"/>
  <c r="X78" i="5"/>
  <c r="X90" i="5"/>
  <c r="AN91" i="5"/>
  <c r="AO91" i="5" s="1"/>
  <c r="AN95" i="5"/>
  <c r="F100" i="5"/>
  <c r="AH111" i="5"/>
  <c r="G145" i="5"/>
  <c r="AN76" i="5"/>
  <c r="AN80" i="5"/>
  <c r="AO80" i="5" s="1"/>
  <c r="AN86" i="5"/>
  <c r="X87" i="5"/>
  <c r="X122" i="5"/>
  <c r="X124" i="5"/>
  <c r="L125" i="5"/>
  <c r="X128" i="5"/>
  <c r="L131" i="5"/>
  <c r="L137" i="5"/>
  <c r="AC149" i="5"/>
  <c r="G156" i="5"/>
  <c r="F115" i="5"/>
  <c r="L122" i="5"/>
  <c r="AN124" i="5"/>
  <c r="AO124" i="5" s="1"/>
  <c r="L128" i="5"/>
  <c r="L134" i="5"/>
  <c r="L143" i="5"/>
  <c r="Y155" i="5"/>
  <c r="R169" i="5"/>
  <c r="AN173" i="5"/>
  <c r="AO173" i="5" s="1"/>
  <c r="M194" i="5"/>
  <c r="Y196" i="5"/>
  <c r="X187" i="5"/>
  <c r="X191" i="5"/>
  <c r="X195" i="5"/>
  <c r="H59" i="4"/>
  <c r="R41" i="4"/>
  <c r="Y35" i="4"/>
  <c r="T13" i="4" l="1"/>
  <c r="AD26" i="4"/>
  <c r="T20" i="5"/>
  <c r="H25" i="5"/>
  <c r="T26" i="5"/>
  <c r="H28" i="5"/>
  <c r="T29" i="5"/>
  <c r="T32" i="5"/>
  <c r="H36" i="5"/>
  <c r="R137" i="5"/>
  <c r="N16" i="5"/>
  <c r="Y99" i="5"/>
  <c r="Y111" i="5"/>
  <c r="M76" i="5"/>
  <c r="R191" i="5"/>
  <c r="K43" i="6"/>
  <c r="E97" i="6"/>
  <c r="L66" i="5"/>
  <c r="X44" i="4"/>
  <c r="AO76" i="5"/>
  <c r="Y134" i="5"/>
  <c r="AO103" i="5"/>
  <c r="AO64" i="5"/>
  <c r="Z22" i="4"/>
  <c r="S33" i="4"/>
  <c r="AH37" i="5"/>
  <c r="L90" i="5"/>
  <c r="M96" i="5"/>
  <c r="AO86" i="5"/>
  <c r="AO95" i="5"/>
  <c r="AO73" i="5"/>
  <c r="AI166" i="5"/>
  <c r="AO107" i="5"/>
  <c r="Y138" i="5"/>
  <c r="AO57" i="5"/>
  <c r="Y37" i="4"/>
  <c r="Z37" i="4" s="1"/>
  <c r="X37" i="4"/>
  <c r="R192" i="5"/>
  <c r="S192" i="5"/>
  <c r="S52" i="5"/>
  <c r="M60" i="5"/>
  <c r="L72" i="5"/>
  <c r="M78" i="5"/>
  <c r="M84" i="5"/>
  <c r="AC104" i="5"/>
  <c r="M114" i="5"/>
  <c r="AC116" i="5"/>
  <c r="AD117" i="5" s="1"/>
  <c r="M120" i="5"/>
  <c r="N120" i="5" s="1"/>
  <c r="S121" i="5"/>
  <c r="S127" i="5"/>
  <c r="S145" i="5"/>
  <c r="S152" i="5"/>
  <c r="Y153" i="5"/>
  <c r="F158" i="5"/>
  <c r="M159" i="5"/>
  <c r="AI160" i="5"/>
  <c r="AN160" i="5"/>
  <c r="AI161" i="5"/>
  <c r="AN161" i="5"/>
  <c r="AI162" i="5"/>
  <c r="AJ162" i="5" s="1"/>
  <c r="AN162" i="5"/>
  <c r="AI163" i="5"/>
  <c r="AN163" i="5"/>
  <c r="AI164" i="5"/>
  <c r="AN164" i="5"/>
  <c r="AI165" i="5"/>
  <c r="AN165" i="5"/>
  <c r="AN166" i="5"/>
  <c r="S167" i="5"/>
  <c r="AH167" i="5"/>
  <c r="L168" i="5"/>
  <c r="AO169" i="5"/>
  <c r="AP170" i="5" s="1"/>
  <c r="AT169" i="5"/>
  <c r="AO170" i="5"/>
  <c r="AT170" i="5"/>
  <c r="AO171" i="5"/>
  <c r="AT171" i="5"/>
  <c r="AU171" i="5" s="1"/>
  <c r="AO172" i="5"/>
  <c r="AC173" i="5"/>
  <c r="AH174" i="5"/>
  <c r="AI174" i="5" s="1"/>
  <c r="AI175" i="5"/>
  <c r="AN175" i="5"/>
  <c r="AO175" i="5" s="1"/>
  <c r="AO176" i="5"/>
  <c r="AP176" i="5" s="1"/>
  <c r="AC177" i="5"/>
  <c r="AD178" i="5" s="1"/>
  <c r="AH178" i="5"/>
  <c r="AI179" i="5"/>
  <c r="AN179" i="5"/>
  <c r="AO180" i="5"/>
  <c r="AC181" i="5"/>
  <c r="AH182" i="5"/>
  <c r="AN183" i="5"/>
  <c r="AO183" i="5" s="1"/>
  <c r="AN185" i="5"/>
  <c r="AO186" i="5"/>
  <c r="AC187" i="5"/>
  <c r="AH188" i="5"/>
  <c r="AI188" i="5" s="1"/>
  <c r="AN189" i="5"/>
  <c r="AO189" i="5" s="1"/>
  <c r="AP190" i="5" s="1"/>
  <c r="AO190" i="5"/>
  <c r="AC191" i="5"/>
  <c r="AH192" i="5"/>
  <c r="AI192" i="5" s="1"/>
  <c r="AI193" i="5"/>
  <c r="AO194" i="5"/>
  <c r="AC195" i="5"/>
  <c r="AH196" i="5"/>
  <c r="AI196" i="5" s="1"/>
  <c r="E9" i="6"/>
  <c r="E11" i="6"/>
  <c r="E13" i="6"/>
  <c r="K21" i="6"/>
  <c r="L22" i="6" s="1"/>
  <c r="AO113" i="5"/>
  <c r="AP113" i="5" s="1"/>
  <c r="AI172" i="5"/>
  <c r="AO110" i="5"/>
  <c r="AO61" i="5"/>
  <c r="F63" i="5"/>
  <c r="Y65" i="5"/>
  <c r="F66" i="5"/>
  <c r="S67" i="5"/>
  <c r="F69" i="5"/>
  <c r="AN70" i="5"/>
  <c r="AO70" i="5" s="1"/>
  <c r="X71" i="5"/>
  <c r="F72" i="5"/>
  <c r="Y74" i="5"/>
  <c r="Z75" i="5" s="1"/>
  <c r="Y77" i="5"/>
  <c r="F78" i="5"/>
  <c r="AN79" i="5"/>
  <c r="AO79" i="5" s="1"/>
  <c r="X80" i="5"/>
  <c r="F81" i="5"/>
  <c r="AN82" i="5"/>
  <c r="AO82" i="5" s="1"/>
  <c r="X83" i="5"/>
  <c r="F84" i="5"/>
  <c r="AN85" i="5"/>
  <c r="AO85" i="5" s="1"/>
  <c r="X86" i="5"/>
  <c r="F87" i="5"/>
  <c r="AN88" i="5"/>
  <c r="AO88" i="5" s="1"/>
  <c r="AP89" i="5" s="1"/>
  <c r="Y89" i="5"/>
  <c r="F90" i="5"/>
  <c r="Y92" i="5"/>
  <c r="F93" i="5"/>
  <c r="AN94" i="5"/>
  <c r="AO94" i="5" s="1"/>
  <c r="X95" i="5"/>
  <c r="AN97" i="5"/>
  <c r="X98" i="5"/>
  <c r="AN100" i="5"/>
  <c r="X101" i="5"/>
  <c r="S115" i="5"/>
  <c r="Y122" i="5"/>
  <c r="Y128" i="5"/>
  <c r="F129" i="5"/>
  <c r="F132" i="5"/>
  <c r="F135" i="5"/>
  <c r="F138" i="5"/>
  <c r="F144" i="5"/>
  <c r="AC147" i="5"/>
  <c r="AH148" i="5"/>
  <c r="AN149" i="5"/>
  <c r="E8" i="6"/>
  <c r="E12" i="6"/>
  <c r="F12" i="6" s="1"/>
  <c r="K79" i="6"/>
  <c r="L79" i="6" s="1"/>
  <c r="AO195" i="5"/>
  <c r="AO104" i="5"/>
  <c r="H15" i="4"/>
  <c r="H23" i="4"/>
  <c r="X59" i="5"/>
  <c r="Y60" i="5"/>
  <c r="AN62" i="5"/>
  <c r="AO62" i="5" s="1"/>
  <c r="Y66" i="5"/>
  <c r="AN68" i="5"/>
  <c r="AO68" i="5" s="1"/>
  <c r="Y69" i="5"/>
  <c r="AO71" i="5"/>
  <c r="AO74" i="5"/>
  <c r="AP74" i="5" s="1"/>
  <c r="AO77" i="5"/>
  <c r="Y78" i="5"/>
  <c r="Y81" i="5"/>
  <c r="AO83" i="5"/>
  <c r="Y84" i="5"/>
  <c r="Y87" i="5"/>
  <c r="AO89" i="5"/>
  <c r="Y90" i="5"/>
  <c r="AO92" i="5"/>
  <c r="M94" i="5"/>
  <c r="AO98" i="5"/>
  <c r="AP98" i="5" s="1"/>
  <c r="M100" i="5"/>
  <c r="N100" i="5" s="1"/>
  <c r="AO101" i="5"/>
  <c r="AH103" i="5"/>
  <c r="AI103" i="5" s="1"/>
  <c r="X108" i="5"/>
  <c r="M112" i="5"/>
  <c r="R113" i="5"/>
  <c r="X114" i="5"/>
  <c r="AN116" i="5"/>
  <c r="AO116" i="5" s="1"/>
  <c r="Y117" i="5"/>
  <c r="R119" i="5"/>
  <c r="X120" i="5"/>
  <c r="AN122" i="5"/>
  <c r="AO122" i="5" s="1"/>
  <c r="G124" i="5"/>
  <c r="H125" i="5" s="1"/>
  <c r="X126" i="5"/>
  <c r="F127" i="5"/>
  <c r="AN128" i="5"/>
  <c r="AO128" i="5" s="1"/>
  <c r="X132" i="5"/>
  <c r="AN140" i="5"/>
  <c r="AO140" i="5" s="1"/>
  <c r="G142" i="5"/>
  <c r="X144" i="5"/>
  <c r="AN146" i="5"/>
  <c r="AO146" i="5" s="1"/>
  <c r="M153" i="5"/>
  <c r="S154" i="5"/>
  <c r="M157" i="5"/>
  <c r="N157" i="5" s="1"/>
  <c r="S158" i="5"/>
  <c r="Y159" i="5"/>
  <c r="AH168" i="5"/>
  <c r="AI168" i="5" s="1"/>
  <c r="L169" i="5"/>
  <c r="L171" i="5"/>
  <c r="F175" i="5"/>
  <c r="L176" i="5"/>
  <c r="AI180" i="5"/>
  <c r="AO181" i="5"/>
  <c r="F183" i="5"/>
  <c r="R184" i="5"/>
  <c r="R187" i="5"/>
  <c r="AO187" i="5"/>
  <c r="AP187" i="5" s="1"/>
  <c r="F189" i="5"/>
  <c r="L190" i="5"/>
  <c r="S191" i="5"/>
  <c r="AN196" i="5"/>
  <c r="N19" i="5"/>
  <c r="N22" i="5"/>
  <c r="Z23" i="5"/>
  <c r="Z26" i="5"/>
  <c r="N27" i="5"/>
  <c r="Z31" i="5"/>
  <c r="Z34" i="5"/>
  <c r="H37" i="5"/>
  <c r="G186" i="5"/>
  <c r="G190" i="5"/>
  <c r="G31" i="4"/>
  <c r="L38" i="4"/>
  <c r="R45" i="4"/>
  <c r="H14" i="5"/>
  <c r="L62" i="5"/>
  <c r="AC64" i="5"/>
  <c r="AC67" i="5"/>
  <c r="L68" i="5"/>
  <c r="AC70" i="5"/>
  <c r="AD71" i="5" s="1"/>
  <c r="L74" i="5"/>
  <c r="AC94" i="5"/>
  <c r="L98" i="5"/>
  <c r="T19" i="5"/>
  <c r="H21" i="5"/>
  <c r="H24" i="5"/>
  <c r="T28" i="5"/>
  <c r="T37" i="5"/>
  <c r="N38" i="5"/>
  <c r="AH43" i="5"/>
  <c r="S57" i="5"/>
  <c r="R33" i="4"/>
  <c r="M34" i="4"/>
  <c r="F37" i="4"/>
  <c r="Y49" i="4"/>
  <c r="S150" i="5"/>
  <c r="Y192" i="5"/>
  <c r="F193" i="5"/>
  <c r="AC53" i="5"/>
  <c r="G54" i="4"/>
  <c r="S43" i="5"/>
  <c r="S45" i="5"/>
  <c r="AI46" i="5"/>
  <c r="AN47" i="5"/>
  <c r="AO47" i="5" s="1"/>
  <c r="AP47" i="5" s="1"/>
  <c r="Y48" i="5"/>
  <c r="S50" i="5"/>
  <c r="Y51" i="5"/>
  <c r="AH52" i="5"/>
  <c r="AI52" i="5" s="1"/>
  <c r="Y55" i="5"/>
  <c r="G57" i="5"/>
  <c r="AH57" i="5"/>
  <c r="AC63" i="5"/>
  <c r="L64" i="5"/>
  <c r="AC66" i="5"/>
  <c r="AC69" i="5"/>
  <c r="L70" i="5"/>
  <c r="AC72" i="5"/>
  <c r="AD73" i="5" s="1"/>
  <c r="AC75" i="5"/>
  <c r="AC78" i="5"/>
  <c r="AC81" i="5"/>
  <c r="AC84" i="5"/>
  <c r="AC87" i="5"/>
  <c r="AC90" i="5"/>
  <c r="AC93" i="5"/>
  <c r="AC96" i="5"/>
  <c r="AC99" i="5"/>
  <c r="AC102" i="5"/>
  <c r="AC105" i="5"/>
  <c r="AD106" i="5" s="1"/>
  <c r="AC108" i="5"/>
  <c r="AD108" i="5" s="1"/>
  <c r="AC111" i="5"/>
  <c r="L112" i="5"/>
  <c r="AC114" i="5"/>
  <c r="L115" i="5"/>
  <c r="AC117" i="5"/>
  <c r="L118" i="5"/>
  <c r="AC120" i="5"/>
  <c r="AD121" i="5" s="1"/>
  <c r="AH121" i="5"/>
  <c r="R122" i="5"/>
  <c r="AH124" i="5"/>
  <c r="R125" i="5"/>
  <c r="AH127" i="5"/>
  <c r="AI127" i="5" s="1"/>
  <c r="AJ128" i="5" s="1"/>
  <c r="AH130" i="5"/>
  <c r="AI130" i="5" s="1"/>
  <c r="R131" i="5"/>
  <c r="AH133" i="5"/>
  <c r="AI133" i="5" s="1"/>
  <c r="R134" i="5"/>
  <c r="AH136" i="5"/>
  <c r="AH58" i="5"/>
  <c r="R59" i="5"/>
  <c r="F96" i="5"/>
  <c r="AO97" i="5"/>
  <c r="F99" i="5"/>
  <c r="AO100" i="5"/>
  <c r="AP100" i="5" s="1"/>
  <c r="F102" i="5"/>
  <c r="Y104" i="5"/>
  <c r="F105" i="5"/>
  <c r="AO106" i="5"/>
  <c r="AP107" i="5" s="1"/>
  <c r="F108" i="5"/>
  <c r="F111" i="5"/>
  <c r="AO112" i="5"/>
  <c r="F114" i="5"/>
  <c r="AO115" i="5"/>
  <c r="G117" i="5"/>
  <c r="AO118" i="5"/>
  <c r="Y119" i="5"/>
  <c r="F120" i="5"/>
  <c r="L121" i="5"/>
  <c r="AC123" i="5"/>
  <c r="L124" i="5"/>
  <c r="AC126" i="5"/>
  <c r="L127" i="5"/>
  <c r="AC129" i="5"/>
  <c r="AC132" i="5"/>
  <c r="L133" i="5"/>
  <c r="AC135" i="5"/>
  <c r="G151" i="5"/>
  <c r="Z38" i="5"/>
  <c r="AN44" i="5"/>
  <c r="AO44" i="5" s="1"/>
  <c r="AP44" i="5" s="1"/>
  <c r="M46" i="5"/>
  <c r="AH60" i="5"/>
  <c r="AH159" i="5"/>
  <c r="AI159" i="5" s="1"/>
  <c r="K69" i="6"/>
  <c r="T41" i="5"/>
  <c r="N42" i="5"/>
  <c r="S46" i="5"/>
  <c r="F47" i="5"/>
  <c r="G50" i="5"/>
  <c r="F53" i="5"/>
  <c r="G59" i="5"/>
  <c r="AN60" i="5"/>
  <c r="AO60" i="5" s="1"/>
  <c r="AP61" i="5" s="1"/>
  <c r="X61" i="5"/>
  <c r="F62" i="5"/>
  <c r="AN63" i="5"/>
  <c r="AO63" i="5" s="1"/>
  <c r="AP63" i="5" s="1"/>
  <c r="Y64" i="5"/>
  <c r="F65" i="5"/>
  <c r="AN66" i="5"/>
  <c r="AO66" i="5" s="1"/>
  <c r="X67" i="5"/>
  <c r="F68" i="5"/>
  <c r="Y70" i="5"/>
  <c r="F71" i="5"/>
  <c r="AN72" i="5"/>
  <c r="AO72" i="5" s="1"/>
  <c r="AP72" i="5" s="1"/>
  <c r="Y73" i="5"/>
  <c r="Z73" i="5" s="1"/>
  <c r="F74" i="5"/>
  <c r="S75" i="5"/>
  <c r="AN75" i="5"/>
  <c r="AO75" i="5" s="1"/>
  <c r="AP76" i="5" s="1"/>
  <c r="X76" i="5"/>
  <c r="F77" i="5"/>
  <c r="AN78" i="5"/>
  <c r="AO78" i="5" s="1"/>
  <c r="X79" i="5"/>
  <c r="F80" i="5"/>
  <c r="S81" i="5"/>
  <c r="AN81" i="5"/>
  <c r="AO81" i="5" s="1"/>
  <c r="F83" i="5"/>
  <c r="F86" i="5"/>
  <c r="F89" i="5"/>
  <c r="F92" i="5"/>
  <c r="F95" i="5"/>
  <c r="F98" i="5"/>
  <c r="F101" i="5"/>
  <c r="F104" i="5"/>
  <c r="Y106" i="5"/>
  <c r="F107" i="5"/>
  <c r="X109" i="5"/>
  <c r="F110" i="5"/>
  <c r="F113" i="5"/>
  <c r="F116" i="5"/>
  <c r="G119" i="5"/>
  <c r="H120" i="5" s="1"/>
  <c r="AC122" i="5"/>
  <c r="AD122" i="5" s="1"/>
  <c r="L123" i="5"/>
  <c r="AC125" i="5"/>
  <c r="AD125" i="5" s="1"/>
  <c r="L126" i="5"/>
  <c r="AC128" i="5"/>
  <c r="L129" i="5"/>
  <c r="AC131" i="5"/>
  <c r="M132" i="5"/>
  <c r="AC134" i="5"/>
  <c r="L135" i="5"/>
  <c r="AC137" i="5"/>
  <c r="AD138" i="5" s="1"/>
  <c r="L138" i="5"/>
  <c r="AC140" i="5"/>
  <c r="L141" i="5"/>
  <c r="AC143" i="5"/>
  <c r="M144" i="5"/>
  <c r="F146" i="5"/>
  <c r="AC146" i="5"/>
  <c r="AH147" i="5"/>
  <c r="AI147" i="5" s="1"/>
  <c r="R148" i="5"/>
  <c r="AN148" i="5"/>
  <c r="AO148" i="5" s="1"/>
  <c r="AC150" i="5"/>
  <c r="AD150" i="5" s="1"/>
  <c r="M151" i="5"/>
  <c r="N152" i="5" s="1"/>
  <c r="S155" i="5"/>
  <c r="F173" i="5"/>
  <c r="S175" i="5"/>
  <c r="S185" i="5"/>
  <c r="F187" i="5"/>
  <c r="M188" i="5"/>
  <c r="R193" i="5"/>
  <c r="L196" i="5"/>
  <c r="J17" i="6"/>
  <c r="J19" i="6"/>
  <c r="R158" i="5"/>
  <c r="L84" i="5"/>
  <c r="Y132" i="5"/>
  <c r="R145" i="5"/>
  <c r="G127" i="5"/>
  <c r="Y75" i="5"/>
  <c r="Y96" i="5"/>
  <c r="X53" i="4"/>
  <c r="AH33" i="5"/>
  <c r="AC106" i="5"/>
  <c r="AT160" i="5"/>
  <c r="AT164" i="5"/>
  <c r="AT165" i="5"/>
  <c r="AU165" i="5" s="1"/>
  <c r="AV165" i="5" s="1"/>
  <c r="AT166" i="5"/>
  <c r="G170" i="5"/>
  <c r="S174" i="5"/>
  <c r="AN174" i="5"/>
  <c r="AO174" i="5" s="1"/>
  <c r="Y175" i="5"/>
  <c r="AC176" i="5"/>
  <c r="AH177" i="5"/>
  <c r="AN178" i="5"/>
  <c r="M181" i="5"/>
  <c r="AN184" i="5"/>
  <c r="AO184" i="5" s="1"/>
  <c r="M187" i="5"/>
  <c r="S188" i="5"/>
  <c r="Y189" i="5"/>
  <c r="Z190" i="5" s="1"/>
  <c r="AC190" i="5"/>
  <c r="AD190" i="5" s="1"/>
  <c r="AH191" i="5"/>
  <c r="G194" i="5"/>
  <c r="AC194" i="5"/>
  <c r="AH195" i="5"/>
  <c r="S196" i="5"/>
  <c r="E22" i="6"/>
  <c r="F23" i="6" s="1"/>
  <c r="G52" i="4"/>
  <c r="M72" i="5"/>
  <c r="X46" i="4"/>
  <c r="X84" i="5"/>
  <c r="X55" i="5"/>
  <c r="G189" i="5"/>
  <c r="H190" i="5" s="1"/>
  <c r="Y105" i="5"/>
  <c r="L153" i="5"/>
  <c r="G133" i="5"/>
  <c r="X69" i="5"/>
  <c r="X66" i="5"/>
  <c r="L157" i="5"/>
  <c r="X81" i="5"/>
  <c r="Y102" i="5"/>
  <c r="G175" i="5"/>
  <c r="Y120" i="5"/>
  <c r="Z120" i="5" s="1"/>
  <c r="X51" i="5"/>
  <c r="Z27" i="5"/>
  <c r="K28" i="6"/>
  <c r="Y93" i="5"/>
  <c r="Z93" i="5" s="1"/>
  <c r="G183" i="5"/>
  <c r="AI145" i="5"/>
  <c r="AI58" i="5"/>
  <c r="AH64" i="5"/>
  <c r="AH70" i="5"/>
  <c r="AI70" i="5" s="1"/>
  <c r="R74" i="5"/>
  <c r="AH76" i="5"/>
  <c r="AI76" i="5" s="1"/>
  <c r="R77" i="5"/>
  <c r="AH82" i="5"/>
  <c r="AI82" i="5" s="1"/>
  <c r="AJ82" i="5" s="1"/>
  <c r="R83" i="5"/>
  <c r="R86" i="5"/>
  <c r="AH88" i="5"/>
  <c r="AI88" i="5" s="1"/>
  <c r="R92" i="5"/>
  <c r="AH94" i="5"/>
  <c r="R95" i="5"/>
  <c r="AH100" i="5"/>
  <c r="AH106" i="5"/>
  <c r="AI106" i="5" s="1"/>
  <c r="AJ107" i="5" s="1"/>
  <c r="M109" i="5"/>
  <c r="R110" i="5"/>
  <c r="AH112" i="5"/>
  <c r="AI112" i="5" s="1"/>
  <c r="AH118" i="5"/>
  <c r="AI118" i="5" s="1"/>
  <c r="X123" i="5"/>
  <c r="AI124" i="5"/>
  <c r="AN125" i="5"/>
  <c r="AO125" i="5" s="1"/>
  <c r="AP125" i="5" s="1"/>
  <c r="AN131" i="5"/>
  <c r="AO131" i="5" s="1"/>
  <c r="AI136" i="5"/>
  <c r="AN137" i="5"/>
  <c r="AN143" i="5"/>
  <c r="AC148" i="5"/>
  <c r="AH149" i="5"/>
  <c r="AN150" i="5"/>
  <c r="M176" i="5"/>
  <c r="AI167" i="5"/>
  <c r="AJ167" i="5" s="1"/>
  <c r="R154" i="5"/>
  <c r="M190" i="5"/>
  <c r="N190" i="5" s="1"/>
  <c r="Y126" i="5"/>
  <c r="H35" i="5"/>
  <c r="H41" i="5"/>
  <c r="M90" i="5"/>
  <c r="G136" i="5"/>
  <c r="Z36" i="4"/>
  <c r="AJ172" i="5"/>
  <c r="L60" i="5"/>
  <c r="AC62" i="5"/>
  <c r="AD62" i="5" s="1"/>
  <c r="AC65" i="5"/>
  <c r="AD66" i="5" s="1"/>
  <c r="M66" i="5"/>
  <c r="AC68" i="5"/>
  <c r="AD68" i="5" s="1"/>
  <c r="L69" i="5"/>
  <c r="AC71" i="5"/>
  <c r="AC74" i="5"/>
  <c r="AC77" i="5"/>
  <c r="L78" i="5"/>
  <c r="AC80" i="5"/>
  <c r="AH81" i="5"/>
  <c r="AC83" i="5"/>
  <c r="AC86" i="5"/>
  <c r="AD86" i="5" s="1"/>
  <c r="AC89" i="5"/>
  <c r="AD89" i="5" s="1"/>
  <c r="AC92" i="5"/>
  <c r="AC95" i="5"/>
  <c r="AD96" i="5" s="1"/>
  <c r="L96" i="5"/>
  <c r="AC98" i="5"/>
  <c r="M99" i="5"/>
  <c r="AC101" i="5"/>
  <c r="L102" i="5"/>
  <c r="L105" i="5"/>
  <c r="AC107" i="5"/>
  <c r="L108" i="5"/>
  <c r="AC110" i="5"/>
  <c r="AD110" i="5" s="1"/>
  <c r="L111" i="5"/>
  <c r="AC113" i="5"/>
  <c r="L114" i="5"/>
  <c r="AC119" i="5"/>
  <c r="L120" i="5"/>
  <c r="R121" i="5"/>
  <c r="AH123" i="5"/>
  <c r="R124" i="5"/>
  <c r="AH126" i="5"/>
  <c r="AI126" i="5" s="1"/>
  <c r="R127" i="5"/>
  <c r="AH129" i="5"/>
  <c r="AH132" i="5"/>
  <c r="AI132" i="5" s="1"/>
  <c r="AH135" i="5"/>
  <c r="AH138" i="5"/>
  <c r="AI138" i="5" s="1"/>
  <c r="R139" i="5"/>
  <c r="T185" i="5"/>
  <c r="L187" i="5"/>
  <c r="M62" i="5"/>
  <c r="R196" i="5"/>
  <c r="Y109" i="5"/>
  <c r="R48" i="5"/>
  <c r="AH50" i="5"/>
  <c r="G56" i="5"/>
  <c r="AT161" i="5"/>
  <c r="AU161" i="5" s="1"/>
  <c r="AT163" i="5"/>
  <c r="AU163" i="5" s="1"/>
  <c r="AV163" i="5" s="1"/>
  <c r="AC169" i="5"/>
  <c r="AD169" i="5" s="1"/>
  <c r="AC170" i="5"/>
  <c r="AC171" i="5"/>
  <c r="AC172" i="5"/>
  <c r="AH173" i="5"/>
  <c r="AC180" i="5"/>
  <c r="AH181" i="5"/>
  <c r="AN182" i="5"/>
  <c r="F184" i="5"/>
  <c r="AC186" i="5"/>
  <c r="AH187" i="5"/>
  <c r="AI187" i="5" s="1"/>
  <c r="AJ188" i="5" s="1"/>
  <c r="AN188" i="5"/>
  <c r="AO188" i="5" s="1"/>
  <c r="AP188" i="5" s="1"/>
  <c r="S182" i="5"/>
  <c r="Y193" i="5"/>
  <c r="R188" i="5"/>
  <c r="L51" i="4"/>
  <c r="R52" i="4"/>
  <c r="AH34" i="5"/>
  <c r="AC44" i="5"/>
  <c r="E14" i="6"/>
  <c r="F14" i="6" s="1"/>
  <c r="E16" i="6"/>
  <c r="E18" i="6"/>
  <c r="AD116" i="5"/>
  <c r="R46" i="5"/>
  <c r="L151" i="5"/>
  <c r="H12" i="4"/>
  <c r="H17" i="4"/>
  <c r="L55" i="4"/>
  <c r="G162" i="5"/>
  <c r="F167" i="5"/>
  <c r="K50" i="6"/>
  <c r="G180" i="5"/>
  <c r="M191" i="5"/>
  <c r="M173" i="5"/>
  <c r="F170" i="5"/>
  <c r="AI64" i="5"/>
  <c r="AJ64" i="5" s="1"/>
  <c r="AD75" i="5"/>
  <c r="AI94" i="5"/>
  <c r="AI100" i="5"/>
  <c r="AH139" i="5"/>
  <c r="AI139" i="5" s="1"/>
  <c r="AH142" i="5"/>
  <c r="AI142" i="5" s="1"/>
  <c r="R146" i="5"/>
  <c r="Y147" i="5"/>
  <c r="F148" i="5"/>
  <c r="AH152" i="5"/>
  <c r="AI152" i="5" s="1"/>
  <c r="AN153" i="5"/>
  <c r="AC155" i="5"/>
  <c r="AD156" i="5" s="1"/>
  <c r="AH156" i="5"/>
  <c r="AI156" i="5" s="1"/>
  <c r="AN157" i="5"/>
  <c r="AO157" i="5" s="1"/>
  <c r="G172" i="5"/>
  <c r="M195" i="5"/>
  <c r="N195" i="5" s="1"/>
  <c r="G196" i="5"/>
  <c r="AC196" i="5"/>
  <c r="G169" i="5"/>
  <c r="F194" i="5"/>
  <c r="L34" i="4"/>
  <c r="N29" i="5"/>
  <c r="M130" i="5"/>
  <c r="L136" i="5"/>
  <c r="AC138" i="5"/>
  <c r="L139" i="5"/>
  <c r="G141" i="5"/>
  <c r="H142" i="5" s="1"/>
  <c r="AC141" i="5"/>
  <c r="L142" i="5"/>
  <c r="AC144" i="5"/>
  <c r="L145" i="5"/>
  <c r="AI148" i="5"/>
  <c r="AO149" i="5"/>
  <c r="AP149" i="5" s="1"/>
  <c r="AC151" i="5"/>
  <c r="AD152" i="5" s="1"/>
  <c r="R153" i="5"/>
  <c r="F155" i="5"/>
  <c r="M156" i="5"/>
  <c r="R157" i="5"/>
  <c r="X158" i="5"/>
  <c r="F159" i="5"/>
  <c r="X32" i="4"/>
  <c r="R54" i="4"/>
  <c r="AH48" i="5"/>
  <c r="AI48" i="5" s="1"/>
  <c r="R52" i="5"/>
  <c r="AD166" i="5"/>
  <c r="AN36" i="5"/>
  <c r="AO36" i="5" s="1"/>
  <c r="AC47" i="5"/>
  <c r="AD47" i="5" s="1"/>
  <c r="J139" i="3"/>
  <c r="M209" i="3"/>
  <c r="J11" i="6"/>
  <c r="K11" i="6" s="1"/>
  <c r="E20" i="6"/>
  <c r="F26" i="6"/>
  <c r="S29" i="4"/>
  <c r="S45" i="4"/>
  <c r="F52" i="4"/>
  <c r="F31" i="4"/>
  <c r="AN37" i="5"/>
  <c r="AO37" i="5" s="1"/>
  <c r="G43" i="5"/>
  <c r="H43" i="5" s="1"/>
  <c r="X49" i="5"/>
  <c r="Y52" i="5"/>
  <c r="X54" i="5"/>
  <c r="L55" i="5"/>
  <c r="S58" i="5"/>
  <c r="H28" i="4"/>
  <c r="T21" i="5"/>
  <c r="T24" i="5"/>
  <c r="H26" i="5"/>
  <c r="H29" i="5"/>
  <c r="AD44" i="5"/>
  <c r="X70" i="5"/>
  <c r="AP77" i="5"/>
  <c r="N14" i="4"/>
  <c r="N18" i="4"/>
  <c r="N26" i="4"/>
  <c r="T46" i="5"/>
  <c r="AD31" i="4"/>
  <c r="L46" i="4"/>
  <c r="AN40" i="5"/>
  <c r="AO40" i="5" s="1"/>
  <c r="L44" i="5"/>
  <c r="R45" i="5"/>
  <c r="F48" i="5"/>
  <c r="M49" i="5"/>
  <c r="F54" i="5"/>
  <c r="S56" i="5"/>
  <c r="AU160" i="5"/>
  <c r="AV160" i="5" s="1"/>
  <c r="N31" i="5"/>
  <c r="Y79" i="5"/>
  <c r="Z79" i="5" s="1"/>
  <c r="G45" i="4"/>
  <c r="T13" i="5"/>
  <c r="T17" i="5"/>
  <c r="AN46" i="5"/>
  <c r="AO46" i="5" s="1"/>
  <c r="Y47" i="5"/>
  <c r="Y50" i="5"/>
  <c r="Z51" i="5" s="1"/>
  <c r="M54" i="5"/>
  <c r="AP92" i="5"/>
  <c r="X42" i="4"/>
  <c r="N15" i="4"/>
  <c r="N19" i="4"/>
  <c r="H31" i="5"/>
  <c r="AH38" i="5"/>
  <c r="F50" i="5"/>
  <c r="L51" i="5"/>
  <c r="AN55" i="5"/>
  <c r="AO55" i="5" s="1"/>
  <c r="R57" i="5"/>
  <c r="AH140" i="5"/>
  <c r="AI140" i="5" s="1"/>
  <c r="R141" i="5"/>
  <c r="AH143" i="5"/>
  <c r="AI143" i="5" s="1"/>
  <c r="AH146" i="5"/>
  <c r="AI146" i="5" s="1"/>
  <c r="AN147" i="5"/>
  <c r="AO147" i="5" s="1"/>
  <c r="AH150" i="5"/>
  <c r="K32" i="6"/>
  <c r="AP86" i="5"/>
  <c r="AD136" i="5"/>
  <c r="AD139" i="5"/>
  <c r="AN168" i="5"/>
  <c r="Y82" i="5"/>
  <c r="Z82" i="5" s="1"/>
  <c r="AN84" i="5"/>
  <c r="AO84" i="5" s="1"/>
  <c r="AP85" i="5" s="1"/>
  <c r="Y85" i="5"/>
  <c r="Z85" i="5" s="1"/>
  <c r="AN87" i="5"/>
  <c r="AO87" i="5" s="1"/>
  <c r="AP87" i="5" s="1"/>
  <c r="X88" i="5"/>
  <c r="AN90" i="5"/>
  <c r="AO90" i="5" s="1"/>
  <c r="Y91" i="5"/>
  <c r="S93" i="5"/>
  <c r="AN93" i="5"/>
  <c r="AO93" i="5" s="1"/>
  <c r="AP93" i="5" s="1"/>
  <c r="Y94" i="5"/>
  <c r="AN96" i="5"/>
  <c r="AO96" i="5" s="1"/>
  <c r="X97" i="5"/>
  <c r="AN99" i="5"/>
  <c r="AO99" i="5" s="1"/>
  <c r="AP99" i="5" s="1"/>
  <c r="Y100" i="5"/>
  <c r="Z100" i="5" s="1"/>
  <c r="AN102" i="5"/>
  <c r="AO102" i="5" s="1"/>
  <c r="AP102" i="5" s="1"/>
  <c r="Y103" i="5"/>
  <c r="Z103" i="5" s="1"/>
  <c r="S105" i="5"/>
  <c r="AN105" i="5"/>
  <c r="AO105" i="5" s="1"/>
  <c r="X106" i="5"/>
  <c r="AN108" i="5"/>
  <c r="AO108" i="5" s="1"/>
  <c r="AP108" i="5" s="1"/>
  <c r="AN111" i="5"/>
  <c r="AO111" i="5" s="1"/>
  <c r="AP111" i="5" s="1"/>
  <c r="X112" i="5"/>
  <c r="AN114" i="5"/>
  <c r="AO114" i="5" s="1"/>
  <c r="Y115" i="5"/>
  <c r="S117" i="5"/>
  <c r="AN117" i="5"/>
  <c r="AO117" i="5" s="1"/>
  <c r="AP118" i="5" s="1"/>
  <c r="Y118" i="5"/>
  <c r="AN120" i="5"/>
  <c r="AO120" i="5" s="1"/>
  <c r="F122" i="5"/>
  <c r="Y124" i="5"/>
  <c r="G125" i="5"/>
  <c r="F128" i="5"/>
  <c r="Y130" i="5"/>
  <c r="F131" i="5"/>
  <c r="F134" i="5"/>
  <c r="G137" i="5"/>
  <c r="F140" i="5"/>
  <c r="Y142" i="5"/>
  <c r="F143" i="5"/>
  <c r="G146" i="5"/>
  <c r="H146" i="5" s="1"/>
  <c r="L147" i="5"/>
  <c r="S148" i="5"/>
  <c r="X149" i="5"/>
  <c r="G150" i="5"/>
  <c r="AC153" i="5"/>
  <c r="AD153" i="5" s="1"/>
  <c r="M154" i="5"/>
  <c r="AH154" i="5"/>
  <c r="AI154" i="5" s="1"/>
  <c r="AN155" i="5"/>
  <c r="AO155" i="5" s="1"/>
  <c r="AC157" i="5"/>
  <c r="AD158" i="5" s="1"/>
  <c r="AH158" i="5"/>
  <c r="AI158" i="5" s="1"/>
  <c r="AN159" i="5"/>
  <c r="AO159" i="5" s="1"/>
  <c r="R160" i="5"/>
  <c r="R161" i="5"/>
  <c r="S162" i="5"/>
  <c r="S163" i="5"/>
  <c r="S164" i="5"/>
  <c r="T164" i="5" s="1"/>
  <c r="R165" i="5"/>
  <c r="S166" i="5"/>
  <c r="AT168" i="5"/>
  <c r="AU168" i="5" s="1"/>
  <c r="Y169" i="5"/>
  <c r="X170" i="5"/>
  <c r="X171" i="5"/>
  <c r="X172" i="5"/>
  <c r="G173" i="5"/>
  <c r="M174" i="5"/>
  <c r="R175" i="5"/>
  <c r="X176" i="5"/>
  <c r="G177" i="5"/>
  <c r="L178" i="5"/>
  <c r="R179" i="5"/>
  <c r="X180" i="5"/>
  <c r="F181" i="5"/>
  <c r="L182" i="5"/>
  <c r="S183" i="5"/>
  <c r="T184" i="5" s="1"/>
  <c r="R185" i="5"/>
  <c r="X186" i="5"/>
  <c r="G187" i="5"/>
  <c r="R189" i="5"/>
  <c r="Y190" i="5"/>
  <c r="G191" i="5"/>
  <c r="M192" i="5"/>
  <c r="N192" i="5" s="1"/>
  <c r="S193" i="5"/>
  <c r="T193" i="5" s="1"/>
  <c r="Y194" i="5"/>
  <c r="F195" i="5"/>
  <c r="M196" i="5"/>
  <c r="N196" i="5" s="1"/>
  <c r="E62" i="6"/>
  <c r="J8" i="6"/>
  <c r="K8" i="6" s="1"/>
  <c r="J10" i="6"/>
  <c r="K10" i="6" s="1"/>
  <c r="J12" i="6"/>
  <c r="K12" i="6" s="1"/>
  <c r="J14" i="6"/>
  <c r="K14" i="6" s="1"/>
  <c r="J18" i="6"/>
  <c r="K23" i="6"/>
  <c r="F30" i="6"/>
  <c r="N162" i="5"/>
  <c r="N164" i="5"/>
  <c r="AO130" i="5"/>
  <c r="AO136" i="5"/>
  <c r="AI99" i="5"/>
  <c r="X50" i="5"/>
  <c r="L46" i="5"/>
  <c r="G155" i="5"/>
  <c r="G126" i="5"/>
  <c r="AO142" i="5"/>
  <c r="AI111" i="5"/>
  <c r="L156" i="5"/>
  <c r="L130" i="5"/>
  <c r="M167" i="5"/>
  <c r="Y86" i="5"/>
  <c r="Z87" i="5" s="1"/>
  <c r="Y113" i="5"/>
  <c r="Z114" i="5" s="1"/>
  <c r="Z99" i="5"/>
  <c r="AD27" i="4"/>
  <c r="R55" i="4"/>
  <c r="E126" i="6"/>
  <c r="F117" i="5"/>
  <c r="Y68" i="5"/>
  <c r="Z69" i="5" s="1"/>
  <c r="Y59" i="5"/>
  <c r="Z60" i="5" s="1"/>
  <c r="G135" i="5"/>
  <c r="H136" i="5" s="1"/>
  <c r="Y110" i="5"/>
  <c r="Z111" i="5" s="1"/>
  <c r="X184" i="5"/>
  <c r="Y95" i="5"/>
  <c r="G138" i="5"/>
  <c r="H139" i="5" s="1"/>
  <c r="G63" i="5"/>
  <c r="G69" i="5"/>
  <c r="G81" i="5"/>
  <c r="G87" i="5"/>
  <c r="G93" i="5"/>
  <c r="G105" i="5"/>
  <c r="G111" i="5"/>
  <c r="G114" i="5"/>
  <c r="M121" i="5"/>
  <c r="M127" i="5"/>
  <c r="M133" i="5"/>
  <c r="N133" i="5" s="1"/>
  <c r="Y135" i="5"/>
  <c r="Z135" i="5" s="1"/>
  <c r="M136" i="5"/>
  <c r="AO137" i="5"/>
  <c r="M139" i="5"/>
  <c r="M142" i="5"/>
  <c r="AO143" i="5"/>
  <c r="M145" i="5"/>
  <c r="AI149" i="5"/>
  <c r="AJ149" i="5" s="1"/>
  <c r="AO150" i="5"/>
  <c r="M152" i="5"/>
  <c r="S153" i="5"/>
  <c r="Y154" i="5"/>
  <c r="Z154" i="5" s="1"/>
  <c r="Y158" i="5"/>
  <c r="Z159" i="5" s="1"/>
  <c r="G159" i="5"/>
  <c r="M168" i="5"/>
  <c r="K114" i="6"/>
  <c r="X89" i="5"/>
  <c r="T14" i="5"/>
  <c r="F141" i="5"/>
  <c r="X77" i="5"/>
  <c r="X92" i="5"/>
  <c r="X74" i="5"/>
  <c r="F20" i="6"/>
  <c r="X104" i="5"/>
  <c r="X65" i="5"/>
  <c r="Z109" i="5"/>
  <c r="AI63" i="5"/>
  <c r="AD11" i="4"/>
  <c r="T19" i="4"/>
  <c r="R32" i="4"/>
  <c r="X55" i="4"/>
  <c r="Z17" i="5"/>
  <c r="AN41" i="5"/>
  <c r="X47" i="5"/>
  <c r="AN49" i="5"/>
  <c r="AN52" i="5"/>
  <c r="AO52" i="5" s="1"/>
  <c r="X53" i="5"/>
  <c r="L54" i="5"/>
  <c r="F75" i="5"/>
  <c r="K117" i="6"/>
  <c r="Y71" i="5"/>
  <c r="Z72" i="5" s="1"/>
  <c r="G129" i="5"/>
  <c r="G132" i="5"/>
  <c r="Y83" i="5"/>
  <c r="Z84" i="5" s="1"/>
  <c r="H9" i="4"/>
  <c r="H16" i="4"/>
  <c r="Z19" i="4"/>
  <c r="Y101" i="5"/>
  <c r="Y107" i="5"/>
  <c r="Z107" i="5" s="1"/>
  <c r="AN109" i="5"/>
  <c r="AO109" i="5" s="1"/>
  <c r="AP110" i="5" s="1"/>
  <c r="X119" i="5"/>
  <c r="G123" i="5"/>
  <c r="E21" i="6"/>
  <c r="F21" i="6" s="1"/>
  <c r="E40" i="6"/>
  <c r="AO127" i="5"/>
  <c r="AP128" i="5" s="1"/>
  <c r="AD133" i="5"/>
  <c r="S157" i="5"/>
  <c r="AD167" i="5"/>
  <c r="Z14" i="5"/>
  <c r="AI43" i="5"/>
  <c r="AJ43" i="5" s="1"/>
  <c r="AD59" i="5"/>
  <c r="AI60" i="5"/>
  <c r="S61" i="5"/>
  <c r="AI66" i="5"/>
  <c r="S70" i="5"/>
  <c r="AI72" i="5"/>
  <c r="S73" i="5"/>
  <c r="AI78" i="5"/>
  <c r="AI81" i="5"/>
  <c r="S82" i="5"/>
  <c r="T82" i="5" s="1"/>
  <c r="AI84" i="5"/>
  <c r="AI90" i="5"/>
  <c r="AI96" i="5"/>
  <c r="AI102" i="5"/>
  <c r="AI108" i="5"/>
  <c r="AI114" i="5"/>
  <c r="AI120" i="5"/>
  <c r="AO121" i="5"/>
  <c r="Y125" i="5"/>
  <c r="Z126" i="5" s="1"/>
  <c r="AO133" i="5"/>
  <c r="AO139" i="5"/>
  <c r="AO145" i="5"/>
  <c r="M148" i="5"/>
  <c r="AO152" i="5"/>
  <c r="AP152" i="5" s="1"/>
  <c r="AO168" i="5"/>
  <c r="N9" i="4"/>
  <c r="M30" i="4"/>
  <c r="Y46" i="4"/>
  <c r="Z47" i="4" s="1"/>
  <c r="R53" i="4"/>
  <c r="Z22" i="5"/>
  <c r="N30" i="5"/>
  <c r="N36" i="5"/>
  <c r="E106" i="6"/>
  <c r="E125" i="6"/>
  <c r="Y80" i="5"/>
  <c r="Z81" i="5" s="1"/>
  <c r="S54" i="4"/>
  <c r="Z64" i="5"/>
  <c r="AP78" i="5"/>
  <c r="AP81" i="5"/>
  <c r="AD135" i="5"/>
  <c r="AD143" i="5"/>
  <c r="N154" i="5"/>
  <c r="T168" i="5"/>
  <c r="N174" i="5"/>
  <c r="AD177" i="5"/>
  <c r="Z195" i="5"/>
  <c r="AD195" i="5"/>
  <c r="Y62" i="5"/>
  <c r="G99" i="5"/>
  <c r="Y116" i="5"/>
  <c r="Z117" i="5" s="1"/>
  <c r="AD194" i="5"/>
  <c r="AD10" i="4"/>
  <c r="AD13" i="4"/>
  <c r="T16" i="4"/>
  <c r="AD18" i="4"/>
  <c r="T21" i="4"/>
  <c r="T24" i="4"/>
  <c r="AD25" i="4"/>
  <c r="AD28" i="4"/>
  <c r="Y41" i="4"/>
  <c r="R48" i="4"/>
  <c r="Y53" i="4"/>
  <c r="H32" i="5"/>
  <c r="L43" i="5"/>
  <c r="AH45" i="5"/>
  <c r="AI45" i="5" s="1"/>
  <c r="AJ46" i="5" s="1"/>
  <c r="L53" i="5"/>
  <c r="F56" i="5"/>
  <c r="AD57" i="5"/>
  <c r="M80" i="5"/>
  <c r="M86" i="5"/>
  <c r="M92" i="5"/>
  <c r="AH95" i="5"/>
  <c r="AI95" i="5" s="1"/>
  <c r="R99" i="5"/>
  <c r="M104" i="5"/>
  <c r="R105" i="5"/>
  <c r="AH107" i="5"/>
  <c r="AI107" i="5" s="1"/>
  <c r="R117" i="5"/>
  <c r="AN126" i="5"/>
  <c r="AO126" i="5" s="1"/>
  <c r="X130" i="5"/>
  <c r="AN132" i="5"/>
  <c r="AO132" i="5" s="1"/>
  <c r="AP133" i="5" s="1"/>
  <c r="AN138" i="5"/>
  <c r="AO138" i="5" s="1"/>
  <c r="AN144" i="5"/>
  <c r="AO144" i="5" s="1"/>
  <c r="AI150" i="5"/>
  <c r="AN151" i="5"/>
  <c r="AO151" i="5" s="1"/>
  <c r="X152" i="5"/>
  <c r="R155" i="5"/>
  <c r="X156" i="5"/>
  <c r="AI195" i="5"/>
  <c r="AJ195" i="5" s="1"/>
  <c r="K17" i="6"/>
  <c r="N12" i="5"/>
  <c r="Z12" i="5"/>
  <c r="N15" i="5"/>
  <c r="Z16" i="5"/>
  <c r="G67" i="5"/>
  <c r="G73" i="5"/>
  <c r="G79" i="5"/>
  <c r="G85" i="5"/>
  <c r="G91" i="5"/>
  <c r="G97" i="5"/>
  <c r="G103" i="5"/>
  <c r="G109" i="5"/>
  <c r="G115" i="5"/>
  <c r="G118" i="5"/>
  <c r="H118" i="5" s="1"/>
  <c r="M125" i="5"/>
  <c r="M128" i="5"/>
  <c r="M131" i="5"/>
  <c r="N131" i="5" s="1"/>
  <c r="M137" i="5"/>
  <c r="M143" i="5"/>
  <c r="N143" i="5" s="1"/>
  <c r="M146" i="5"/>
  <c r="G149" i="5"/>
  <c r="H150" i="5" s="1"/>
  <c r="M150" i="5"/>
  <c r="Y160" i="5"/>
  <c r="Z160" i="5" s="1"/>
  <c r="Y161" i="5"/>
  <c r="Y162" i="5"/>
  <c r="Y163" i="5"/>
  <c r="Z163" i="5" s="1"/>
  <c r="Y164" i="5"/>
  <c r="Z164" i="5" s="1"/>
  <c r="Y165" i="5"/>
  <c r="Y166" i="5"/>
  <c r="G171" i="5"/>
  <c r="H171" i="5" s="1"/>
  <c r="G176" i="5"/>
  <c r="M177" i="5"/>
  <c r="S178" i="5"/>
  <c r="Y179" i="5"/>
  <c r="Y185" i="5"/>
  <c r="Z185" i="5" s="1"/>
  <c r="E67" i="6"/>
  <c r="H10" i="4"/>
  <c r="H19" i="4"/>
  <c r="H27" i="4"/>
  <c r="M55" i="4"/>
  <c r="Y58" i="4"/>
  <c r="R43" i="5"/>
  <c r="F44" i="5"/>
  <c r="AN50" i="5"/>
  <c r="AN53" i="5"/>
  <c r="AO53" i="5" s="1"/>
  <c r="AH54" i="5"/>
  <c r="AI54" i="5" s="1"/>
  <c r="E59" i="6"/>
  <c r="AD131" i="5"/>
  <c r="AD132" i="5"/>
  <c r="AD137" i="5"/>
  <c r="AD146" i="5"/>
  <c r="AD147" i="5"/>
  <c r="X94" i="5"/>
  <c r="R167" i="5"/>
  <c r="F119" i="5"/>
  <c r="S189" i="5"/>
  <c r="S160" i="5"/>
  <c r="Z15" i="5"/>
  <c r="AU164" i="5"/>
  <c r="AD124" i="5"/>
  <c r="G128" i="5"/>
  <c r="Z63" i="5"/>
  <c r="M182" i="5"/>
  <c r="G122" i="5"/>
  <c r="H122" i="5" s="1"/>
  <c r="Z65" i="5"/>
  <c r="AD58" i="5"/>
  <c r="Z35" i="4"/>
  <c r="M51" i="4"/>
  <c r="AN32" i="5"/>
  <c r="AO32" i="5" s="1"/>
  <c r="AP32" i="5" s="1"/>
  <c r="L47" i="5"/>
  <c r="AC49" i="5"/>
  <c r="AD49" i="5" s="1"/>
  <c r="G52" i="5"/>
  <c r="M53" i="5"/>
  <c r="N54" i="5" s="1"/>
  <c r="AH62" i="5"/>
  <c r="AI62" i="5" s="1"/>
  <c r="AH68" i="5"/>
  <c r="AI68" i="5" s="1"/>
  <c r="S69" i="5"/>
  <c r="AH74" i="5"/>
  <c r="AI74" i="5" s="1"/>
  <c r="R78" i="5"/>
  <c r="AD79" i="5"/>
  <c r="AH80" i="5"/>
  <c r="AI80" i="5" s="1"/>
  <c r="M83" i="5"/>
  <c r="AH83" i="5"/>
  <c r="AI83" i="5" s="1"/>
  <c r="AH86" i="5"/>
  <c r="AI86" i="5" s="1"/>
  <c r="AH89" i="5"/>
  <c r="AI89" i="5" s="1"/>
  <c r="R90" i="5"/>
  <c r="AD91" i="5"/>
  <c r="AH92" i="5"/>
  <c r="AI92" i="5" s="1"/>
  <c r="S96" i="5"/>
  <c r="AH98" i="5"/>
  <c r="AI98" i="5" s="1"/>
  <c r="S99" i="5"/>
  <c r="AH104" i="5"/>
  <c r="AI104" i="5" s="1"/>
  <c r="M107" i="5"/>
  <c r="S108" i="5"/>
  <c r="AH110" i="5"/>
  <c r="AI110" i="5" s="1"/>
  <c r="M113" i="5"/>
  <c r="N114" i="5" s="1"/>
  <c r="R114" i="5"/>
  <c r="AH116" i="5"/>
  <c r="AI116" i="5" s="1"/>
  <c r="AI122" i="5"/>
  <c r="AN123" i="5"/>
  <c r="AO123" i="5" s="1"/>
  <c r="AP124" i="5" s="1"/>
  <c r="AI128" i="5"/>
  <c r="AN129" i="5"/>
  <c r="AO129" i="5" s="1"/>
  <c r="AP130" i="5" s="1"/>
  <c r="AI134" i="5"/>
  <c r="AN135" i="5"/>
  <c r="AO135" i="5" s="1"/>
  <c r="AN141" i="5"/>
  <c r="AO141" i="5" s="1"/>
  <c r="AP142" i="5" s="1"/>
  <c r="Y152" i="5"/>
  <c r="Z153" i="5" s="1"/>
  <c r="Y167" i="5"/>
  <c r="X169" i="5"/>
  <c r="F59" i="5"/>
  <c r="X194" i="5"/>
  <c r="Y186" i="5"/>
  <c r="Z187" i="5" s="1"/>
  <c r="L132" i="5"/>
  <c r="Y67" i="5"/>
  <c r="Z68" i="5" s="1"/>
  <c r="F137" i="5"/>
  <c r="F125" i="5"/>
  <c r="R183" i="5"/>
  <c r="S179" i="5"/>
  <c r="T180" i="5" s="1"/>
  <c r="R163" i="5"/>
  <c r="G50" i="4"/>
  <c r="R51" i="4"/>
  <c r="Y52" i="4"/>
  <c r="T12" i="5"/>
  <c r="H13" i="5"/>
  <c r="H17" i="5"/>
  <c r="H33" i="5"/>
  <c r="H39" i="5"/>
  <c r="Z42" i="5"/>
  <c r="L45" i="5"/>
  <c r="F49" i="5"/>
  <c r="AO50" i="5"/>
  <c r="F34" i="6"/>
  <c r="AD128" i="5"/>
  <c r="L174" i="5"/>
  <c r="K19" i="6"/>
  <c r="L20" i="6" s="1"/>
  <c r="R164" i="5"/>
  <c r="X85" i="5"/>
  <c r="AP79" i="5"/>
  <c r="Y76" i="5"/>
  <c r="Z76" i="5" s="1"/>
  <c r="Y88" i="5"/>
  <c r="K13" i="6"/>
  <c r="AI137" i="5"/>
  <c r="AJ137" i="5" s="1"/>
  <c r="AU166" i="5"/>
  <c r="Y172" i="5"/>
  <c r="Y149" i="5"/>
  <c r="Z149" i="5" s="1"/>
  <c r="AI191" i="5"/>
  <c r="AJ191" i="5" s="1"/>
  <c r="Y112" i="5"/>
  <c r="Z112" i="5" s="1"/>
  <c r="AD58" i="4"/>
  <c r="H23" i="5"/>
  <c r="K22" i="6"/>
  <c r="X82" i="5"/>
  <c r="AN69" i="5"/>
  <c r="AO69" i="5" s="1"/>
  <c r="AP69" i="5" s="1"/>
  <c r="H145" i="5"/>
  <c r="L192" i="5"/>
  <c r="Y180" i="5"/>
  <c r="Z181" i="5" s="1"/>
  <c r="R162" i="5"/>
  <c r="X118" i="5"/>
  <c r="R166" i="5"/>
  <c r="Y97" i="5"/>
  <c r="Z97" i="5" s="1"/>
  <c r="M178" i="5"/>
  <c r="N179" i="5" s="1"/>
  <c r="G140" i="5"/>
  <c r="H20" i="5"/>
  <c r="AU162" i="5"/>
  <c r="S48" i="4"/>
  <c r="T48" i="4" s="1"/>
  <c r="Z15" i="4"/>
  <c r="T27" i="5"/>
  <c r="F57" i="5"/>
  <c r="AN59" i="5"/>
  <c r="AO59" i="5" s="1"/>
  <c r="X63" i="5"/>
  <c r="AN65" i="5"/>
  <c r="AO65" i="5" s="1"/>
  <c r="AP66" i="5" s="1"/>
  <c r="E10" i="6"/>
  <c r="F11" i="6" s="1"/>
  <c r="X115" i="5"/>
  <c r="G195" i="5"/>
  <c r="G143" i="5"/>
  <c r="H143" i="5" s="1"/>
  <c r="M126" i="5"/>
  <c r="T25" i="5"/>
  <c r="H192" i="5"/>
  <c r="F150" i="5"/>
  <c r="AI177" i="5"/>
  <c r="AJ178" i="5" s="1"/>
  <c r="S165" i="5"/>
  <c r="T166" i="5" s="1"/>
  <c r="G181" i="5"/>
  <c r="H181" i="5" s="1"/>
  <c r="S161" i="5"/>
  <c r="T162" i="5" s="1"/>
  <c r="AD126" i="5"/>
  <c r="G131" i="5"/>
  <c r="H132" i="5" s="1"/>
  <c r="S50" i="4"/>
  <c r="R50" i="4"/>
  <c r="X91" i="5"/>
  <c r="F191" i="5"/>
  <c r="AO178" i="5"/>
  <c r="G134" i="5"/>
  <c r="H134" i="5" s="1"/>
  <c r="AO196" i="5"/>
  <c r="AP196" i="5" s="1"/>
  <c r="X64" i="5"/>
  <c r="AD129" i="5"/>
  <c r="G46" i="5"/>
  <c r="AO49" i="5"/>
  <c r="K48" i="6"/>
  <c r="M170" i="3"/>
  <c r="R58" i="5"/>
  <c r="K9" i="6"/>
  <c r="M147" i="5"/>
  <c r="N147" i="5" s="1"/>
  <c r="X100" i="5"/>
  <c r="Y176" i="5"/>
  <c r="Z176" i="5" s="1"/>
  <c r="T36" i="5"/>
  <c r="H24" i="4"/>
  <c r="J16" i="6"/>
  <c r="K16" i="6" s="1"/>
  <c r="X73" i="5"/>
  <c r="AI131" i="5"/>
  <c r="AJ131" i="5" s="1"/>
  <c r="Y61" i="5"/>
  <c r="Z61" i="5" s="1"/>
  <c r="Y171" i="5"/>
  <c r="AD22" i="4"/>
  <c r="S31" i="4"/>
  <c r="R49" i="4"/>
  <c r="AN67" i="5"/>
  <c r="AO67" i="5" s="1"/>
  <c r="AP67" i="5" s="1"/>
  <c r="E103" i="6"/>
  <c r="L144" i="5"/>
  <c r="T20" i="4"/>
  <c r="AD196" i="5"/>
  <c r="F177" i="5"/>
  <c r="AD9" i="4"/>
  <c r="AD33" i="4"/>
  <c r="G65" i="5"/>
  <c r="G71" i="5"/>
  <c r="AD78" i="5"/>
  <c r="G83" i="5"/>
  <c r="G89" i="5"/>
  <c r="G95" i="5"/>
  <c r="G101" i="5"/>
  <c r="AD101" i="5"/>
  <c r="G107" i="5"/>
  <c r="AD107" i="5"/>
  <c r="G113" i="5"/>
  <c r="H114" i="5" s="1"/>
  <c r="G116" i="5"/>
  <c r="H116" i="5" s="1"/>
  <c r="M123" i="5"/>
  <c r="N123" i="5" s="1"/>
  <c r="M129" i="5"/>
  <c r="M135" i="5"/>
  <c r="N135" i="5" s="1"/>
  <c r="M138" i="5"/>
  <c r="N139" i="5" s="1"/>
  <c r="M141" i="5"/>
  <c r="N141" i="5" s="1"/>
  <c r="AH141" i="5"/>
  <c r="AI141" i="5" s="1"/>
  <c r="AJ142" i="5" s="1"/>
  <c r="R142" i="5"/>
  <c r="AH144" i="5"/>
  <c r="AI144" i="5" s="1"/>
  <c r="AJ145" i="5" s="1"/>
  <c r="AH151" i="5"/>
  <c r="AI151" i="5" s="1"/>
  <c r="R152" i="5"/>
  <c r="X153" i="5"/>
  <c r="X157" i="5"/>
  <c r="L159" i="5"/>
  <c r="AN167" i="5"/>
  <c r="AO167" i="5" s="1"/>
  <c r="AP168" i="5" s="1"/>
  <c r="E17" i="6"/>
  <c r="F18" i="6" s="1"/>
  <c r="F31" i="6"/>
  <c r="E104" i="6"/>
  <c r="Y170" i="5"/>
  <c r="Z170" i="5" s="1"/>
  <c r="X103" i="5"/>
  <c r="Z110" i="5"/>
  <c r="AJ166" i="5"/>
  <c r="G77" i="5"/>
  <c r="S41" i="4"/>
  <c r="X49" i="4"/>
  <c r="H11" i="5"/>
  <c r="AI33" i="5"/>
  <c r="Z35" i="5"/>
  <c r="Z41" i="5"/>
  <c r="F43" i="5"/>
  <c r="Y44" i="5"/>
  <c r="F45" i="5"/>
  <c r="AC45" i="5"/>
  <c r="AD45" i="5" s="1"/>
  <c r="S48" i="5"/>
  <c r="AN48" i="5"/>
  <c r="AO48" i="5" s="1"/>
  <c r="Y49" i="5"/>
  <c r="AN51" i="5"/>
  <c r="AO51" i="5" s="1"/>
  <c r="X52" i="5"/>
  <c r="M55" i="5"/>
  <c r="N55" i="5" s="1"/>
  <c r="AH56" i="5"/>
  <c r="AI56" i="5" s="1"/>
  <c r="J185" i="3"/>
  <c r="J143" i="3"/>
  <c r="K18" i="6"/>
  <c r="E74" i="6"/>
  <c r="K106" i="6"/>
  <c r="F29" i="6"/>
  <c r="K95" i="6"/>
  <c r="K105" i="6"/>
  <c r="K26" i="6"/>
  <c r="L26" i="6" s="1"/>
  <c r="K87" i="6"/>
  <c r="E120" i="6"/>
  <c r="F121" i="6" s="1"/>
  <c r="F33" i="6"/>
  <c r="K37" i="6"/>
  <c r="K73" i="6"/>
  <c r="E101" i="6"/>
  <c r="M128" i="3"/>
  <c r="F49" i="3"/>
  <c r="F52" i="3"/>
  <c r="F56" i="3"/>
  <c r="F57" i="3"/>
  <c r="F60" i="3"/>
  <c r="F65" i="3"/>
  <c r="F67" i="3"/>
  <c r="F69" i="3"/>
  <c r="F71" i="3"/>
  <c r="F73" i="3"/>
  <c r="M100" i="3"/>
  <c r="M108" i="3"/>
  <c r="M116" i="3"/>
  <c r="F77" i="3"/>
  <c r="F95" i="3"/>
  <c r="J14" i="3"/>
  <c r="J26" i="3"/>
  <c r="J30" i="3"/>
  <c r="J37" i="3"/>
  <c r="J70" i="3"/>
  <c r="F89" i="3"/>
  <c r="F50" i="3"/>
  <c r="F26" i="3"/>
  <c r="F40" i="3"/>
  <c r="F46" i="3"/>
  <c r="F48" i="3"/>
  <c r="F53" i="3"/>
  <c r="F62" i="3"/>
  <c r="F68" i="3"/>
  <c r="F70" i="3"/>
  <c r="M113" i="3"/>
  <c r="M228" i="3"/>
  <c r="M110" i="3"/>
  <c r="M125" i="3"/>
  <c r="J182" i="3"/>
  <c r="F104" i="3"/>
  <c r="F115" i="3"/>
  <c r="F121" i="3"/>
  <c r="M226" i="3"/>
  <c r="F143" i="3"/>
  <c r="M183" i="3"/>
  <c r="M130" i="3"/>
  <c r="M193" i="3"/>
  <c r="J195" i="3"/>
  <c r="J126" i="3"/>
  <c r="J114" i="3"/>
  <c r="M185" i="3"/>
  <c r="AP95" i="5"/>
  <c r="Z52" i="5"/>
  <c r="Y183" i="5"/>
  <c r="Z184" i="5" s="1"/>
  <c r="X192" i="5"/>
  <c r="E68" i="6"/>
  <c r="E72" i="6"/>
  <c r="AD123" i="5"/>
  <c r="AP80" i="5"/>
  <c r="Z193" i="5"/>
  <c r="Z39" i="5"/>
  <c r="M44" i="5"/>
  <c r="S79" i="5"/>
  <c r="M47" i="5"/>
  <c r="N47" i="5" s="1"/>
  <c r="M51" i="5"/>
  <c r="R56" i="5"/>
  <c r="Z18" i="4"/>
  <c r="AD141" i="5"/>
  <c r="F123" i="5"/>
  <c r="F10" i="3"/>
  <c r="Z14" i="4"/>
  <c r="S39" i="4"/>
  <c r="M42" i="4"/>
  <c r="K122" i="6"/>
  <c r="K126" i="6"/>
  <c r="M29" i="4"/>
  <c r="N29" i="4" s="1"/>
  <c r="H11" i="4"/>
  <c r="AJ175" i="5"/>
  <c r="N161" i="5"/>
  <c r="G45" i="5"/>
  <c r="H45" i="5" s="1"/>
  <c r="T11" i="5"/>
  <c r="Z92" i="5"/>
  <c r="H191" i="5"/>
  <c r="S32" i="4"/>
  <c r="T32" i="4" s="1"/>
  <c r="AD140" i="5"/>
  <c r="F128" i="3"/>
  <c r="M44" i="4"/>
  <c r="F45" i="4"/>
  <c r="S49" i="4"/>
  <c r="T50" i="4" s="1"/>
  <c r="X56" i="4"/>
  <c r="H34" i="5"/>
  <c r="H42" i="5"/>
  <c r="M43" i="5"/>
  <c r="K78" i="6"/>
  <c r="E108" i="6"/>
  <c r="H130" i="5"/>
  <c r="J94" i="3"/>
  <c r="N12" i="4"/>
  <c r="M33" i="4"/>
  <c r="S42" i="4"/>
  <c r="G46" i="4"/>
  <c r="Y48" i="4"/>
  <c r="Z49" i="4" s="1"/>
  <c r="G193" i="5"/>
  <c r="H194" i="5" s="1"/>
  <c r="J15" i="6"/>
  <c r="K15" i="6" s="1"/>
  <c r="J142" i="3"/>
  <c r="J198" i="3"/>
  <c r="Z71" i="5"/>
  <c r="AP96" i="5"/>
  <c r="AI173" i="5"/>
  <c r="AJ173" i="5" s="1"/>
  <c r="G174" i="5"/>
  <c r="H175" i="5" s="1"/>
  <c r="AC175" i="5"/>
  <c r="AD175" i="5" s="1"/>
  <c r="S176" i="5"/>
  <c r="AH176" i="5"/>
  <c r="AI176" i="5" s="1"/>
  <c r="AJ176" i="5" s="1"/>
  <c r="AN177" i="5"/>
  <c r="AO177" i="5" s="1"/>
  <c r="AP177" i="5" s="1"/>
  <c r="AI181" i="5"/>
  <c r="F182" i="5"/>
  <c r="AO182" i="5"/>
  <c r="M183" i="5"/>
  <c r="N184" i="5" s="1"/>
  <c r="AC183" i="5"/>
  <c r="AD183" i="5" s="1"/>
  <c r="G185" i="5"/>
  <c r="E85" i="6"/>
  <c r="E102" i="6"/>
  <c r="K111" i="6"/>
  <c r="R42" i="4"/>
  <c r="N167" i="5"/>
  <c r="Z77" i="5"/>
  <c r="AD182" i="5"/>
  <c r="AD174" i="5"/>
  <c r="S59" i="5"/>
  <c r="Y53" i="5"/>
  <c r="Z53" i="5" s="1"/>
  <c r="AI50" i="5"/>
  <c r="H187" i="5"/>
  <c r="AP195" i="5"/>
  <c r="AJ161" i="5"/>
  <c r="AI37" i="5"/>
  <c r="AJ196" i="5"/>
  <c r="Z32" i="4"/>
  <c r="X38" i="4"/>
  <c r="F102" i="3"/>
  <c r="Z10" i="4"/>
  <c r="T11" i="4"/>
  <c r="L35" i="4"/>
  <c r="AD48" i="4"/>
  <c r="Y55" i="4"/>
  <c r="K74" i="6"/>
  <c r="K97" i="6"/>
  <c r="N185" i="5"/>
  <c r="AD50" i="4"/>
  <c r="AN34" i="5"/>
  <c r="AO34" i="5" s="1"/>
  <c r="E56" i="6"/>
  <c r="E63" i="6"/>
  <c r="K72" i="6"/>
  <c r="E73" i="6"/>
  <c r="F74" i="6" s="1"/>
  <c r="M186" i="3"/>
  <c r="K94" i="6"/>
  <c r="M208" i="3"/>
  <c r="T167" i="5"/>
  <c r="H178" i="5"/>
  <c r="Z196" i="5"/>
  <c r="T158" i="5"/>
  <c r="Z66" i="5"/>
  <c r="T194" i="5"/>
  <c r="T155" i="5"/>
  <c r="H40" i="5"/>
  <c r="J8" i="3"/>
  <c r="M80" i="3"/>
  <c r="S35" i="4"/>
  <c r="M38" i="4"/>
  <c r="K30" i="6"/>
  <c r="K63" i="6"/>
  <c r="E66" i="6"/>
  <c r="E107" i="6"/>
  <c r="M227" i="3"/>
  <c r="F78" i="3"/>
  <c r="F82" i="3"/>
  <c r="M211" i="3"/>
  <c r="M221" i="3"/>
  <c r="J39" i="3"/>
  <c r="J41" i="3"/>
  <c r="J43" i="3"/>
  <c r="J45" i="3"/>
  <c r="M81" i="3"/>
  <c r="M97" i="3"/>
  <c r="J127" i="3"/>
  <c r="F138" i="3"/>
  <c r="M141" i="3"/>
  <c r="F106" i="3"/>
  <c r="M25" i="3"/>
  <c r="J105" i="3"/>
  <c r="J108" i="3"/>
  <c r="F85" i="3"/>
  <c r="M105" i="3"/>
  <c r="M142" i="3"/>
  <c r="F141" i="3"/>
  <c r="J157" i="3"/>
  <c r="F163" i="3"/>
  <c r="J175" i="3"/>
  <c r="M212" i="3"/>
  <c r="J228" i="3"/>
  <c r="M230" i="3"/>
  <c r="M134" i="3"/>
  <c r="M157" i="3"/>
  <c r="J164" i="3"/>
  <c r="F221" i="3"/>
  <c r="J89" i="3"/>
  <c r="M201" i="3"/>
  <c r="J23" i="3"/>
  <c r="F109" i="3"/>
  <c r="J111" i="3"/>
  <c r="F112" i="3"/>
  <c r="F113" i="3"/>
  <c r="J106" i="3"/>
  <c r="F132" i="3"/>
  <c r="F100" i="3"/>
  <c r="M129" i="3"/>
  <c r="M132" i="3"/>
  <c r="J155" i="3"/>
  <c r="J221" i="3"/>
  <c r="F228" i="3"/>
  <c r="F55" i="3"/>
  <c r="F61" i="3"/>
  <c r="J88" i="3"/>
  <c r="J36" i="3"/>
  <c r="J38" i="3"/>
  <c r="J40" i="3"/>
  <c r="J42" i="3"/>
  <c r="J44" i="3"/>
  <c r="J52" i="3"/>
  <c r="J64" i="3"/>
  <c r="F129" i="3"/>
  <c r="M9" i="3"/>
  <c r="M18" i="3"/>
  <c r="M20" i="3"/>
  <c r="M22" i="3"/>
  <c r="M24" i="3"/>
  <c r="M26" i="3"/>
  <c r="M29" i="3"/>
  <c r="M30" i="3"/>
  <c r="M32" i="3"/>
  <c r="M34" i="3"/>
  <c r="M45" i="3"/>
  <c r="M52" i="3"/>
  <c r="M78" i="3"/>
  <c r="M82" i="3"/>
  <c r="M109" i="3"/>
  <c r="M143" i="3"/>
  <c r="F154" i="3"/>
  <c r="F176" i="3"/>
  <c r="M220" i="3"/>
  <c r="F237" i="3"/>
  <c r="J24" i="3"/>
  <c r="J7" i="3"/>
  <c r="F11" i="3"/>
  <c r="J141" i="3"/>
  <c r="F199" i="3"/>
  <c r="J11" i="3"/>
  <c r="F83" i="3"/>
  <c r="J93" i="3"/>
  <c r="F167" i="3"/>
  <c r="J194" i="3"/>
  <c r="F192" i="3"/>
  <c r="J199" i="3"/>
  <c r="F206" i="3"/>
  <c r="F216" i="3"/>
  <c r="F90" i="3"/>
  <c r="F91" i="3"/>
  <c r="J129" i="3"/>
  <c r="J128" i="3"/>
  <c r="AP119" i="5"/>
  <c r="AD127" i="5"/>
  <c r="M133" i="3"/>
  <c r="M21" i="3"/>
  <c r="T12" i="4"/>
  <c r="AJ148" i="5"/>
  <c r="Z78" i="5"/>
  <c r="J90" i="3"/>
  <c r="N10" i="4"/>
  <c r="AD21" i="4"/>
  <c r="G39" i="4"/>
  <c r="G41" i="4"/>
  <c r="F48" i="4"/>
  <c r="M31" i="3"/>
  <c r="M28" i="3"/>
  <c r="F32" i="6"/>
  <c r="AD134" i="5"/>
  <c r="M23" i="3"/>
  <c r="H169" i="5"/>
  <c r="H137" i="5"/>
  <c r="H124" i="5"/>
  <c r="F9" i="3"/>
  <c r="M12" i="3"/>
  <c r="AD142" i="5"/>
  <c r="J46" i="3"/>
  <c r="F84" i="3"/>
  <c r="M135" i="3"/>
  <c r="T26" i="4"/>
  <c r="F33" i="4"/>
  <c r="S53" i="4"/>
  <c r="J79" i="3"/>
  <c r="F101" i="3"/>
  <c r="J104" i="3"/>
  <c r="J107" i="3"/>
  <c r="J110" i="3"/>
  <c r="J130" i="3"/>
  <c r="J132" i="3"/>
  <c r="N47" i="4"/>
  <c r="Z70" i="5"/>
  <c r="M33" i="3"/>
  <c r="AD24" i="4"/>
  <c r="Z25" i="4"/>
  <c r="M49" i="4"/>
  <c r="N165" i="5"/>
  <c r="Z89" i="5"/>
  <c r="AD130" i="5"/>
  <c r="F14" i="3"/>
  <c r="F17" i="3"/>
  <c r="F47" i="3"/>
  <c r="Z11" i="4"/>
  <c r="N23" i="4"/>
  <c r="J47" i="3"/>
  <c r="J76" i="3"/>
  <c r="F80" i="3"/>
  <c r="F81" i="3"/>
  <c r="F94" i="3"/>
  <c r="J95" i="3"/>
  <c r="J102" i="3"/>
  <c r="F110" i="3"/>
  <c r="J119" i="3"/>
  <c r="F124" i="3"/>
  <c r="F133" i="3"/>
  <c r="AP91" i="5"/>
  <c r="M19" i="3"/>
  <c r="M27" i="3"/>
  <c r="M35" i="3"/>
  <c r="M53" i="3"/>
  <c r="M56" i="3"/>
  <c r="M61" i="3"/>
  <c r="J98" i="3"/>
  <c r="M136" i="3"/>
  <c r="T14" i="4"/>
  <c r="H18" i="4"/>
  <c r="Z21" i="4"/>
  <c r="T22" i="4"/>
  <c r="M36" i="4"/>
  <c r="G37" i="4"/>
  <c r="S51" i="4"/>
  <c r="T51" i="4" s="1"/>
  <c r="AI57" i="5"/>
  <c r="AJ58" i="5" s="1"/>
  <c r="M59" i="5"/>
  <c r="N60" i="5" s="1"/>
  <c r="G60" i="5"/>
  <c r="H61" i="5" s="1"/>
  <c r="G62" i="5"/>
  <c r="G64" i="5"/>
  <c r="G66" i="5"/>
  <c r="H66" i="5" s="1"/>
  <c r="G68" i="5"/>
  <c r="H68" i="5" s="1"/>
  <c r="G70" i="5"/>
  <c r="H70" i="5" s="1"/>
  <c r="H18" i="5"/>
  <c r="Z40" i="5"/>
  <c r="E54" i="6"/>
  <c r="F179" i="3"/>
  <c r="E113" i="6"/>
  <c r="E121" i="6"/>
  <c r="T70" i="5"/>
  <c r="G72" i="5"/>
  <c r="H73" i="5" s="1"/>
  <c r="G74" i="5"/>
  <c r="H74" i="5" s="1"/>
  <c r="G76" i="5"/>
  <c r="H77" i="5" s="1"/>
  <c r="G78" i="5"/>
  <c r="H79" i="5" s="1"/>
  <c r="G80" i="5"/>
  <c r="H81" i="5" s="1"/>
  <c r="G82" i="5"/>
  <c r="H82" i="5" s="1"/>
  <c r="G84" i="5"/>
  <c r="H85" i="5" s="1"/>
  <c r="G86" i="5"/>
  <c r="H87" i="5" s="1"/>
  <c r="G88" i="5"/>
  <c r="H89" i="5" s="1"/>
  <c r="G90" i="5"/>
  <c r="H90" i="5" s="1"/>
  <c r="G92" i="5"/>
  <c r="G94" i="5"/>
  <c r="AJ94" i="5"/>
  <c r="G96" i="5"/>
  <c r="T96" i="5"/>
  <c r="G98" i="5"/>
  <c r="G100" i="5"/>
  <c r="H100" i="5" s="1"/>
  <c r="G102" i="5"/>
  <c r="AJ103" i="5"/>
  <c r="AD104" i="5"/>
  <c r="G104" i="5"/>
  <c r="AJ104" i="5"/>
  <c r="G106" i="5"/>
  <c r="G108" i="5"/>
  <c r="H109" i="5" s="1"/>
  <c r="AJ108" i="5"/>
  <c r="G110" i="5"/>
  <c r="G112" i="5"/>
  <c r="AD119" i="5"/>
  <c r="N122" i="5"/>
  <c r="Z125" i="5"/>
  <c r="N132" i="5"/>
  <c r="AP135" i="5"/>
  <c r="N140" i="5"/>
  <c r="Z148" i="5"/>
  <c r="AD148" i="5"/>
  <c r="AJ151" i="5"/>
  <c r="AI153" i="5"/>
  <c r="AJ154" i="5" s="1"/>
  <c r="AO166" i="5"/>
  <c r="AD176" i="5"/>
  <c r="H177" i="5"/>
  <c r="AI178" i="5"/>
  <c r="F142" i="3"/>
  <c r="E61" i="6"/>
  <c r="J174" i="3"/>
  <c r="E71" i="6"/>
  <c r="J209" i="3"/>
  <c r="J213" i="3"/>
  <c r="E112" i="6"/>
  <c r="AO41" i="5"/>
  <c r="AP41" i="5" s="1"/>
  <c r="AN42" i="5"/>
  <c r="AO42" i="5" s="1"/>
  <c r="AP43" i="5" s="1"/>
  <c r="AN43" i="5"/>
  <c r="AO43" i="5" s="1"/>
  <c r="AH44" i="5"/>
  <c r="AI44" i="5" s="1"/>
  <c r="M45" i="5"/>
  <c r="N46" i="5" s="1"/>
  <c r="AN45" i="5"/>
  <c r="AO45" i="5" s="1"/>
  <c r="AP46" i="5" s="1"/>
  <c r="G47" i="5"/>
  <c r="H47" i="5" s="1"/>
  <c r="AH47" i="5"/>
  <c r="AI47" i="5" s="1"/>
  <c r="AJ47" i="5" s="1"/>
  <c r="AC48" i="5"/>
  <c r="G49" i="5"/>
  <c r="H49" i="5" s="1"/>
  <c r="AH49" i="5"/>
  <c r="AI49" i="5" s="1"/>
  <c r="AC50" i="5"/>
  <c r="AD51" i="5" s="1"/>
  <c r="G51" i="5"/>
  <c r="H51" i="5" s="1"/>
  <c r="AH51" i="5"/>
  <c r="AI51" i="5" s="1"/>
  <c r="AC52" i="5"/>
  <c r="AD53" i="5" s="1"/>
  <c r="G53" i="5"/>
  <c r="AH53" i="5"/>
  <c r="AI53" i="5" s="1"/>
  <c r="AO54" i="5"/>
  <c r="AP55" i="5" s="1"/>
  <c r="AH55" i="5"/>
  <c r="AI55" i="5" s="1"/>
  <c r="K44" i="6"/>
  <c r="L44" i="6" s="1"/>
  <c r="M197" i="3"/>
  <c r="F211" i="3"/>
  <c r="K102" i="6"/>
  <c r="M218" i="3"/>
  <c r="F220" i="3"/>
  <c r="E119" i="6"/>
  <c r="K29" i="6"/>
  <c r="K41" i="6"/>
  <c r="E44" i="6"/>
  <c r="J168" i="3"/>
  <c r="M176" i="3"/>
  <c r="K70" i="6"/>
  <c r="E79" i="6"/>
  <c r="E80" i="6"/>
  <c r="J212" i="3"/>
  <c r="AN33" i="5"/>
  <c r="AH35" i="5"/>
  <c r="AI35" i="5" s="1"/>
  <c r="AH39" i="5"/>
  <c r="AI39" i="5" s="1"/>
  <c r="K31" i="6"/>
  <c r="L32" i="6" s="1"/>
  <c r="F139" i="3"/>
  <c r="F146" i="3"/>
  <c r="M147" i="3"/>
  <c r="K49" i="6"/>
  <c r="L50" i="6" s="1"/>
  <c r="F166" i="3"/>
  <c r="K56" i="6"/>
  <c r="J177" i="3"/>
  <c r="J186" i="3"/>
  <c r="J188" i="3"/>
  <c r="K81" i="6"/>
  <c r="F194" i="3"/>
  <c r="E94" i="6"/>
  <c r="J220" i="3"/>
  <c r="M231" i="3"/>
  <c r="F140" i="3"/>
  <c r="K35" i="6"/>
  <c r="L37" i="6" s="1"/>
  <c r="F144" i="3"/>
  <c r="F183" i="3"/>
  <c r="K82" i="6"/>
  <c r="K89" i="6"/>
  <c r="E99" i="6"/>
  <c r="F229" i="3"/>
  <c r="E122" i="6"/>
  <c r="F35" i="6"/>
  <c r="K65" i="6"/>
  <c r="F177" i="3"/>
  <c r="J179" i="3"/>
  <c r="F191" i="3"/>
  <c r="M194" i="3"/>
  <c r="M203" i="3"/>
  <c r="M207" i="3"/>
  <c r="E98" i="6"/>
  <c r="F98" i="6" s="1"/>
  <c r="K110" i="6"/>
  <c r="E114" i="6"/>
  <c r="F114" i="6" s="1"/>
  <c r="K118" i="6"/>
  <c r="J12" i="3"/>
  <c r="M13" i="3"/>
  <c r="M79" i="3"/>
  <c r="M96" i="3"/>
  <c r="J100" i="3"/>
  <c r="M111" i="3"/>
  <c r="M168" i="3"/>
  <c r="J170" i="3"/>
  <c r="J189" i="3"/>
  <c r="J196" i="3"/>
  <c r="F197" i="3"/>
  <c r="J222" i="3"/>
  <c r="F225" i="3"/>
  <c r="M42" i="3"/>
  <c r="J50" i="3"/>
  <c r="J62" i="3"/>
  <c r="J65" i="3"/>
  <c r="J67" i="3"/>
  <c r="J69" i="3"/>
  <c r="J71" i="3"/>
  <c r="J73" i="3"/>
  <c r="J115" i="3"/>
  <c r="J120" i="3"/>
  <c r="J200" i="3"/>
  <c r="F19" i="3"/>
  <c r="M51" i="3"/>
  <c r="M57" i="3"/>
  <c r="M59" i="3"/>
  <c r="M76" i="3"/>
  <c r="J85" i="3"/>
  <c r="F93" i="3"/>
  <c r="M112" i="3"/>
  <c r="M114" i="3"/>
  <c r="M117" i="3"/>
  <c r="F134" i="3"/>
  <c r="M217" i="3"/>
  <c r="F222" i="3"/>
  <c r="F127" i="3"/>
  <c r="F63" i="3"/>
  <c r="F64" i="3"/>
  <c r="F66" i="3"/>
  <c r="F72" i="3"/>
  <c r="F74" i="3"/>
  <c r="F76" i="3"/>
  <c r="M126" i="3"/>
  <c r="J135" i="3"/>
  <c r="M153" i="3"/>
  <c r="J193" i="3"/>
  <c r="F210" i="3"/>
  <c r="J225" i="3"/>
  <c r="AD181" i="5"/>
  <c r="AD180" i="5"/>
  <c r="T153" i="5"/>
  <c r="T154" i="5"/>
  <c r="Z162" i="5"/>
  <c r="M8" i="3"/>
  <c r="M7" i="3"/>
  <c r="F15" i="3"/>
  <c r="F16" i="3"/>
  <c r="M40" i="3"/>
  <c r="M41" i="3"/>
  <c r="AD15" i="4"/>
  <c r="AD14" i="4"/>
  <c r="M68" i="3"/>
  <c r="M69" i="3"/>
  <c r="M74" i="3"/>
  <c r="M75" i="3"/>
  <c r="M93" i="5"/>
  <c r="L93" i="5"/>
  <c r="S94" i="5"/>
  <c r="R94" i="5"/>
  <c r="R112" i="5"/>
  <c r="S112" i="5"/>
  <c r="R120" i="5"/>
  <c r="S120" i="5"/>
  <c r="R136" i="5"/>
  <c r="S136" i="5"/>
  <c r="T137" i="5" s="1"/>
  <c r="Y137" i="5"/>
  <c r="Z138" i="5" s="1"/>
  <c r="X137" i="5"/>
  <c r="Y139" i="5"/>
  <c r="Z139" i="5" s="1"/>
  <c r="X139" i="5"/>
  <c r="Y143" i="5"/>
  <c r="X143" i="5"/>
  <c r="X145" i="5"/>
  <c r="Y145" i="5"/>
  <c r="R156" i="5"/>
  <c r="S156" i="5"/>
  <c r="T156" i="5" s="1"/>
  <c r="L158" i="5"/>
  <c r="M158" i="5"/>
  <c r="G160" i="5"/>
  <c r="F160" i="5"/>
  <c r="G164" i="5"/>
  <c r="F164" i="5"/>
  <c r="L170" i="5"/>
  <c r="M170" i="5"/>
  <c r="M172" i="5"/>
  <c r="N173" i="5" s="1"/>
  <c r="L172" i="5"/>
  <c r="L175" i="5"/>
  <c r="M175" i="5"/>
  <c r="N175" i="5" s="1"/>
  <c r="G179" i="5"/>
  <c r="F179" i="5"/>
  <c r="F188" i="5"/>
  <c r="G188" i="5"/>
  <c r="AD46" i="5"/>
  <c r="M44" i="3"/>
  <c r="Y157" i="5"/>
  <c r="AP138" i="5"/>
  <c r="F162" i="5"/>
  <c r="X167" i="5"/>
  <c r="J60" i="3"/>
  <c r="J61" i="3"/>
  <c r="M140" i="3"/>
  <c r="M139" i="3"/>
  <c r="M65" i="3"/>
  <c r="M64" i="3"/>
  <c r="L32" i="4"/>
  <c r="M32" i="4"/>
  <c r="M95" i="5"/>
  <c r="L95" i="5"/>
  <c r="M97" i="5"/>
  <c r="N97" i="5" s="1"/>
  <c r="L97" i="5"/>
  <c r="R126" i="5"/>
  <c r="S126" i="5"/>
  <c r="T127" i="5" s="1"/>
  <c r="R130" i="5"/>
  <c r="S130" i="5"/>
  <c r="S151" i="5"/>
  <c r="R151" i="5"/>
  <c r="Y168" i="5"/>
  <c r="Z168" i="5" s="1"/>
  <c r="X168" i="5"/>
  <c r="S173" i="5"/>
  <c r="T173" i="5" s="1"/>
  <c r="R173" i="5"/>
  <c r="X182" i="5"/>
  <c r="Y182" i="5"/>
  <c r="H115" i="5"/>
  <c r="Z88" i="5"/>
  <c r="J113" i="3"/>
  <c r="F18" i="3"/>
  <c r="X135" i="5"/>
  <c r="AD149" i="5"/>
  <c r="L83" i="5"/>
  <c r="S100" i="5"/>
  <c r="T100" i="5" s="1"/>
  <c r="G184" i="5"/>
  <c r="H184" i="5" s="1"/>
  <c r="L42" i="4"/>
  <c r="J58" i="3"/>
  <c r="J59" i="3"/>
  <c r="J138" i="3"/>
  <c r="J137" i="3"/>
  <c r="H13" i="4"/>
  <c r="H14" i="4"/>
  <c r="H21" i="4"/>
  <c r="H22" i="4"/>
  <c r="M67" i="3"/>
  <c r="M66" i="3"/>
  <c r="J86" i="3"/>
  <c r="J87" i="3"/>
  <c r="Y127" i="5"/>
  <c r="X127" i="5"/>
  <c r="S140" i="5"/>
  <c r="R140" i="5"/>
  <c r="F161" i="5"/>
  <c r="G161" i="5"/>
  <c r="Z167" i="5"/>
  <c r="X177" i="5"/>
  <c r="Y177" i="5"/>
  <c r="L180" i="5"/>
  <c r="M180" i="5"/>
  <c r="N180" i="5" s="1"/>
  <c r="L186" i="5"/>
  <c r="M186" i="5"/>
  <c r="N186" i="5" s="1"/>
  <c r="Y188" i="5"/>
  <c r="X188" i="5"/>
  <c r="AD120" i="5"/>
  <c r="J84" i="3"/>
  <c r="F185" i="5"/>
  <c r="G147" i="5"/>
  <c r="S187" i="5"/>
  <c r="X147" i="5"/>
  <c r="L109" i="5"/>
  <c r="L107" i="5"/>
  <c r="S142" i="5"/>
  <c r="M36" i="3"/>
  <c r="M37" i="3"/>
  <c r="J49" i="3"/>
  <c r="J48" i="3"/>
  <c r="F130" i="3"/>
  <c r="F131" i="3"/>
  <c r="F24" i="6"/>
  <c r="F25" i="6"/>
  <c r="Y30" i="4"/>
  <c r="X30" i="4"/>
  <c r="S98" i="5"/>
  <c r="T99" i="5" s="1"/>
  <c r="R98" i="5"/>
  <c r="S102" i="5"/>
  <c r="R102" i="5"/>
  <c r="Y129" i="5"/>
  <c r="X129" i="5"/>
  <c r="Y141" i="5"/>
  <c r="X141" i="5"/>
  <c r="G166" i="5"/>
  <c r="F166" i="5"/>
  <c r="R31" i="4"/>
  <c r="G182" i="5"/>
  <c r="M169" i="5"/>
  <c r="N169" i="5" s="1"/>
  <c r="S146" i="5"/>
  <c r="J97" i="3"/>
  <c r="J96" i="3"/>
  <c r="M73" i="3"/>
  <c r="M72" i="3"/>
  <c r="J81" i="3"/>
  <c r="J80" i="3"/>
  <c r="AD98" i="5"/>
  <c r="AD97" i="5"/>
  <c r="AD99" i="5"/>
  <c r="AD100" i="5"/>
  <c r="M101" i="5"/>
  <c r="N101" i="5" s="1"/>
  <c r="L101" i="5"/>
  <c r="L103" i="5"/>
  <c r="M103" i="5"/>
  <c r="N104" i="5" s="1"/>
  <c r="S104" i="5"/>
  <c r="T105" i="5" s="1"/>
  <c r="R104" i="5"/>
  <c r="S106" i="5"/>
  <c r="R106" i="5"/>
  <c r="Y131" i="5"/>
  <c r="X131" i="5"/>
  <c r="S144" i="5"/>
  <c r="T145" i="5" s="1"/>
  <c r="R144" i="5"/>
  <c r="G154" i="5"/>
  <c r="H155" i="5" s="1"/>
  <c r="F154" i="5"/>
  <c r="S27" i="4"/>
  <c r="T28" i="4" s="1"/>
  <c r="X125" i="5"/>
  <c r="R108" i="5"/>
  <c r="N127" i="5"/>
  <c r="N182" i="5"/>
  <c r="M39" i="3"/>
  <c r="M38" i="3"/>
  <c r="J56" i="3"/>
  <c r="J57" i="3"/>
  <c r="T10" i="4"/>
  <c r="T9" i="4"/>
  <c r="T17" i="4"/>
  <c r="T18" i="4"/>
  <c r="M71" i="3"/>
  <c r="M70" i="3"/>
  <c r="J82" i="3"/>
  <c r="J83" i="3"/>
  <c r="F43" i="4"/>
  <c r="G43" i="4"/>
  <c r="L119" i="5"/>
  <c r="M119" i="5"/>
  <c r="Y121" i="5"/>
  <c r="X121" i="5"/>
  <c r="R128" i="5"/>
  <c r="S128" i="5"/>
  <c r="T128" i="5" s="1"/>
  <c r="Y133" i="5"/>
  <c r="Z134" i="5" s="1"/>
  <c r="X133" i="5"/>
  <c r="R138" i="5"/>
  <c r="S138" i="5"/>
  <c r="T138" i="5" s="1"/>
  <c r="R149" i="5"/>
  <c r="S149" i="5"/>
  <c r="X150" i="5"/>
  <c r="Y150" i="5"/>
  <c r="L155" i="5"/>
  <c r="M155" i="5"/>
  <c r="N155" i="5" s="1"/>
  <c r="F157" i="5"/>
  <c r="G157" i="5"/>
  <c r="H157" i="5" s="1"/>
  <c r="R159" i="5"/>
  <c r="S159" i="5"/>
  <c r="F163" i="5"/>
  <c r="G163" i="5"/>
  <c r="H163" i="5" s="1"/>
  <c r="F165" i="5"/>
  <c r="G165" i="5"/>
  <c r="H165" i="5" s="1"/>
  <c r="S181" i="5"/>
  <c r="T181" i="5" s="1"/>
  <c r="R181" i="5"/>
  <c r="AD187" i="5"/>
  <c r="AD186" i="5"/>
  <c r="M43" i="3"/>
  <c r="M77" i="3"/>
  <c r="F92" i="3"/>
  <c r="Y123" i="5"/>
  <c r="R96" i="5"/>
  <c r="G167" i="5"/>
  <c r="H168" i="5" s="1"/>
  <c r="AJ179" i="5"/>
  <c r="AO161" i="5"/>
  <c r="AJ95" i="5"/>
  <c r="G35" i="4"/>
  <c r="F35" i="4"/>
  <c r="AD48" i="5"/>
  <c r="T196" i="5"/>
  <c r="T190" i="5"/>
  <c r="AO185" i="5"/>
  <c r="Z105" i="5"/>
  <c r="Y39" i="4"/>
  <c r="Z39" i="4" s="1"/>
  <c r="X39" i="4"/>
  <c r="X40" i="4"/>
  <c r="Y40" i="4"/>
  <c r="Z41" i="4" s="1"/>
  <c r="N163" i="5"/>
  <c r="AO179" i="5"/>
  <c r="AP180" i="5" s="1"/>
  <c r="J78" i="3"/>
  <c r="J116" i="3"/>
  <c r="J123" i="3"/>
  <c r="K67" i="6"/>
  <c r="F19" i="6"/>
  <c r="T94" i="5"/>
  <c r="T186" i="5"/>
  <c r="AP114" i="5"/>
  <c r="T95" i="5"/>
  <c r="M62" i="3"/>
  <c r="M63" i="3"/>
  <c r="X33" i="4"/>
  <c r="Y33" i="4"/>
  <c r="Z19" i="5"/>
  <c r="AJ194" i="5"/>
  <c r="T29" i="4"/>
  <c r="AD168" i="5"/>
  <c r="F135" i="3"/>
  <c r="X43" i="4"/>
  <c r="Y43" i="4"/>
  <c r="Z43" i="4" s="1"/>
  <c r="AO162" i="5"/>
  <c r="M144" i="3"/>
  <c r="AP181" i="5"/>
  <c r="AD118" i="5"/>
  <c r="F51" i="3"/>
  <c r="J92" i="3"/>
  <c r="F111" i="3"/>
  <c r="Z26" i="4"/>
  <c r="L44" i="4"/>
  <c r="H47" i="4"/>
  <c r="AH40" i="5"/>
  <c r="AI40" i="5" s="1"/>
  <c r="K64" i="6"/>
  <c r="L65" i="6" s="1"/>
  <c r="M177" i="3"/>
  <c r="J201" i="3"/>
  <c r="J236" i="3"/>
  <c r="J51" i="3"/>
  <c r="M98" i="3"/>
  <c r="M101" i="3"/>
  <c r="F118" i="3"/>
  <c r="H26" i="4"/>
  <c r="H29" i="4"/>
  <c r="S43" i="4"/>
  <c r="M45" i="4"/>
  <c r="N46" i="4" s="1"/>
  <c r="AN193" i="5"/>
  <c r="AO193" i="5" s="1"/>
  <c r="AP194" i="5" s="1"/>
  <c r="F36" i="6"/>
  <c r="K33" i="6"/>
  <c r="E42" i="6"/>
  <c r="K53" i="6"/>
  <c r="F175" i="3"/>
  <c r="F181" i="3"/>
  <c r="K71" i="6"/>
  <c r="J216" i="3"/>
  <c r="S55" i="4"/>
  <c r="T55" i="4" s="1"/>
  <c r="Y56" i="4"/>
  <c r="N18" i="5"/>
  <c r="AI38" i="5"/>
  <c r="AJ38" i="5" s="1"/>
  <c r="X44" i="5"/>
  <c r="L185" i="5"/>
  <c r="AH186" i="5"/>
  <c r="AI186" i="5" s="1"/>
  <c r="K42" i="6"/>
  <c r="L42" i="6" s="1"/>
  <c r="E52" i="6"/>
  <c r="M165" i="3"/>
  <c r="K57" i="6"/>
  <c r="L57" i="6" s="1"/>
  <c r="E69" i="6"/>
  <c r="F69" i="6" s="1"/>
  <c r="M190" i="3"/>
  <c r="J202" i="3"/>
  <c r="M216" i="3"/>
  <c r="F217" i="3"/>
  <c r="K107" i="6"/>
  <c r="L107" i="6" s="1"/>
  <c r="M224" i="3"/>
  <c r="K116" i="6"/>
  <c r="K119" i="6"/>
  <c r="F232" i="3"/>
  <c r="AJ93" i="5"/>
  <c r="F28" i="6"/>
  <c r="G48" i="4"/>
  <c r="H48" i="4" s="1"/>
  <c r="M14" i="3"/>
  <c r="M16" i="3"/>
  <c r="J20" i="3"/>
  <c r="J22" i="3"/>
  <c r="J25" i="3"/>
  <c r="J27" i="3"/>
  <c r="J29" i="3"/>
  <c r="J32" i="3"/>
  <c r="F37" i="3"/>
  <c r="F38" i="3"/>
  <c r="F42" i="3"/>
  <c r="F44" i="3"/>
  <c r="F103" i="3"/>
  <c r="F107" i="3"/>
  <c r="M118" i="3"/>
  <c r="M122" i="3"/>
  <c r="J124" i="3"/>
  <c r="M40" i="4"/>
  <c r="F41" i="4"/>
  <c r="J148" i="3"/>
  <c r="K47" i="6"/>
  <c r="J156" i="3"/>
  <c r="E51" i="6"/>
  <c r="K55" i="6"/>
  <c r="J167" i="3"/>
  <c r="K62" i="6"/>
  <c r="M178" i="3"/>
  <c r="J180" i="3"/>
  <c r="M187" i="3"/>
  <c r="E92" i="6"/>
  <c r="F204" i="3"/>
  <c r="J206" i="3"/>
  <c r="K101" i="6"/>
  <c r="F212" i="3"/>
  <c r="J215" i="3"/>
  <c r="J217" i="3"/>
  <c r="F224" i="3"/>
  <c r="J232" i="3"/>
  <c r="K127" i="6"/>
  <c r="L128" i="6" s="1"/>
  <c r="AO164" i="5"/>
  <c r="AP104" i="5"/>
  <c r="AO163" i="5"/>
  <c r="F96" i="3"/>
  <c r="F114" i="3"/>
  <c r="S40" i="4"/>
  <c r="AN35" i="5"/>
  <c r="AO35" i="5" s="1"/>
  <c r="F151" i="3"/>
  <c r="J161" i="3"/>
  <c r="K54" i="6"/>
  <c r="K68" i="6"/>
  <c r="F180" i="3"/>
  <c r="F198" i="3"/>
  <c r="E90" i="6"/>
  <c r="K93" i="6"/>
  <c r="L94" i="6" s="1"/>
  <c r="J205" i="3"/>
  <c r="F235" i="3"/>
  <c r="AD55" i="4"/>
  <c r="AO33" i="5"/>
  <c r="J147" i="3"/>
  <c r="E45" i="6"/>
  <c r="F155" i="3"/>
  <c r="E53" i="6"/>
  <c r="E65" i="6"/>
  <c r="F188" i="3"/>
  <c r="K90" i="6"/>
  <c r="E91" i="6"/>
  <c r="F92" i="6" s="1"/>
  <c r="K92" i="6"/>
  <c r="J210" i="3"/>
  <c r="K109" i="6"/>
  <c r="E117" i="6"/>
  <c r="AD105" i="5"/>
  <c r="AP62" i="5"/>
  <c r="J15" i="3"/>
  <c r="F33" i="3"/>
  <c r="M46" i="3"/>
  <c r="J118" i="3"/>
  <c r="Z16" i="4"/>
  <c r="N21" i="4"/>
  <c r="AD23" i="4"/>
  <c r="Z24" i="4"/>
  <c r="R35" i="4"/>
  <c r="L37" i="4"/>
  <c r="Y51" i="4"/>
  <c r="S52" i="4"/>
  <c r="L53" i="4"/>
  <c r="F54" i="4"/>
  <c r="AH32" i="5"/>
  <c r="AI32" i="5" s="1"/>
  <c r="AN38" i="5"/>
  <c r="AO38" i="5" s="1"/>
  <c r="K46" i="6"/>
  <c r="E48" i="6"/>
  <c r="F178" i="3"/>
  <c r="E89" i="6"/>
  <c r="E124" i="6"/>
  <c r="F117" i="3"/>
  <c r="F116" i="3"/>
  <c r="N25" i="5"/>
  <c r="N24" i="5"/>
  <c r="Z36" i="5"/>
  <c r="Z37" i="5"/>
  <c r="N41" i="5"/>
  <c r="N40" i="5"/>
  <c r="S49" i="5"/>
  <c r="T49" i="5" s="1"/>
  <c r="R49" i="5"/>
  <c r="M52" i="5"/>
  <c r="L52" i="5"/>
  <c r="R54" i="5"/>
  <c r="S54" i="5"/>
  <c r="R72" i="5"/>
  <c r="S72" i="5"/>
  <c r="T73" i="5" s="1"/>
  <c r="M75" i="5"/>
  <c r="L75" i="5"/>
  <c r="M81" i="5"/>
  <c r="N81" i="5" s="1"/>
  <c r="L81" i="5"/>
  <c r="AD83" i="5"/>
  <c r="AD84" i="5"/>
  <c r="N84" i="5"/>
  <c r="Z191" i="5"/>
  <c r="Z192" i="5"/>
  <c r="Y45" i="5"/>
  <c r="X45" i="5"/>
  <c r="AJ63" i="5"/>
  <c r="M65" i="5"/>
  <c r="L65" i="5"/>
  <c r="L67" i="5"/>
  <c r="M67" i="5"/>
  <c r="N67" i="5" s="1"/>
  <c r="M79" i="5"/>
  <c r="N80" i="5" s="1"/>
  <c r="L79" i="5"/>
  <c r="S80" i="5"/>
  <c r="R80" i="5"/>
  <c r="M85" i="5"/>
  <c r="N85" i="5" s="1"/>
  <c r="L85" i="5"/>
  <c r="AD88" i="5"/>
  <c r="M106" i="3"/>
  <c r="M107" i="3"/>
  <c r="Z21" i="5"/>
  <c r="Z20" i="5"/>
  <c r="T31" i="5"/>
  <c r="T30" i="5"/>
  <c r="T34" i="5"/>
  <c r="T35" i="5"/>
  <c r="R44" i="5"/>
  <c r="S44" i="5"/>
  <c r="X46" i="5"/>
  <c r="Y46" i="5"/>
  <c r="S51" i="5"/>
  <c r="T51" i="5" s="1"/>
  <c r="R51" i="5"/>
  <c r="G58" i="5"/>
  <c r="F58" i="5"/>
  <c r="L63" i="5"/>
  <c r="M63" i="5"/>
  <c r="N64" i="5" s="1"/>
  <c r="S64" i="5"/>
  <c r="R64" i="5"/>
  <c r="AD70" i="5"/>
  <c r="H83" i="5"/>
  <c r="L89" i="5"/>
  <c r="M89" i="5"/>
  <c r="N90" i="5" s="1"/>
  <c r="M91" i="5"/>
  <c r="N91" i="5" s="1"/>
  <c r="L91" i="5"/>
  <c r="AD163" i="5"/>
  <c r="AD164" i="5"/>
  <c r="H152" i="5"/>
  <c r="H151" i="5"/>
  <c r="F123" i="3"/>
  <c r="F122" i="3"/>
  <c r="H62" i="5"/>
  <c r="R66" i="5"/>
  <c r="S66" i="5"/>
  <c r="T67" i="5" s="1"/>
  <c r="M73" i="5"/>
  <c r="N73" i="5" s="1"/>
  <c r="L73" i="5"/>
  <c r="R84" i="5"/>
  <c r="S84" i="5"/>
  <c r="AD85" i="5"/>
  <c r="M87" i="5"/>
  <c r="L87" i="5"/>
  <c r="R88" i="5"/>
  <c r="S88" i="5"/>
  <c r="AD90" i="5"/>
  <c r="AD80" i="5"/>
  <c r="F98" i="3"/>
  <c r="F97" i="3"/>
  <c r="L48" i="5"/>
  <c r="M48" i="5"/>
  <c r="N30" i="4"/>
  <c r="H133" i="5"/>
  <c r="F88" i="3"/>
  <c r="F87" i="3"/>
  <c r="T22" i="5"/>
  <c r="T23" i="5"/>
  <c r="H50" i="5"/>
  <c r="S55" i="5"/>
  <c r="T56" i="5" s="1"/>
  <c r="R55" i="5"/>
  <c r="L61" i="5"/>
  <c r="M61" i="5"/>
  <c r="AD64" i="5"/>
  <c r="R68" i="5"/>
  <c r="S68" i="5"/>
  <c r="T69" i="5" s="1"/>
  <c r="AD67" i="5"/>
  <c r="AD77" i="5"/>
  <c r="N188" i="5"/>
  <c r="Z29" i="5"/>
  <c r="Z28" i="5"/>
  <c r="T43" i="5"/>
  <c r="T42" i="5"/>
  <c r="S47" i="5"/>
  <c r="R47" i="5"/>
  <c r="L50" i="5"/>
  <c r="M50" i="5"/>
  <c r="R53" i="5"/>
  <c r="S53" i="5"/>
  <c r="T53" i="5" s="1"/>
  <c r="M77" i="5"/>
  <c r="N77" i="5" s="1"/>
  <c r="L77" i="5"/>
  <c r="N160" i="5"/>
  <c r="N194" i="5"/>
  <c r="J35" i="3"/>
  <c r="J34" i="3"/>
  <c r="M115" i="3"/>
  <c r="J103" i="3"/>
  <c r="T23" i="4"/>
  <c r="AP105" i="5"/>
  <c r="N17" i="4"/>
  <c r="N16" i="4"/>
  <c r="M58" i="3"/>
  <c r="J68" i="3"/>
  <c r="AJ171" i="5"/>
  <c r="T27" i="4"/>
  <c r="N168" i="5"/>
  <c r="T195" i="5"/>
  <c r="Z98" i="5"/>
  <c r="F105" i="3"/>
  <c r="J75" i="3"/>
  <c r="J121" i="3"/>
  <c r="J72" i="3"/>
  <c r="Z20" i="4"/>
  <c r="M102" i="3"/>
  <c r="F119" i="3"/>
  <c r="AD19" i="4"/>
  <c r="AD20" i="4"/>
  <c r="N24" i="4"/>
  <c r="N25" i="4"/>
  <c r="AD36" i="4"/>
  <c r="N153" i="5"/>
  <c r="AD54" i="4"/>
  <c r="AD53" i="4"/>
  <c r="N189" i="5"/>
  <c r="J74" i="3"/>
  <c r="M55" i="3"/>
  <c r="J136" i="3"/>
  <c r="M54" i="3"/>
  <c r="M60" i="3"/>
  <c r="J66" i="3"/>
  <c r="M43" i="4"/>
  <c r="N44" i="4" s="1"/>
  <c r="L43" i="4"/>
  <c r="AP129" i="5"/>
  <c r="Z13" i="4"/>
  <c r="Z12" i="4"/>
  <c r="Z38" i="4"/>
  <c r="M103" i="3"/>
  <c r="M104" i="3"/>
  <c r="AD113" i="5"/>
  <c r="F99" i="3"/>
  <c r="F39" i="3"/>
  <c r="F45" i="3"/>
  <c r="T15" i="4"/>
  <c r="AP171" i="5"/>
  <c r="J21" i="3"/>
  <c r="J33" i="3"/>
  <c r="F108" i="3"/>
  <c r="Z27" i="4"/>
  <c r="J77" i="3"/>
  <c r="M17" i="3"/>
  <c r="H156" i="5"/>
  <c r="Z42" i="4"/>
  <c r="AJ96" i="5"/>
  <c r="Z90" i="5"/>
  <c r="AD60" i="5"/>
  <c r="AD185" i="5"/>
  <c r="AP71" i="5"/>
  <c r="T58" i="5"/>
  <c r="H78" i="5"/>
  <c r="L49" i="4"/>
  <c r="AD12" i="4"/>
  <c r="AD29" i="4"/>
  <c r="K100" i="6"/>
  <c r="T191" i="5"/>
  <c r="N166" i="5"/>
  <c r="G33" i="4"/>
  <c r="F50" i="4"/>
  <c r="L40" i="4"/>
  <c r="N11" i="4"/>
  <c r="Z23" i="4"/>
  <c r="T25" i="4"/>
  <c r="F29" i="4"/>
  <c r="F7" i="3"/>
  <c r="F8" i="3"/>
  <c r="J13" i="3"/>
  <c r="J63" i="3"/>
  <c r="J122" i="3"/>
  <c r="J31" i="3"/>
  <c r="F41" i="3"/>
  <c r="M131" i="3"/>
  <c r="F136" i="3"/>
  <c r="AD30" i="4"/>
  <c r="AD43" i="4"/>
  <c r="AD51" i="4"/>
  <c r="AC56" i="4"/>
  <c r="N13" i="5"/>
  <c r="T18" i="5"/>
  <c r="AI34" i="5"/>
  <c r="AH36" i="5"/>
  <c r="AI36" i="5" s="1"/>
  <c r="AJ37" i="5" s="1"/>
  <c r="AN39" i="5"/>
  <c r="AO39" i="5" s="1"/>
  <c r="AD54" i="5"/>
  <c r="G55" i="5"/>
  <c r="AN56" i="5"/>
  <c r="AO56" i="5" s="1"/>
  <c r="AP56" i="5" s="1"/>
  <c r="AN58" i="5"/>
  <c r="AO58" i="5" s="1"/>
  <c r="AH59" i="5"/>
  <c r="AI59" i="5" s="1"/>
  <c r="AJ59" i="5" s="1"/>
  <c r="R61" i="5"/>
  <c r="AH61" i="5"/>
  <c r="AI61" i="5" s="1"/>
  <c r="AJ61" i="5" s="1"/>
  <c r="AH65" i="5"/>
  <c r="AI65" i="5" s="1"/>
  <c r="AJ66" i="5" s="1"/>
  <c r="R67" i="5"/>
  <c r="AH67" i="5"/>
  <c r="AI67" i="5" s="1"/>
  <c r="AJ67" i="5" s="1"/>
  <c r="R69" i="5"/>
  <c r="AH69" i="5"/>
  <c r="AI69" i="5" s="1"/>
  <c r="AJ69" i="5" s="1"/>
  <c r="R71" i="5"/>
  <c r="AH71" i="5"/>
  <c r="AI71" i="5" s="1"/>
  <c r="R73" i="5"/>
  <c r="AH73" i="5"/>
  <c r="AI73" i="5" s="1"/>
  <c r="M74" i="5"/>
  <c r="R75" i="5"/>
  <c r="AH75" i="5"/>
  <c r="AI75" i="5" s="1"/>
  <c r="S77" i="5"/>
  <c r="AH77" i="5"/>
  <c r="AI77" i="5" s="1"/>
  <c r="AJ78" i="5" s="1"/>
  <c r="T121" i="5"/>
  <c r="R43" i="4"/>
  <c r="J112" i="3"/>
  <c r="J131" i="3"/>
  <c r="Z9" i="4"/>
  <c r="N13" i="4"/>
  <c r="AD16" i="4"/>
  <c r="Z17" i="4"/>
  <c r="N22" i="4"/>
  <c r="K83" i="6"/>
  <c r="AP73" i="5"/>
  <c r="F16" i="6"/>
  <c r="AJ174" i="5"/>
  <c r="AP182" i="5"/>
  <c r="N20" i="4"/>
  <c r="F75" i="3"/>
  <c r="J99" i="3"/>
  <c r="M99" i="3"/>
  <c r="H25" i="4"/>
  <c r="AP83" i="5"/>
  <c r="N144" i="5"/>
  <c r="J18" i="3"/>
  <c r="F24" i="3"/>
  <c r="F28" i="3"/>
  <c r="M47" i="3"/>
  <c r="J55" i="3"/>
  <c r="F126" i="3"/>
  <c r="K123" i="6"/>
  <c r="K58" i="6"/>
  <c r="J187" i="3"/>
  <c r="M215" i="3"/>
  <c r="K115" i="6"/>
  <c r="L115" i="6" s="1"/>
  <c r="AH79" i="5"/>
  <c r="AI79" i="5" s="1"/>
  <c r="AJ79" i="5" s="1"/>
  <c r="R81" i="5"/>
  <c r="M82" i="5"/>
  <c r="N83" i="5" s="1"/>
  <c r="S83" i="5"/>
  <c r="AH85" i="5"/>
  <c r="AI85" i="5" s="1"/>
  <c r="R87" i="5"/>
  <c r="AH87" i="5"/>
  <c r="AI87" i="5" s="1"/>
  <c r="M88" i="5"/>
  <c r="R89" i="5"/>
  <c r="S91" i="5"/>
  <c r="AH91" i="5"/>
  <c r="AI91" i="5" s="1"/>
  <c r="R93" i="5"/>
  <c r="S97" i="5"/>
  <c r="AH97" i="5"/>
  <c r="AI97" i="5" s="1"/>
  <c r="M98" i="5"/>
  <c r="R101" i="5"/>
  <c r="AH101" i="5"/>
  <c r="AI101" i="5" s="1"/>
  <c r="S103" i="5"/>
  <c r="AH105" i="5"/>
  <c r="AI105" i="5" s="1"/>
  <c r="M106" i="5"/>
  <c r="R107" i="5"/>
  <c r="AH109" i="5"/>
  <c r="AI109" i="5" s="1"/>
  <c r="M110" i="5"/>
  <c r="N110" i="5" s="1"/>
  <c r="S111" i="5"/>
  <c r="T112" i="5" s="1"/>
  <c r="AD112" i="5"/>
  <c r="S113" i="5"/>
  <c r="AH113" i="5"/>
  <c r="AI113" i="5" s="1"/>
  <c r="AH115" i="5"/>
  <c r="AI115" i="5" s="1"/>
  <c r="M116" i="5"/>
  <c r="AH117" i="5"/>
  <c r="AI117" i="5" s="1"/>
  <c r="AJ117" i="5" s="1"/>
  <c r="S119" i="5"/>
  <c r="T120" i="5" s="1"/>
  <c r="AH119" i="5"/>
  <c r="AI119" i="5" s="1"/>
  <c r="AI121" i="5"/>
  <c r="AJ121" i="5" s="1"/>
  <c r="AI123" i="5"/>
  <c r="AJ124" i="5" s="1"/>
  <c r="AI125" i="5"/>
  <c r="AI129" i="5"/>
  <c r="AJ129" i="5" s="1"/>
  <c r="AI135" i="5"/>
  <c r="X136" i="5"/>
  <c r="Y140" i="5"/>
  <c r="X142" i="5"/>
  <c r="S143" i="5"/>
  <c r="Y144" i="5"/>
  <c r="Y146" i="5"/>
  <c r="Y151" i="5"/>
  <c r="F153" i="5"/>
  <c r="AO153" i="5"/>
  <c r="L154" i="5"/>
  <c r="AC154" i="5"/>
  <c r="AH155" i="5"/>
  <c r="AI155" i="5" s="1"/>
  <c r="AJ155" i="5" s="1"/>
  <c r="Y156" i="5"/>
  <c r="AN156" i="5"/>
  <c r="AO156" i="5" s="1"/>
  <c r="AP157" i="5" s="1"/>
  <c r="G158" i="5"/>
  <c r="AO158" i="5"/>
  <c r="L161" i="5"/>
  <c r="AC161" i="5"/>
  <c r="AD161" i="5" s="1"/>
  <c r="L164" i="5"/>
  <c r="L165" i="5"/>
  <c r="AT167" i="5"/>
  <c r="AU167" i="5" s="1"/>
  <c r="S169" i="5"/>
  <c r="AH169" i="5"/>
  <c r="AI169" i="5" s="1"/>
  <c r="AJ169" i="5" s="1"/>
  <c r="S171" i="5"/>
  <c r="T172" i="5" s="1"/>
  <c r="R172" i="5"/>
  <c r="S177" i="5"/>
  <c r="T177" i="5" s="1"/>
  <c r="AI182" i="5"/>
  <c r="AJ183" i="5" s="1"/>
  <c r="AH184" i="5"/>
  <c r="AI184" i="5" s="1"/>
  <c r="L188" i="5"/>
  <c r="AH189" i="5"/>
  <c r="AI189" i="5" s="1"/>
  <c r="X190" i="5"/>
  <c r="K24" i="6"/>
  <c r="L25" i="6" s="1"/>
  <c r="J149" i="3"/>
  <c r="K85" i="6"/>
  <c r="F27" i="6"/>
  <c r="K34" i="6"/>
  <c r="M145" i="3"/>
  <c r="K45" i="6"/>
  <c r="E49" i="6"/>
  <c r="E50" i="6"/>
  <c r="K80" i="6"/>
  <c r="E87" i="6"/>
  <c r="E118" i="6"/>
  <c r="J144" i="3"/>
  <c r="F174" i="3"/>
  <c r="F164" i="3"/>
  <c r="K60" i="6"/>
  <c r="F173" i="3"/>
  <c r="E70" i="6"/>
  <c r="M214" i="3"/>
  <c r="E111" i="6"/>
  <c r="E123" i="6"/>
  <c r="AN192" i="5"/>
  <c r="AO192" i="5" s="1"/>
  <c r="F153" i="3"/>
  <c r="M154" i="3"/>
  <c r="M164" i="3"/>
  <c r="J181" i="3"/>
  <c r="L68" i="6"/>
  <c r="E75" i="6"/>
  <c r="J192" i="3"/>
  <c r="F200" i="3"/>
  <c r="F207" i="3"/>
  <c r="K98" i="6"/>
  <c r="K104" i="6"/>
  <c r="E110" i="6"/>
  <c r="M232" i="3"/>
  <c r="AO154" i="5"/>
  <c r="AP155" i="5" s="1"/>
  <c r="AO160" i="5"/>
  <c r="AO165" i="5"/>
  <c r="AP166" i="5" s="1"/>
  <c r="AU170" i="5"/>
  <c r="AV171" i="5" s="1"/>
  <c r="F174" i="5"/>
  <c r="R176" i="5"/>
  <c r="L183" i="5"/>
  <c r="AH185" i="5"/>
  <c r="AI185" i="5" s="1"/>
  <c r="AN191" i="5"/>
  <c r="AO191" i="5" s="1"/>
  <c r="AP191" i="5" s="1"/>
  <c r="F39" i="6"/>
  <c r="M146" i="3"/>
  <c r="M148" i="3"/>
  <c r="J152" i="3"/>
  <c r="F161" i="3"/>
  <c r="F162" i="3"/>
  <c r="F172" i="3"/>
  <c r="E58" i="6"/>
  <c r="F59" i="6" s="1"/>
  <c r="J169" i="3"/>
  <c r="K59" i="6"/>
  <c r="J176" i="3"/>
  <c r="M198" i="3"/>
  <c r="E93" i="6"/>
  <c r="E100" i="6"/>
  <c r="F100" i="6" s="1"/>
  <c r="E109" i="6"/>
  <c r="L110" i="6"/>
  <c r="M235" i="3"/>
  <c r="E127" i="6"/>
  <c r="F128" i="6" s="1"/>
  <c r="F238" i="3"/>
  <c r="K27" i="6"/>
  <c r="J140" i="3"/>
  <c r="F38" i="6"/>
  <c r="F37" i="6"/>
  <c r="K40" i="6"/>
  <c r="L41" i="6" s="1"/>
  <c r="E43" i="6"/>
  <c r="E46" i="6"/>
  <c r="J162" i="3"/>
  <c r="K52" i="6"/>
  <c r="L53" i="6" s="1"/>
  <c r="E64" i="6"/>
  <c r="F184" i="3"/>
  <c r="E77" i="6"/>
  <c r="E84" i="6"/>
  <c r="E86" i="6"/>
  <c r="F201" i="3"/>
  <c r="M205" i="3"/>
  <c r="K99" i="6"/>
  <c r="M210" i="3"/>
  <c r="F236" i="3"/>
  <c r="Y54" i="5"/>
  <c r="E41" i="6"/>
  <c r="M152" i="3"/>
  <c r="M163" i="3"/>
  <c r="E55" i="6"/>
  <c r="E60" i="6"/>
  <c r="M174" i="3"/>
  <c r="M175" i="3"/>
  <c r="J178" i="3"/>
  <c r="M181" i="3"/>
  <c r="F185" i="3"/>
  <c r="F187" i="3"/>
  <c r="E76" i="6"/>
  <c r="F76" i="6" s="1"/>
  <c r="E78" i="6"/>
  <c r="F79" i="6" s="1"/>
  <c r="E83" i="6"/>
  <c r="F205" i="3"/>
  <c r="M213" i="3"/>
  <c r="J231" i="3"/>
  <c r="AJ60" i="5"/>
  <c r="AJ193" i="5"/>
  <c r="AP172" i="5"/>
  <c r="AP173" i="5"/>
  <c r="L13" i="6"/>
  <c r="AJ138" i="5"/>
  <c r="AJ42" i="5"/>
  <c r="AJ165" i="5"/>
  <c r="AJ164" i="5"/>
  <c r="AP115" i="5"/>
  <c r="AP116" i="5"/>
  <c r="AD61" i="5"/>
  <c r="T57" i="5"/>
  <c r="N59" i="5"/>
  <c r="Z106" i="5"/>
  <c r="M120" i="3"/>
  <c r="M121" i="3"/>
  <c r="J125" i="3"/>
  <c r="J133" i="3"/>
  <c r="J134" i="3"/>
  <c r="M138" i="3"/>
  <c r="M137" i="3"/>
  <c r="L27" i="4"/>
  <c r="M27" i="4"/>
  <c r="Z28" i="4"/>
  <c r="Z29" i="4"/>
  <c r="G30" i="4"/>
  <c r="F30" i="4"/>
  <c r="S30" i="4"/>
  <c r="R30" i="4"/>
  <c r="M31" i="4"/>
  <c r="L31" i="4"/>
  <c r="F32" i="4"/>
  <c r="G32" i="4"/>
  <c r="G34" i="4"/>
  <c r="F34" i="4"/>
  <c r="R34" i="4"/>
  <c r="S34" i="4"/>
  <c r="AD34" i="4"/>
  <c r="AD35" i="4"/>
  <c r="G36" i="4"/>
  <c r="F36" i="4"/>
  <c r="R36" i="4"/>
  <c r="S36" i="4"/>
  <c r="G38" i="4"/>
  <c r="F38" i="4"/>
  <c r="R38" i="4"/>
  <c r="S38" i="4"/>
  <c r="AD38" i="4"/>
  <c r="AD39" i="4"/>
  <c r="L39" i="4"/>
  <c r="M39" i="4"/>
  <c r="G40" i="4"/>
  <c r="F40" i="4"/>
  <c r="AD40" i="4"/>
  <c r="AD41" i="4"/>
  <c r="M41" i="4"/>
  <c r="L41" i="4"/>
  <c r="F42" i="4"/>
  <c r="G42" i="4"/>
  <c r="G44" i="4"/>
  <c r="F44" i="4"/>
  <c r="S44" i="4"/>
  <c r="R44" i="4"/>
  <c r="AD45" i="4"/>
  <c r="AD44" i="4"/>
  <c r="X45" i="4"/>
  <c r="Y45" i="4"/>
  <c r="R46" i="4"/>
  <c r="S46" i="4"/>
  <c r="AD47" i="4"/>
  <c r="AD46" i="4"/>
  <c r="M48" i="4"/>
  <c r="L48" i="4"/>
  <c r="F49" i="4"/>
  <c r="G49" i="4"/>
  <c r="L50" i="4"/>
  <c r="M50" i="4"/>
  <c r="Y50" i="4"/>
  <c r="X50" i="4"/>
  <c r="G51" i="4"/>
  <c r="F51" i="4"/>
  <c r="L52" i="4"/>
  <c r="M52" i="4"/>
  <c r="N52" i="4" s="1"/>
  <c r="F53" i="4"/>
  <c r="G53" i="4"/>
  <c r="L54" i="4"/>
  <c r="M54" i="4"/>
  <c r="Y54" i="4"/>
  <c r="X54" i="4"/>
  <c r="F55" i="4"/>
  <c r="G55" i="4"/>
  <c r="H55" i="4" s="1"/>
  <c r="M57" i="4"/>
  <c r="L57" i="4"/>
  <c r="X57" i="4"/>
  <c r="Y57" i="4"/>
  <c r="S58" i="4"/>
  <c r="T58" i="4" s="1"/>
  <c r="N10" i="5"/>
  <c r="N11" i="5"/>
  <c r="Z10" i="5"/>
  <c r="Z11" i="5"/>
  <c r="H15" i="5"/>
  <c r="H16" i="5"/>
  <c r="T16" i="5"/>
  <c r="T15" i="5"/>
  <c r="N20" i="5"/>
  <c r="N21" i="5"/>
  <c r="Z24" i="5"/>
  <c r="Z25" i="5"/>
  <c r="N32" i="5"/>
  <c r="N33" i="5"/>
  <c r="Z32" i="5"/>
  <c r="Z33" i="5"/>
  <c r="T39" i="5"/>
  <c r="T38" i="5"/>
  <c r="N43" i="5"/>
  <c r="Y43" i="5"/>
  <c r="Z43" i="5" s="1"/>
  <c r="X43" i="5"/>
  <c r="AD55" i="5"/>
  <c r="AD56" i="5"/>
  <c r="L56" i="5"/>
  <c r="M56" i="5"/>
  <c r="N56" i="5" s="1"/>
  <c r="Y56" i="5"/>
  <c r="Z56" i="5" s="1"/>
  <c r="X56" i="5"/>
  <c r="L57" i="5"/>
  <c r="M57" i="5"/>
  <c r="X57" i="5"/>
  <c r="Y57" i="5"/>
  <c r="X58" i="5"/>
  <c r="Y58" i="5"/>
  <c r="R60" i="5"/>
  <c r="S60" i="5"/>
  <c r="T60" i="5" s="1"/>
  <c r="R62" i="5"/>
  <c r="S62" i="5"/>
  <c r="T62" i="5" s="1"/>
  <c r="R63" i="5"/>
  <c r="S63" i="5"/>
  <c r="R65" i="5"/>
  <c r="S65" i="5"/>
  <c r="H69" i="5"/>
  <c r="AD74" i="5"/>
  <c r="AD92" i="5"/>
  <c r="T106" i="5"/>
  <c r="H110" i="5"/>
  <c r="AI157" i="5"/>
  <c r="J9" i="3"/>
  <c r="J10" i="3"/>
  <c r="J16" i="3"/>
  <c r="F21" i="3"/>
  <c r="F23" i="3"/>
  <c r="F27" i="3"/>
  <c r="F29" i="3"/>
  <c r="F31" i="3"/>
  <c r="F36" i="3"/>
  <c r="F35" i="3"/>
  <c r="M48" i="3"/>
  <c r="J54" i="3"/>
  <c r="J172" i="3"/>
  <c r="J171" i="3"/>
  <c r="K66" i="6"/>
  <c r="T57" i="4"/>
  <c r="Z91" i="5"/>
  <c r="J91" i="3"/>
  <c r="AP90" i="5"/>
  <c r="AP82" i="5"/>
  <c r="AD159" i="5"/>
  <c r="AP70" i="5"/>
  <c r="Z74" i="5"/>
  <c r="T192" i="5"/>
  <c r="AJ180" i="5"/>
  <c r="AP134" i="5"/>
  <c r="N92" i="5"/>
  <c r="AD94" i="5"/>
  <c r="F125" i="3"/>
  <c r="X52" i="4"/>
  <c r="AD42" i="4"/>
  <c r="M37" i="4"/>
  <c r="L45" i="4"/>
  <c r="AD52" i="4"/>
  <c r="Z133" i="5"/>
  <c r="H19" i="5"/>
  <c r="Z13" i="5"/>
  <c r="H12" i="5"/>
  <c r="H57" i="5"/>
  <c r="AD192" i="5"/>
  <c r="AD193" i="5"/>
  <c r="N37" i="5"/>
  <c r="H30" i="5"/>
  <c r="H22" i="5"/>
  <c r="N28" i="5"/>
  <c r="AD179" i="5"/>
  <c r="M11" i="3"/>
  <c r="M10" i="3"/>
  <c r="F12" i="3"/>
  <c r="F13" i="3"/>
  <c r="J17" i="3"/>
  <c r="F20" i="3"/>
  <c r="F22" i="3"/>
  <c r="F25" i="3"/>
  <c r="F30" i="3"/>
  <c r="F32" i="3"/>
  <c r="F34" i="3"/>
  <c r="M49" i="3"/>
  <c r="M50" i="3"/>
  <c r="J53" i="3"/>
  <c r="M124" i="3"/>
  <c r="M123" i="3"/>
  <c r="M159" i="3"/>
  <c r="M160" i="3"/>
  <c r="M192" i="3"/>
  <c r="M191" i="3"/>
  <c r="J237" i="3"/>
  <c r="H176" i="5"/>
  <c r="AD165" i="5"/>
  <c r="T148" i="5"/>
  <c r="H186" i="5"/>
  <c r="H123" i="5"/>
  <c r="AD160" i="5"/>
  <c r="AD50" i="5"/>
  <c r="H119" i="5"/>
  <c r="AD52" i="5"/>
  <c r="F137" i="3"/>
  <c r="J19" i="3"/>
  <c r="R40" i="4"/>
  <c r="AD32" i="4"/>
  <c r="AD37" i="4"/>
  <c r="AD49" i="4"/>
  <c r="AD172" i="5"/>
  <c r="AD173" i="5"/>
  <c r="H27" i="5"/>
  <c r="AP183" i="5"/>
  <c r="AP184" i="5"/>
  <c r="AD189" i="5"/>
  <c r="AD188" i="5"/>
  <c r="Z116" i="5"/>
  <c r="Z115" i="5"/>
  <c r="F55" i="5"/>
  <c r="H38" i="5"/>
  <c r="N14" i="5"/>
  <c r="T163" i="5"/>
  <c r="F46" i="4"/>
  <c r="M35" i="4"/>
  <c r="AD103" i="5"/>
  <c r="AD102" i="5"/>
  <c r="AD145" i="5"/>
  <c r="AD144" i="5"/>
  <c r="M71" i="5"/>
  <c r="L71" i="5"/>
  <c r="AD76" i="5"/>
  <c r="R85" i="5"/>
  <c r="S85" i="5"/>
  <c r="AD93" i="5"/>
  <c r="R109" i="5"/>
  <c r="S109" i="5"/>
  <c r="T109" i="5" s="1"/>
  <c r="R116" i="5"/>
  <c r="S116" i="5"/>
  <c r="L117" i="5"/>
  <c r="M117" i="5"/>
  <c r="S118" i="5"/>
  <c r="R118" i="5"/>
  <c r="S129" i="5"/>
  <c r="R129" i="5"/>
  <c r="R132" i="5"/>
  <c r="S132" i="5"/>
  <c r="R133" i="5"/>
  <c r="S133" i="5"/>
  <c r="L149" i="5"/>
  <c r="M149" i="5"/>
  <c r="AU169" i="5"/>
  <c r="X174" i="5"/>
  <c r="Y174" i="5"/>
  <c r="Z174" i="5" s="1"/>
  <c r="X178" i="5"/>
  <c r="Y178" i="5"/>
  <c r="K38" i="6"/>
  <c r="L38" i="6" s="1"/>
  <c r="S114" i="5"/>
  <c r="S110" i="5"/>
  <c r="M70" i="5"/>
  <c r="M69" i="5"/>
  <c r="S125" i="5"/>
  <c r="R111" i="5"/>
  <c r="S92" i="5"/>
  <c r="S90" i="5"/>
  <c r="L99" i="5"/>
  <c r="S139" i="5"/>
  <c r="S135" i="5"/>
  <c r="L110" i="5"/>
  <c r="M102" i="5"/>
  <c r="S87" i="5"/>
  <c r="S78" i="5"/>
  <c r="S107" i="5"/>
  <c r="G148" i="5"/>
  <c r="S101" i="5"/>
  <c r="M105" i="5"/>
  <c r="M111" i="5"/>
  <c r="Y136" i="5"/>
  <c r="M171" i="5"/>
  <c r="S71" i="5"/>
  <c r="M68" i="5"/>
  <c r="S124" i="5"/>
  <c r="M115" i="5"/>
  <c r="M108" i="5"/>
  <c r="L106" i="5"/>
  <c r="S89" i="5"/>
  <c r="M118" i="5"/>
  <c r="S141" i="5"/>
  <c r="S86" i="5"/>
  <c r="G153" i="5"/>
  <c r="S134" i="5"/>
  <c r="S76" i="5"/>
  <c r="T76" i="5" s="1"/>
  <c r="S131" i="5"/>
  <c r="T131" i="5" s="1"/>
  <c r="S123" i="5"/>
  <c r="R82" i="5"/>
  <c r="S122" i="5"/>
  <c r="T122" i="5" s="1"/>
  <c r="S74" i="5"/>
  <c r="T74" i="5" s="1"/>
  <c r="R70" i="5"/>
  <c r="M127" i="3"/>
  <c r="J146" i="3"/>
  <c r="J145" i="3"/>
  <c r="K77" i="6"/>
  <c r="F58" i="3"/>
  <c r="F59" i="3"/>
  <c r="F86" i="3"/>
  <c r="J109" i="3"/>
  <c r="F40" i="6"/>
  <c r="M15" i="3"/>
  <c r="J28" i="3"/>
  <c r="F43" i="3"/>
  <c r="J117" i="3"/>
  <c r="F120" i="3"/>
  <c r="K36" i="6"/>
  <c r="L36" i="6" s="1"/>
  <c r="J150" i="3"/>
  <c r="J151" i="3"/>
  <c r="M155" i="3"/>
  <c r="M156" i="3"/>
  <c r="F168" i="3"/>
  <c r="F169" i="3"/>
  <c r="J204" i="3"/>
  <c r="J203" i="3"/>
  <c r="F230" i="3"/>
  <c r="F231" i="3"/>
  <c r="AD17" i="4"/>
  <c r="J101" i="3"/>
  <c r="M119" i="3"/>
  <c r="K39" i="6"/>
  <c r="L40" i="6" s="1"/>
  <c r="F147" i="3"/>
  <c r="F148" i="3"/>
  <c r="M149" i="3"/>
  <c r="M150" i="3"/>
  <c r="J153" i="3"/>
  <c r="F158" i="3"/>
  <c r="F157" i="3"/>
  <c r="F159" i="3"/>
  <c r="F160" i="3"/>
  <c r="M161" i="3"/>
  <c r="M162" i="3"/>
  <c r="J165" i="3"/>
  <c r="J166" i="3"/>
  <c r="M166" i="3"/>
  <c r="M167" i="3"/>
  <c r="F190" i="3"/>
  <c r="F189" i="3"/>
  <c r="F54" i="3"/>
  <c r="F79" i="3"/>
  <c r="F145" i="3"/>
  <c r="F149" i="3"/>
  <c r="F150" i="3"/>
  <c r="F152" i="3"/>
  <c r="M151" i="3"/>
  <c r="J154" i="3"/>
  <c r="J158" i="3"/>
  <c r="J184" i="3"/>
  <c r="J183" i="3"/>
  <c r="F186" i="3"/>
  <c r="F213" i="3"/>
  <c r="F214" i="3"/>
  <c r="J159" i="3"/>
  <c r="K51" i="6"/>
  <c r="L51" i="6" s="1"/>
  <c r="J163" i="3"/>
  <c r="K76" i="6"/>
  <c r="F208" i="3"/>
  <c r="J235" i="3"/>
  <c r="J234" i="3"/>
  <c r="M236" i="3"/>
  <c r="J160" i="3"/>
  <c r="E47" i="6"/>
  <c r="F156" i="3"/>
  <c r="M158" i="3"/>
  <c r="M169" i="3"/>
  <c r="F165" i="3"/>
  <c r="J173" i="3"/>
  <c r="F182" i="3"/>
  <c r="M184" i="3"/>
  <c r="E82" i="6"/>
  <c r="J229" i="3"/>
  <c r="J230" i="3"/>
  <c r="M233" i="3"/>
  <c r="M173" i="3"/>
  <c r="E57" i="6"/>
  <c r="F57" i="6" s="1"/>
  <c r="F171" i="3"/>
  <c r="F170" i="3"/>
  <c r="M171" i="3"/>
  <c r="M172" i="3"/>
  <c r="K61" i="6"/>
  <c r="L61" i="6" s="1"/>
  <c r="M182" i="3"/>
  <c r="M180" i="3"/>
  <c r="M179" i="3"/>
  <c r="K75" i="6"/>
  <c r="M189" i="3"/>
  <c r="M188" i="3"/>
  <c r="J190" i="3"/>
  <c r="J191" i="3"/>
  <c r="F193" i="3"/>
  <c r="K84" i="6"/>
  <c r="F202" i="3"/>
  <c r="F203" i="3"/>
  <c r="M206" i="3"/>
  <c r="K103" i="6"/>
  <c r="J224" i="3"/>
  <c r="J223" i="3"/>
  <c r="K113" i="6"/>
  <c r="L114" i="6" s="1"/>
  <c r="E88" i="6"/>
  <c r="M200" i="3"/>
  <c r="M199" i="3"/>
  <c r="M204" i="3"/>
  <c r="J207" i="3"/>
  <c r="J208" i="3"/>
  <c r="J219" i="3"/>
  <c r="J218" i="3"/>
  <c r="M222" i="3"/>
  <c r="E115" i="6"/>
  <c r="F233" i="3"/>
  <c r="F234" i="3"/>
  <c r="L127" i="6"/>
  <c r="E81" i="6"/>
  <c r="F196" i="3"/>
  <c r="F195" i="3"/>
  <c r="M195" i="3"/>
  <c r="M196" i="3"/>
  <c r="K86" i="6"/>
  <c r="K88" i="6"/>
  <c r="K96" i="6"/>
  <c r="F107" i="6"/>
  <c r="K108" i="6"/>
  <c r="M225" i="3"/>
  <c r="J226" i="3"/>
  <c r="J227" i="3"/>
  <c r="M229" i="3"/>
  <c r="K125" i="6"/>
  <c r="M202" i="3"/>
  <c r="K91" i="6"/>
  <c r="E95" i="6"/>
  <c r="F95" i="6" s="1"/>
  <c r="F209" i="3"/>
  <c r="J214" i="3"/>
  <c r="E105" i="6"/>
  <c r="F215" i="3"/>
  <c r="F218" i="3"/>
  <c r="F219" i="3"/>
  <c r="M219" i="3"/>
  <c r="M223" i="3"/>
  <c r="K112" i="6"/>
  <c r="F227" i="3"/>
  <c r="F226" i="3"/>
  <c r="E116" i="6"/>
  <c r="K121" i="6"/>
  <c r="M234" i="3"/>
  <c r="M237" i="3"/>
  <c r="J197" i="3"/>
  <c r="E96" i="6"/>
  <c r="F97" i="6" s="1"/>
  <c r="J211" i="3"/>
  <c r="F223" i="3"/>
  <c r="K120" i="6"/>
  <c r="J233" i="3"/>
  <c r="F115" i="6" l="1"/>
  <c r="Z48" i="4"/>
  <c r="AP153" i="5"/>
  <c r="H44" i="5"/>
  <c r="AJ34" i="5"/>
  <c r="AD72" i="5"/>
  <c r="T54" i="4"/>
  <c r="Z101" i="5"/>
  <c r="Z95" i="5"/>
  <c r="H86" i="5"/>
  <c r="T188" i="5"/>
  <c r="Z177" i="5"/>
  <c r="H138" i="5"/>
  <c r="N34" i="4"/>
  <c r="AD65" i="5"/>
  <c r="AD157" i="5"/>
  <c r="AJ168" i="5"/>
  <c r="L81" i="6"/>
  <c r="AJ189" i="5"/>
  <c r="Z152" i="5"/>
  <c r="AP101" i="5"/>
  <c r="AP169" i="5"/>
  <c r="L82" i="6"/>
  <c r="Z49" i="5"/>
  <c r="T189" i="5"/>
  <c r="N121" i="5"/>
  <c r="F9" i="6"/>
  <c r="Z123" i="5"/>
  <c r="AP150" i="5"/>
  <c r="AP48" i="5"/>
  <c r="L23" i="6"/>
  <c r="N151" i="5"/>
  <c r="L21" i="6"/>
  <c r="AP122" i="5"/>
  <c r="AJ112" i="5"/>
  <c r="N138" i="5"/>
  <c r="N158" i="5"/>
  <c r="AD109" i="5"/>
  <c r="Z48" i="5"/>
  <c r="AJ106" i="5"/>
  <c r="AJ33" i="5"/>
  <c r="L14" i="6"/>
  <c r="AV167" i="5"/>
  <c r="AJ163" i="5"/>
  <c r="Z53" i="4"/>
  <c r="T116" i="5"/>
  <c r="T49" i="4"/>
  <c r="AJ44" i="5"/>
  <c r="AP60" i="5"/>
  <c r="AJ90" i="5"/>
  <c r="Z119" i="5"/>
  <c r="L98" i="6"/>
  <c r="F75" i="6"/>
  <c r="L83" i="6"/>
  <c r="L69" i="6"/>
  <c r="F127" i="6"/>
  <c r="L78" i="6"/>
  <c r="F65" i="6"/>
  <c r="L70" i="6"/>
  <c r="F13" i="6"/>
  <c r="F81" i="6"/>
  <c r="F60" i="6"/>
  <c r="F10" i="6"/>
  <c r="F68" i="6"/>
  <c r="F22" i="6"/>
  <c r="F15" i="6"/>
  <c r="F17" i="6"/>
  <c r="F43" i="6"/>
  <c r="F42" i="6"/>
  <c r="L73" i="6"/>
  <c r="AJ152" i="5"/>
  <c r="AJ127" i="5"/>
  <c r="H111" i="5"/>
  <c r="T175" i="5"/>
  <c r="AD114" i="5"/>
  <c r="AD81" i="5"/>
  <c r="AJ52" i="5"/>
  <c r="Z166" i="5"/>
  <c r="Z194" i="5"/>
  <c r="AD170" i="5"/>
  <c r="N126" i="5"/>
  <c r="AJ48" i="5"/>
  <c r="AJ130" i="5"/>
  <c r="AP175" i="5"/>
  <c r="AP174" i="5"/>
  <c r="AD171" i="5"/>
  <c r="AD82" i="5"/>
  <c r="H144" i="5"/>
  <c r="Z130" i="5"/>
  <c r="H195" i="5"/>
  <c r="Z94" i="5"/>
  <c r="AJ150" i="5"/>
  <c r="AP106" i="5"/>
  <c r="H170" i="5"/>
  <c r="AP112" i="5"/>
  <c r="AJ53" i="5"/>
  <c r="H193" i="5"/>
  <c r="H112" i="5"/>
  <c r="Z83" i="5"/>
  <c r="AV161" i="5"/>
  <c r="AJ132" i="5"/>
  <c r="N176" i="5"/>
  <c r="AJ135" i="5"/>
  <c r="AJ73" i="5"/>
  <c r="T53" i="4"/>
  <c r="AD95" i="5"/>
  <c r="N191" i="5"/>
  <c r="AP127" i="5"/>
  <c r="Z47" i="5"/>
  <c r="AP94" i="5"/>
  <c r="L74" i="6"/>
  <c r="T150" i="5"/>
  <c r="F122" i="6"/>
  <c r="N129" i="5"/>
  <c r="AD115" i="5"/>
  <c r="N193" i="5"/>
  <c r="AD69" i="5"/>
  <c r="Z45" i="5"/>
  <c r="H107" i="5"/>
  <c r="AP137" i="5"/>
  <c r="F63" i="6"/>
  <c r="L12" i="6"/>
  <c r="N68" i="5"/>
  <c r="AD151" i="5"/>
  <c r="AP35" i="5"/>
  <c r="AP162" i="5"/>
  <c r="Z131" i="5"/>
  <c r="AJ49" i="5"/>
  <c r="AJ111" i="5"/>
  <c r="T78" i="5"/>
  <c r="N107" i="5"/>
  <c r="AP156" i="5"/>
  <c r="L45" i="6"/>
  <c r="F54" i="6"/>
  <c r="T52" i="4"/>
  <c r="AP117" i="5"/>
  <c r="AP131" i="5"/>
  <c r="AP132" i="5"/>
  <c r="F108" i="6"/>
  <c r="T33" i="4"/>
  <c r="Z143" i="5"/>
  <c r="AP64" i="5"/>
  <c r="AD191" i="5"/>
  <c r="AD111" i="5"/>
  <c r="Z96" i="5"/>
  <c r="N177" i="5"/>
  <c r="N134" i="5"/>
  <c r="AD87" i="5"/>
  <c r="Z142" i="5"/>
  <c r="T176" i="5"/>
  <c r="AP84" i="5"/>
  <c r="AD184" i="5"/>
  <c r="H128" i="5"/>
  <c r="AP53" i="5"/>
  <c r="AD63" i="5"/>
  <c r="AP75" i="5"/>
  <c r="L122" i="6"/>
  <c r="F49" i="6"/>
  <c r="Z155" i="5"/>
  <c r="Z52" i="4"/>
  <c r="F55" i="6"/>
  <c r="H141" i="5"/>
  <c r="H172" i="5"/>
  <c r="AP136" i="5"/>
  <c r="AP50" i="5"/>
  <c r="AP151" i="5"/>
  <c r="N136" i="5"/>
  <c r="H173" i="5"/>
  <c r="AP121" i="5"/>
  <c r="AJ159" i="5"/>
  <c r="T183" i="5"/>
  <c r="L123" i="6"/>
  <c r="F62" i="6"/>
  <c r="AP52" i="5"/>
  <c r="N148" i="5"/>
  <c r="AJ160" i="5"/>
  <c r="AJ98" i="5"/>
  <c r="AP65" i="5"/>
  <c r="AP145" i="5"/>
  <c r="AJ99" i="5"/>
  <c r="T59" i="5"/>
  <c r="L103" i="6"/>
  <c r="AJ75" i="5"/>
  <c r="Z165" i="5"/>
  <c r="AP139" i="5"/>
  <c r="AJ83" i="5"/>
  <c r="AJ77" i="5"/>
  <c r="F51" i="6"/>
  <c r="AJ182" i="5"/>
  <c r="H80" i="5"/>
  <c r="H182" i="5"/>
  <c r="Z171" i="5"/>
  <c r="AP123" i="5"/>
  <c r="L90" i="6"/>
  <c r="T179" i="5"/>
  <c r="Z54" i="5"/>
  <c r="AJ71" i="5"/>
  <c r="N125" i="5"/>
  <c r="H147" i="5"/>
  <c r="F109" i="6"/>
  <c r="T187" i="5"/>
  <c r="N63" i="5"/>
  <c r="AP143" i="5"/>
  <c r="H126" i="5"/>
  <c r="N87" i="5"/>
  <c r="AJ85" i="5"/>
  <c r="Z124" i="5"/>
  <c r="L17" i="6"/>
  <c r="L11" i="6"/>
  <c r="F126" i="6"/>
  <c r="AP148" i="5"/>
  <c r="AP147" i="5"/>
  <c r="AJ146" i="5"/>
  <c r="AJ147" i="5"/>
  <c r="AP88" i="5"/>
  <c r="T68" i="5"/>
  <c r="Z104" i="5"/>
  <c r="Z102" i="5"/>
  <c r="N137" i="5"/>
  <c r="AP49" i="5"/>
  <c r="Z86" i="5"/>
  <c r="H46" i="4"/>
  <c r="L86" i="6"/>
  <c r="L18" i="6"/>
  <c r="AP68" i="5"/>
  <c r="T83" i="5"/>
  <c r="N156" i="5"/>
  <c r="F53" i="6"/>
  <c r="L34" i="6"/>
  <c r="AP103" i="5"/>
  <c r="T42" i="4"/>
  <c r="N37" i="4"/>
  <c r="AJ100" i="5"/>
  <c r="Z44" i="4"/>
  <c r="L9" i="6"/>
  <c r="AP178" i="5"/>
  <c r="AJ177" i="5"/>
  <c r="H46" i="5"/>
  <c r="AP146" i="5"/>
  <c r="Z183" i="5"/>
  <c r="N178" i="5"/>
  <c r="H160" i="5"/>
  <c r="H64" i="5"/>
  <c r="Z118" i="5"/>
  <c r="AJ45" i="5"/>
  <c r="H117" i="5"/>
  <c r="AP126" i="5"/>
  <c r="H92" i="5"/>
  <c r="H63" i="5"/>
  <c r="N146" i="5"/>
  <c r="H140" i="5"/>
  <c r="H131" i="5"/>
  <c r="F67" i="6"/>
  <c r="AP140" i="5"/>
  <c r="AP120" i="5"/>
  <c r="N124" i="5"/>
  <c r="H159" i="5"/>
  <c r="AJ81" i="5"/>
  <c r="Z113" i="5"/>
  <c r="N43" i="4"/>
  <c r="AJ122" i="5"/>
  <c r="L71" i="6"/>
  <c r="T182" i="5"/>
  <c r="Z158" i="5"/>
  <c r="H84" i="5"/>
  <c r="N44" i="5"/>
  <c r="T40" i="4"/>
  <c r="AJ84" i="5"/>
  <c r="AP36" i="5"/>
  <c r="L75" i="6"/>
  <c r="F102" i="6"/>
  <c r="L19" i="6"/>
  <c r="L33" i="6"/>
  <c r="L101" i="6"/>
  <c r="F72" i="6"/>
  <c r="F120" i="6"/>
  <c r="F104" i="6"/>
  <c r="L112" i="6"/>
  <c r="L117" i="6"/>
  <c r="L106" i="6"/>
  <c r="L119" i="6"/>
  <c r="F56" i="6"/>
  <c r="F123" i="6"/>
  <c r="AJ57" i="5"/>
  <c r="AJ56" i="5"/>
  <c r="AJ181" i="5"/>
  <c r="H48" i="5"/>
  <c r="T143" i="5"/>
  <c r="T165" i="5"/>
  <c r="Z161" i="5"/>
  <c r="H104" i="5"/>
  <c r="Z180" i="5"/>
  <c r="Z172" i="5"/>
  <c r="L118" i="6"/>
  <c r="AP144" i="5"/>
  <c r="AV166" i="5"/>
  <c r="L102" i="6"/>
  <c r="N145" i="5"/>
  <c r="H42" i="4"/>
  <c r="AJ192" i="5"/>
  <c r="L10" i="6"/>
  <c r="N142" i="5"/>
  <c r="F103" i="6"/>
  <c r="L35" i="6"/>
  <c r="AP37" i="5"/>
  <c r="H103" i="5"/>
  <c r="Z108" i="5"/>
  <c r="L95" i="6"/>
  <c r="T41" i="4"/>
  <c r="H72" i="5"/>
  <c r="T144" i="5"/>
  <c r="H101" i="5"/>
  <c r="AJ50" i="5"/>
  <c r="F86" i="6"/>
  <c r="N45" i="4"/>
  <c r="AP109" i="5"/>
  <c r="Z80" i="5"/>
  <c r="L84" i="6"/>
  <c r="F73" i="6"/>
  <c r="N102" i="5"/>
  <c r="H91" i="5"/>
  <c r="Z186" i="5"/>
  <c r="H98" i="5"/>
  <c r="L64" i="6"/>
  <c r="Z46" i="5"/>
  <c r="F125" i="6"/>
  <c r="H127" i="5"/>
  <c r="Z62" i="5"/>
  <c r="N128" i="5"/>
  <c r="Z140" i="5"/>
  <c r="AP179" i="5"/>
  <c r="AJ55" i="5"/>
  <c r="F41" i="6"/>
  <c r="T134" i="5"/>
  <c r="N74" i="5"/>
  <c r="N79" i="5"/>
  <c r="Z150" i="5"/>
  <c r="AP59" i="5"/>
  <c r="H94" i="5"/>
  <c r="H135" i="5"/>
  <c r="H108" i="5"/>
  <c r="L96" i="6"/>
  <c r="Z182" i="5"/>
  <c r="AP45" i="5"/>
  <c r="AJ87" i="5"/>
  <c r="Z56" i="4"/>
  <c r="H129" i="5"/>
  <c r="H53" i="5"/>
  <c r="AP51" i="5"/>
  <c r="N88" i="5"/>
  <c r="H106" i="5"/>
  <c r="AJ89" i="5"/>
  <c r="AJ105" i="5"/>
  <c r="AJ51" i="5"/>
  <c r="L93" i="6"/>
  <c r="T43" i="4"/>
  <c r="N130" i="5"/>
  <c r="AP42" i="5"/>
  <c r="T52" i="5"/>
  <c r="H52" i="5"/>
  <c r="T161" i="5"/>
  <c r="Z67" i="5"/>
  <c r="T141" i="5"/>
  <c r="AP167" i="5"/>
  <c r="AP141" i="5"/>
  <c r="H71" i="5"/>
  <c r="N113" i="5"/>
  <c r="H196" i="5"/>
  <c r="L80" i="6"/>
  <c r="AJ54" i="5"/>
  <c r="N45" i="5"/>
  <c r="Z173" i="5"/>
  <c r="Z50" i="5"/>
  <c r="N53" i="5"/>
  <c r="AJ141" i="5"/>
  <c r="F85" i="6"/>
  <c r="L59" i="6"/>
  <c r="L105" i="6"/>
  <c r="H75" i="5"/>
  <c r="H95" i="5"/>
  <c r="AJ70" i="5"/>
  <c r="N33" i="4"/>
  <c r="H93" i="5"/>
  <c r="L63" i="6"/>
  <c r="AP54" i="5"/>
  <c r="L49" i="6"/>
  <c r="F116" i="6"/>
  <c r="F61" i="6"/>
  <c r="F118" i="6"/>
  <c r="L58" i="6"/>
  <c r="L31" i="6"/>
  <c r="L111" i="6"/>
  <c r="F113" i="6"/>
  <c r="L15" i="6"/>
  <c r="L16" i="6"/>
  <c r="F66" i="6"/>
  <c r="Z169" i="5"/>
  <c r="N183" i="5"/>
  <c r="H174" i="5"/>
  <c r="H76" i="5"/>
  <c r="AP57" i="5"/>
  <c r="L72" i="6"/>
  <c r="AP39" i="5"/>
  <c r="H99" i="5"/>
  <c r="H164" i="5"/>
  <c r="H60" i="5"/>
  <c r="AP38" i="5"/>
  <c r="F90" i="6"/>
  <c r="N181" i="5"/>
  <c r="F99" i="6"/>
  <c r="H88" i="5"/>
  <c r="F111" i="6"/>
  <c r="Z146" i="5"/>
  <c r="H54" i="5"/>
  <c r="AP33" i="5"/>
  <c r="AJ40" i="5"/>
  <c r="AJ76" i="5"/>
  <c r="AP163" i="5"/>
  <c r="N78" i="5"/>
  <c r="AJ32" i="5"/>
  <c r="AP164" i="5"/>
  <c r="AJ68" i="5"/>
  <c r="T149" i="5"/>
  <c r="N187" i="5"/>
  <c r="Z129" i="5"/>
  <c r="L30" i="6"/>
  <c r="L29" i="6"/>
  <c r="AP34" i="5"/>
  <c r="L91" i="6"/>
  <c r="L60" i="6"/>
  <c r="T85" i="5"/>
  <c r="AP165" i="5"/>
  <c r="L55" i="6"/>
  <c r="H105" i="5"/>
  <c r="F80" i="6"/>
  <c r="L43" i="6"/>
  <c r="AJ41" i="5"/>
  <c r="AJ186" i="5"/>
  <c r="N86" i="5"/>
  <c r="N159" i="5"/>
  <c r="H166" i="5"/>
  <c r="H102" i="5"/>
  <c r="H113" i="5"/>
  <c r="T113" i="5"/>
  <c r="F45" i="6"/>
  <c r="F88" i="6"/>
  <c r="T55" i="5"/>
  <c r="AP58" i="5"/>
  <c r="H67" i="5"/>
  <c r="H65" i="5"/>
  <c r="H96" i="5"/>
  <c r="H97" i="5"/>
  <c r="L54" i="6"/>
  <c r="T160" i="5"/>
  <c r="T159" i="5"/>
  <c r="L120" i="6"/>
  <c r="F44" i="6"/>
  <c r="Z175" i="5"/>
  <c r="Z122" i="5"/>
  <c r="Z121" i="5"/>
  <c r="H179" i="5"/>
  <c r="H180" i="5"/>
  <c r="L56" i="6"/>
  <c r="F112" i="6"/>
  <c r="AJ86" i="5"/>
  <c r="L47" i="6"/>
  <c r="F52" i="6"/>
  <c r="Z30" i="4"/>
  <c r="Z31" i="4"/>
  <c r="Z189" i="5"/>
  <c r="Z188" i="5"/>
  <c r="H161" i="5"/>
  <c r="H162" i="5"/>
  <c r="N93" i="5"/>
  <c r="N94" i="5"/>
  <c r="Z128" i="5"/>
  <c r="Z127" i="5"/>
  <c r="L52" i="6"/>
  <c r="F84" i="6"/>
  <c r="AJ170" i="5"/>
  <c r="AD162" i="5"/>
  <c r="Z40" i="4"/>
  <c r="Z132" i="5"/>
  <c r="T151" i="5"/>
  <c r="T152" i="5"/>
  <c r="N96" i="5"/>
  <c r="N95" i="5"/>
  <c r="AJ153" i="5"/>
  <c r="F70" i="6"/>
  <c r="F87" i="6"/>
  <c r="T98" i="5"/>
  <c r="Z151" i="5"/>
  <c r="Z55" i="5"/>
  <c r="AJ35" i="5"/>
  <c r="Z141" i="5"/>
  <c r="L24" i="6"/>
  <c r="Z33" i="4"/>
  <c r="Z34" i="4"/>
  <c r="T174" i="5"/>
  <c r="T86" i="5"/>
  <c r="F91" i="6"/>
  <c r="T157" i="5"/>
  <c r="Z147" i="5"/>
  <c r="AJ62" i="5"/>
  <c r="H167" i="5"/>
  <c r="T146" i="5"/>
  <c r="T147" i="5"/>
  <c r="H185" i="5"/>
  <c r="H188" i="5"/>
  <c r="H189" i="5"/>
  <c r="AP185" i="5"/>
  <c r="AP186" i="5"/>
  <c r="AJ123" i="5"/>
  <c r="AJ39" i="5"/>
  <c r="F46" i="6"/>
  <c r="AV162" i="5"/>
  <c r="AJ187" i="5"/>
  <c r="AV168" i="5"/>
  <c r="L48" i="6"/>
  <c r="N170" i="5"/>
  <c r="H183" i="5"/>
  <c r="Z144" i="5"/>
  <c r="Z145" i="5"/>
  <c r="AJ156" i="5"/>
  <c r="AJ144" i="5"/>
  <c r="AJ143" i="5"/>
  <c r="F119" i="6"/>
  <c r="AD57" i="4"/>
  <c r="AD56" i="4"/>
  <c r="N50" i="5"/>
  <c r="N51" i="5"/>
  <c r="N61" i="5"/>
  <c r="N62" i="5"/>
  <c r="L99" i="6"/>
  <c r="AJ133" i="5"/>
  <c r="AJ134" i="5"/>
  <c r="L124" i="6"/>
  <c r="F83" i="6"/>
  <c r="AP40" i="5"/>
  <c r="AP193" i="5"/>
  <c r="AP192" i="5"/>
  <c r="AJ116" i="5"/>
  <c r="AJ115" i="5"/>
  <c r="AJ74" i="5"/>
  <c r="H58" i="5"/>
  <c r="H59" i="5"/>
  <c r="N118" i="5"/>
  <c r="AJ65" i="5"/>
  <c r="N38" i="4"/>
  <c r="F94" i="6"/>
  <c r="F93" i="6"/>
  <c r="AP154" i="5"/>
  <c r="T169" i="5"/>
  <c r="T170" i="5"/>
  <c r="AP159" i="5"/>
  <c r="AP158" i="5"/>
  <c r="AJ126" i="5"/>
  <c r="AJ125" i="5"/>
  <c r="AJ114" i="5"/>
  <c r="AJ113" i="5"/>
  <c r="T171" i="5"/>
  <c r="AJ190" i="5"/>
  <c r="AJ72" i="5"/>
  <c r="T45" i="5"/>
  <c r="T44" i="5"/>
  <c r="AJ118" i="5"/>
  <c r="L46" i="6"/>
  <c r="AP189" i="5"/>
  <c r="T47" i="5"/>
  <c r="T48" i="5"/>
  <c r="F117" i="6"/>
  <c r="T123" i="5"/>
  <c r="T89" i="5"/>
  <c r="T50" i="5"/>
  <c r="AJ36" i="5"/>
  <c r="T104" i="5"/>
  <c r="T103" i="5"/>
  <c r="AJ92" i="5"/>
  <c r="AJ91" i="5"/>
  <c r="T178" i="5"/>
  <c r="AJ88" i="5"/>
  <c r="AJ110" i="5"/>
  <c r="AJ109" i="5"/>
  <c r="L100" i="6"/>
  <c r="AJ80" i="5"/>
  <c r="N117" i="5"/>
  <c r="F78" i="6"/>
  <c r="F110" i="6"/>
  <c r="F47" i="6"/>
  <c r="F101" i="6"/>
  <c r="F64" i="6"/>
  <c r="F50" i="6"/>
  <c r="F77" i="6"/>
  <c r="AJ185" i="5"/>
  <c r="AJ184" i="5"/>
  <c r="AJ139" i="5"/>
  <c r="AJ140" i="5"/>
  <c r="AJ101" i="5"/>
  <c r="AJ102" i="5"/>
  <c r="N82" i="5"/>
  <c r="H55" i="5"/>
  <c r="H56" i="5"/>
  <c r="AV164" i="5"/>
  <c r="T84" i="5"/>
  <c r="N89" i="5"/>
  <c r="N65" i="5"/>
  <c r="N66" i="5"/>
  <c r="T54" i="5"/>
  <c r="N99" i="5"/>
  <c r="N98" i="5"/>
  <c r="L28" i="6"/>
  <c r="L27" i="6"/>
  <c r="AD155" i="5"/>
  <c r="AD154" i="5"/>
  <c r="F89" i="6"/>
  <c r="T97" i="5"/>
  <c r="AP160" i="5"/>
  <c r="AP161" i="5"/>
  <c r="N75" i="5"/>
  <c r="N76" i="5"/>
  <c r="L85" i="6"/>
  <c r="F71" i="6"/>
  <c r="F124" i="6"/>
  <c r="H158" i="5"/>
  <c r="Z57" i="5"/>
  <c r="L116" i="6"/>
  <c r="Z157" i="5"/>
  <c r="Z156" i="5"/>
  <c r="AJ120" i="5"/>
  <c r="AJ119" i="5"/>
  <c r="N52" i="5"/>
  <c r="N48" i="5"/>
  <c r="N49" i="5"/>
  <c r="T80" i="5"/>
  <c r="T81" i="5"/>
  <c r="AJ136" i="5"/>
  <c r="T91" i="5"/>
  <c r="T90" i="5"/>
  <c r="T119" i="5"/>
  <c r="T118" i="5"/>
  <c r="N58" i="4"/>
  <c r="N57" i="4"/>
  <c r="H45" i="4"/>
  <c r="H44" i="4"/>
  <c r="H36" i="4"/>
  <c r="H37" i="4"/>
  <c r="L108" i="6"/>
  <c r="L109" i="6"/>
  <c r="L97" i="6"/>
  <c r="F48" i="6"/>
  <c r="N53" i="4"/>
  <c r="N108" i="5"/>
  <c r="N109" i="5"/>
  <c r="T71" i="5"/>
  <c r="T72" i="5"/>
  <c r="N105" i="5"/>
  <c r="N106" i="5"/>
  <c r="T135" i="5"/>
  <c r="T136" i="5"/>
  <c r="T93" i="5"/>
  <c r="T92" i="5"/>
  <c r="N70" i="5"/>
  <c r="Z179" i="5"/>
  <c r="Z178" i="5"/>
  <c r="T133" i="5"/>
  <c r="L66" i="6"/>
  <c r="L67" i="6"/>
  <c r="AJ158" i="5"/>
  <c r="AJ157" i="5"/>
  <c r="T77" i="5"/>
  <c r="T63" i="5"/>
  <c r="T64" i="5"/>
  <c r="Z58" i="4"/>
  <c r="Z57" i="4"/>
  <c r="Z54" i="4"/>
  <c r="Z55" i="4"/>
  <c r="Z50" i="4"/>
  <c r="Z51" i="4"/>
  <c r="T46" i="4"/>
  <c r="T47" i="4"/>
  <c r="N39" i="4"/>
  <c r="N40" i="4"/>
  <c r="T39" i="4"/>
  <c r="T38" i="4"/>
  <c r="T37" i="4"/>
  <c r="T36" i="4"/>
  <c r="N27" i="4"/>
  <c r="N28" i="4"/>
  <c r="F105" i="6"/>
  <c r="F106" i="6"/>
  <c r="T107" i="5"/>
  <c r="T108" i="5"/>
  <c r="N69" i="5"/>
  <c r="H39" i="4"/>
  <c r="H38" i="4"/>
  <c r="T31" i="4"/>
  <c r="T30" i="4"/>
  <c r="F96" i="6"/>
  <c r="L121" i="6"/>
  <c r="L113" i="6"/>
  <c r="L87" i="6"/>
  <c r="L76" i="6"/>
  <c r="L39" i="6"/>
  <c r="L77" i="6"/>
  <c r="N116" i="5"/>
  <c r="N115" i="5"/>
  <c r="N172" i="5"/>
  <c r="N171" i="5"/>
  <c r="T101" i="5"/>
  <c r="T102" i="5"/>
  <c r="T88" i="5"/>
  <c r="T87" i="5"/>
  <c r="T140" i="5"/>
  <c r="T139" i="5"/>
  <c r="T110" i="5"/>
  <c r="T111" i="5"/>
  <c r="AV170" i="5"/>
  <c r="AV169" i="5"/>
  <c r="T130" i="5"/>
  <c r="T129" i="5"/>
  <c r="T117" i="5"/>
  <c r="Z44" i="5"/>
  <c r="N55" i="4"/>
  <c r="N54" i="4"/>
  <c r="N51" i="4"/>
  <c r="N50" i="4"/>
  <c r="H50" i="4"/>
  <c r="H49" i="4"/>
  <c r="N48" i="4"/>
  <c r="N49" i="4"/>
  <c r="T45" i="4"/>
  <c r="T44" i="4"/>
  <c r="N41" i="4"/>
  <c r="N42" i="4"/>
  <c r="H34" i="4"/>
  <c r="H35" i="4"/>
  <c r="N32" i="4"/>
  <c r="N31" i="4"/>
  <c r="H30" i="4"/>
  <c r="H31" i="4"/>
  <c r="T75" i="5"/>
  <c r="N103" i="5"/>
  <c r="L126" i="6"/>
  <c r="L125" i="6"/>
  <c r="N111" i="5"/>
  <c r="N112" i="5"/>
  <c r="N36" i="4"/>
  <c r="N35" i="4"/>
  <c r="H53" i="4"/>
  <c r="H54" i="4"/>
  <c r="H41" i="4"/>
  <c r="H40" i="4"/>
  <c r="L89" i="6"/>
  <c r="L88" i="6"/>
  <c r="F82" i="6"/>
  <c r="L62" i="6"/>
  <c r="L104" i="6"/>
  <c r="L92" i="6"/>
  <c r="F58" i="6"/>
  <c r="H153" i="5"/>
  <c r="H154" i="5"/>
  <c r="T124" i="5"/>
  <c r="Z137" i="5"/>
  <c r="Z136" i="5"/>
  <c r="H149" i="5"/>
  <c r="H148" i="5"/>
  <c r="T126" i="5"/>
  <c r="T125" i="5"/>
  <c r="T114" i="5"/>
  <c r="T115" i="5"/>
  <c r="N149" i="5"/>
  <c r="N150" i="5"/>
  <c r="T132" i="5"/>
  <c r="N72" i="5"/>
  <c r="N71" i="5"/>
  <c r="T142" i="5"/>
  <c r="T65" i="5"/>
  <c r="T66" i="5"/>
  <c r="Z58" i="5"/>
  <c r="Z59" i="5"/>
  <c r="N57" i="5"/>
  <c r="N58" i="5"/>
  <c r="H51" i="4"/>
  <c r="H52" i="4"/>
  <c r="Z45" i="4"/>
  <c r="Z46" i="4"/>
  <c r="T34" i="4"/>
  <c r="T35" i="4"/>
  <c r="H33" i="4"/>
  <c r="H32" i="4"/>
  <c r="H43" i="4"/>
  <c r="T79" i="5"/>
  <c r="N119" i="5"/>
  <c r="T61" i="5"/>
</calcChain>
</file>

<file path=xl/sharedStrings.xml><?xml version="1.0" encoding="utf-8"?>
<sst xmlns="http://schemas.openxmlformats.org/spreadsheetml/2006/main" count="260" uniqueCount="69">
  <si>
    <t xml:space="preserve">                   HISTORICAL TREND OF PETROLEUM PRICES IN GHANA</t>
  </si>
  <si>
    <t xml:space="preserve">   HISTORICAL TREND OF PETROLEUM PRICES IN GHANA</t>
  </si>
  <si>
    <t>UNITS: All Products in CEDIS/LITRE except LPG CEDIS/Kg (for Jan 14, 1989 - July 1, 2007)</t>
  </si>
  <si>
    <t xml:space="preserve">Old Ghana Cedis </t>
  </si>
  <si>
    <t>New Ghana Cedi -  GHS 1= ¢10,000</t>
  </si>
  <si>
    <t>EFFECTIVE</t>
  </si>
  <si>
    <t>ExCh Rate</t>
  </si>
  <si>
    <t>PREMIUM GASOLINE</t>
  </si>
  <si>
    <t>GAS OIL</t>
  </si>
  <si>
    <t>KEROSINE</t>
  </si>
  <si>
    <t>LPG</t>
  </si>
  <si>
    <t>RFO</t>
  </si>
  <si>
    <t>DATE</t>
  </si>
  <si>
    <t>EX-REF</t>
  </si>
  <si>
    <t>TAXES</t>
  </si>
  <si>
    <t>MARGINS</t>
  </si>
  <si>
    <t>TAX+MGN</t>
  </si>
  <si>
    <t>EX-PUMP</t>
  </si>
  <si>
    <t>CHANGES</t>
  </si>
  <si>
    <t>EX-DEPOT</t>
  </si>
  <si>
    <t>Cedis/US$</t>
  </si>
  <si>
    <t>¢/Lt</t>
  </si>
  <si>
    <t>%</t>
  </si>
  <si>
    <t>¢/kg</t>
  </si>
  <si>
    <t>NOTE: THE NEW GHANA CEDI WAS INTRODUCED ON 1ST  JULY, 2007. THE CURRENCY FOR PRICING WAS THEREFORE REVISED TO REFLECT THE NEW CURRENCY</t>
  </si>
  <si>
    <t>UNITS: All Products in Gp/Lt except LPG Gp/Kg</t>
  </si>
  <si>
    <t>HISTORICAL TREND OF PETROLEUM PRICES IN GHANA (Aug 2007 - Jun 2015)</t>
  </si>
  <si>
    <t>HISTORICAL TREND OF PETROLEUM PRICES IN GHANA</t>
  </si>
  <si>
    <t>New Ghana Pesewas</t>
  </si>
  <si>
    <t>MGO LOCAL</t>
  </si>
  <si>
    <t>PREMIX</t>
  </si>
  <si>
    <t>GAS OIL MINES/RIG</t>
  </si>
  <si>
    <t>GHp/USc</t>
  </si>
  <si>
    <t>Gp/Lt</t>
  </si>
  <si>
    <t>Gp/kg</t>
  </si>
  <si>
    <t>NOTE: THE PRICE DEREGULATION POLICY TOOK EFFECT FROM 1ST JULY, 2015. AS A RESULT THE NPA CEASED FIXING AND PUBLISHING PRICES OF PETROLEUM PRODUCTS, WITH THE EXCEPTION OF PREMIX FUEL, RFO, ATK, MARINE GASOIL (FOREIGN), GASOIL MINES AND GASOIL RIG.</t>
  </si>
  <si>
    <t>HISTORICAL TREND OF PETROLEUM PRICES IN GHANA July 2015 - date)</t>
  </si>
  <si>
    <t>Historical Trend of Prices for Export Products (Jan 2011 to date)</t>
  </si>
  <si>
    <t>UNIT: All Products are in US Cents per Litre</t>
  </si>
  <si>
    <t>AVIATION FUEL (ATK)</t>
  </si>
  <si>
    <t>MARINE GASOIL (FOREIGN)</t>
  </si>
  <si>
    <t>GASOIL MINES/RIG</t>
  </si>
  <si>
    <t>Effective Date</t>
  </si>
  <si>
    <t>Exchange Rate</t>
  </si>
  <si>
    <t>Ex-Ref Price</t>
  </si>
  <si>
    <t>Excise Duty</t>
  </si>
  <si>
    <t>Ex-Depot Price</t>
  </si>
  <si>
    <t>Changes</t>
  </si>
  <si>
    <t>Gp/US Cent</t>
  </si>
  <si>
    <t>US Cents/Lt</t>
  </si>
  <si>
    <t xml:space="preserve">  </t>
  </si>
  <si>
    <t>NOTE: ALL TAXES, LEVIES AND MARGINS APPLICABLE TO REGULAR GASOIL ARE APPLICABLE TO MARINE GASOIL FOREIGN, GASOIL MINES AND GASOIL RIG AS WELL</t>
  </si>
  <si>
    <t>TAXES/LEVIES &amp; MARGINS APPLICABLE TO MARINE GASOIL (FOREIGN), GASOIL TO THE MINES &amp; RIG (EXCLUDING UPPF)</t>
  </si>
  <si>
    <t>COMPONENT</t>
  </si>
  <si>
    <t>MGO Foreign (GHp/Lt)</t>
  </si>
  <si>
    <t xml:space="preserve"> Gas Oil to Rig (GHp/Lt)</t>
  </si>
  <si>
    <t>Gasoil Mines (GHp/Lt)</t>
  </si>
  <si>
    <t>ENERGY DEBT RECOVERY LEVY</t>
  </si>
  <si>
    <t>ROAD FUND LEVY</t>
  </si>
  <si>
    <t>ENERGY FUND LEVY</t>
  </si>
  <si>
    <t>PRICE STABILIZATION AND RECOVERY LEVY</t>
  </si>
  <si>
    <t>SANITATION AND POLLUTION LEVY</t>
  </si>
  <si>
    <t>ENERGY SECTOR RECOVERY LEVY</t>
  </si>
  <si>
    <t>PRIMARY DISTRIBUTION MARGIN</t>
  </si>
  <si>
    <t>BOST MARGIN</t>
  </si>
  <si>
    <t>FUEL MARKING MARGIN</t>
  </si>
  <si>
    <t>SPECIAL PETROLEUM TAX</t>
  </si>
  <si>
    <t>MARKETERS MARGIN</t>
  </si>
  <si>
    <t xml:space="preserve">DEALERS (RETAILERS/OPERATORS) MARGIN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</si>
</sst>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1">
    <numFmt numFmtId="43" formatCode="_(* #,##0.00_);_(* \(#,##0.00\);_(* &quot;-&quot;??_);_(@_)"/>
    <numFmt numFmtId="164" formatCode="_-* #,##0.00_-;\-* #,##0.00_-;_-* &quot;-&quot;??_-;_-@_-"/>
    <numFmt numFmtId="165" formatCode="#,##0.0000"/>
    <numFmt numFmtId="166" formatCode="_-* #,##0.0000_-;\-* #,##0.0000_-;_-* &quot;-&quot;??_-;_-@_-"/>
    <numFmt numFmtId="167" formatCode="0.0000"/>
    <numFmt numFmtId="168" formatCode="_-* #,##0.000_-;\-* #,##0.000_-;_-* &quot;-&quot;??_-;_-@_-"/>
    <numFmt numFmtId="169" formatCode="0.0%"/>
    <numFmt numFmtId="170" formatCode="_(* #,##0.0000_);_(* \(#,##0.0000\);_(* &quot;-&quot;??_);_(@_)"/>
    <numFmt numFmtId="171" formatCode="0.000"/>
    <numFmt numFmtId="172" formatCode="[$-409]d\-mmm\-yy;@"/>
    <numFmt numFmtId="173" formatCode="_(* #,##0.0_);_(* \(#,##0.0\);_(* &quot;-&quot;??_);_(@_)"/>
  </numFmts>
  <fonts count="6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b/>
      <sz val="12"/>
      <color indexed="10"/>
      <name val="Arial"/>
      <family val="2"/>
    </font>
    <font>
      <b/>
      <sz val="14"/>
      <color indexed="12"/>
      <name val="Arial"/>
      <family val="2"/>
    </font>
    <font>
      <b/>
      <sz val="14"/>
      <color indexed="10"/>
      <name val="Arial"/>
      <family val="2"/>
    </font>
    <font>
      <b/>
      <sz val="14"/>
      <color indexed="14"/>
      <name val="Arial"/>
      <family val="2"/>
    </font>
    <font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b/>
      <sz val="10"/>
      <color indexed="14"/>
      <name val="Arial"/>
      <family val="2"/>
    </font>
    <font>
      <sz val="11"/>
      <color indexed="10"/>
      <name val="Arial"/>
      <family val="2"/>
    </font>
    <font>
      <sz val="11"/>
      <color indexed="12"/>
      <name val="Arial"/>
      <family val="2"/>
    </font>
    <font>
      <b/>
      <sz val="11"/>
      <color indexed="12"/>
      <name val="Arial"/>
      <family val="2"/>
    </font>
    <font>
      <b/>
      <sz val="11"/>
      <color indexed="10"/>
      <name val="Arial"/>
      <family val="2"/>
    </font>
    <font>
      <sz val="11"/>
      <color indexed="14"/>
      <name val="Arial"/>
      <family val="2"/>
    </font>
    <font>
      <b/>
      <sz val="11"/>
      <color indexed="14"/>
      <name val="Arial"/>
      <family val="2"/>
    </font>
    <font>
      <sz val="11"/>
      <color rgb="FFFF3300"/>
      <name val="Arial"/>
      <family val="2"/>
    </font>
    <font>
      <b/>
      <sz val="11"/>
      <color rgb="FFFF33CC"/>
      <name val="Arial"/>
      <family val="2"/>
    </font>
    <font>
      <b/>
      <sz val="11"/>
      <color theme="3"/>
      <name val="Arial"/>
      <family val="2"/>
    </font>
    <font>
      <sz val="11"/>
      <color rgb="FF0000FF"/>
      <name val="Arial"/>
      <family val="2"/>
    </font>
    <font>
      <b/>
      <sz val="11"/>
      <color rgb="FF0000FF"/>
      <name val="Arial"/>
      <family val="2"/>
    </font>
    <font>
      <b/>
      <sz val="10"/>
      <color theme="3"/>
      <name val="Arial"/>
      <family val="2"/>
    </font>
    <font>
      <b/>
      <sz val="10"/>
      <color theme="4" tint="-0.499984740745262"/>
      <name val="Arial"/>
      <family val="2"/>
    </font>
    <font>
      <sz val="10"/>
      <color theme="4" tint="-0.499984740745262"/>
      <name val="Arial"/>
      <family val="2"/>
    </font>
    <font>
      <b/>
      <sz val="11"/>
      <color theme="4" tint="-0.499984740745262"/>
      <name val="Arial"/>
      <family val="2"/>
    </font>
    <font>
      <sz val="10"/>
      <color rgb="FF3333FF"/>
      <name val="Arial"/>
      <family val="2"/>
    </font>
    <font>
      <sz val="10"/>
      <color rgb="FF0000FF"/>
      <name val="Arial"/>
      <family val="2"/>
    </font>
    <font>
      <sz val="10"/>
      <color theme="3"/>
      <name val="Arial"/>
      <family val="2"/>
    </font>
    <font>
      <b/>
      <sz val="14"/>
      <color theme="3"/>
      <name val="Arial"/>
      <family val="2"/>
    </font>
    <font>
      <b/>
      <sz val="14"/>
      <color rgb="FF0000FF"/>
      <name val="Arial"/>
      <family val="2"/>
    </font>
    <font>
      <b/>
      <sz val="10"/>
      <color rgb="FF0000FF"/>
      <name val="Arial"/>
      <family val="2"/>
    </font>
    <font>
      <sz val="11"/>
      <color rgb="FFFF00FF"/>
      <name val="Arial"/>
      <family val="2"/>
    </font>
    <font>
      <b/>
      <sz val="11"/>
      <color rgb="FFFF00FF"/>
      <name val="Arial"/>
      <family val="2"/>
    </font>
    <font>
      <sz val="11"/>
      <color rgb="FFFF33CC"/>
      <name val="Arial"/>
      <family val="2"/>
    </font>
    <font>
      <sz val="11"/>
      <color theme="4" tint="-0.499984740745262"/>
      <name val="Arial"/>
      <family val="2"/>
    </font>
    <font>
      <sz val="11"/>
      <color rgb="FF3333FF"/>
      <name val="Arial"/>
      <family val="2"/>
    </font>
    <font>
      <sz val="11"/>
      <color rgb="FFFF0000"/>
      <name val="Arial"/>
      <family val="2"/>
    </font>
    <font>
      <sz val="11"/>
      <color theme="1"/>
      <name val="Arial"/>
      <family val="2"/>
    </font>
    <font>
      <b/>
      <sz val="20"/>
      <color theme="1"/>
      <name val="Arial"/>
      <family val="2"/>
    </font>
    <font>
      <b/>
      <sz val="14"/>
      <color theme="1"/>
      <name val="Arial"/>
      <family val="2"/>
    </font>
    <font>
      <b/>
      <sz val="16"/>
      <color rgb="FF0000CC"/>
      <name val="Arial"/>
      <family val="2"/>
    </font>
    <font>
      <b/>
      <sz val="16"/>
      <color rgb="FFFF0000"/>
      <name val="Arial"/>
      <family val="2"/>
    </font>
    <font>
      <b/>
      <sz val="16"/>
      <color theme="8" tint="-0.499984740745262"/>
      <name val="Arial"/>
      <family val="2"/>
    </font>
    <font>
      <b/>
      <sz val="11"/>
      <name val="Arial"/>
      <family val="2"/>
    </font>
    <font>
      <b/>
      <sz val="11"/>
      <color rgb="FF0000CC"/>
      <name val="Arial"/>
      <family val="2"/>
    </font>
    <font>
      <b/>
      <sz val="11"/>
      <color rgb="FFFF0000"/>
      <name val="Arial"/>
      <family val="2"/>
    </font>
    <font>
      <b/>
      <sz val="11"/>
      <color theme="8" tint="-0.499984740745262"/>
      <name val="Arial"/>
      <family val="2"/>
    </font>
    <font>
      <sz val="11"/>
      <color rgb="FF0000CC"/>
      <name val="Arial"/>
      <family val="2"/>
    </font>
    <font>
      <sz val="11"/>
      <color theme="8" tint="-0.499984740745262"/>
      <name val="Arial"/>
      <family val="2"/>
    </font>
    <font>
      <b/>
      <sz val="11"/>
      <color theme="1"/>
      <name val="Arial"/>
      <family val="2"/>
    </font>
    <font>
      <sz val="11"/>
      <color theme="2" tint="-0.749992370372631"/>
      <name val="Arial"/>
      <family val="2"/>
    </font>
    <font>
      <b/>
      <sz val="14"/>
      <color theme="4" tint="-0.499984740745262"/>
      <name val="Arial"/>
      <family val="2"/>
    </font>
    <font>
      <b/>
      <sz val="14"/>
      <color rgb="FFFF0000"/>
      <name val="Arial"/>
      <family val="2"/>
    </font>
    <font>
      <b/>
      <i/>
      <sz val="11"/>
      <color rgb="FFFF00FF"/>
      <name val="Arial"/>
      <family val="2"/>
    </font>
    <font>
      <b/>
      <sz val="14"/>
      <color indexed="8"/>
      <name val="Arial"/>
      <family val="2"/>
    </font>
    <font>
      <b/>
      <sz val="11"/>
      <color indexed="8"/>
      <name val="Arial"/>
      <family val="2"/>
    </font>
    <font>
      <sz val="11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indexed="24"/>
      </patternFill>
    </fill>
    <fill>
      <patternFill patternType="solid">
        <fgColor indexed="22"/>
        <bgColor indexed="64"/>
      </patternFill>
    </fill>
  </fills>
  <borders count="18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43">
    <xf numFmtId="0" fontId="0" fillId="0" borderId="0" xfId="0"/>
    <xf numFmtId="0" fontId="2" fillId="0" borderId="3" xfId="0" applyFont="1" applyBorder="1"/>
    <xf numFmtId="49" fontId="3" fillId="0" borderId="3" xfId="0" applyNumberFormat="1" applyFont="1" applyBorder="1" applyAlignment="1">
      <alignment horizontal="left"/>
    </xf>
    <xf numFmtId="49" fontId="2" fillId="0" borderId="3" xfId="0" applyNumberFormat="1" applyFont="1" applyBorder="1" applyAlignment="1">
      <alignment horizontal="right"/>
    </xf>
    <xf numFmtId="0" fontId="2" fillId="0" borderId="4" xfId="0" applyFont="1" applyBorder="1"/>
    <xf numFmtId="0" fontId="2" fillId="0" borderId="0" xfId="0" applyFont="1"/>
    <xf numFmtId="49" fontId="4" fillId="0" borderId="0" xfId="0" applyNumberFormat="1" applyFont="1" applyAlignment="1">
      <alignment horizontal="centerContinuous"/>
    </xf>
    <xf numFmtId="0" fontId="3" fillId="0" borderId="0" xfId="0" applyFont="1" applyAlignment="1">
      <alignment horizontal="centerContinuous"/>
    </xf>
    <xf numFmtId="49" fontId="3" fillId="0" borderId="0" xfId="0" applyNumberFormat="1" applyFont="1" applyAlignment="1">
      <alignment horizontal="centerContinuous"/>
    </xf>
    <xf numFmtId="49" fontId="5" fillId="0" borderId="0" xfId="0" applyNumberFormat="1" applyFont="1" applyAlignment="1">
      <alignment horizontal="centerContinuous"/>
    </xf>
    <xf numFmtId="0" fontId="2" fillId="0" borderId="6" xfId="0" applyFont="1" applyBorder="1"/>
    <xf numFmtId="0" fontId="6" fillId="0" borderId="5" xfId="0" applyFont="1" applyBorder="1"/>
    <xf numFmtId="0" fontId="4" fillId="0" borderId="0" xfId="0" applyFont="1"/>
    <xf numFmtId="49" fontId="2" fillId="0" borderId="0" xfId="0" applyNumberFormat="1" applyFont="1" applyAlignment="1">
      <alignment horizontal="right"/>
    </xf>
    <xf numFmtId="0" fontId="4" fillId="0" borderId="2" xfId="0" applyFont="1" applyBorder="1"/>
    <xf numFmtId="0" fontId="7" fillId="0" borderId="3" xfId="0" applyFont="1" applyBorder="1" applyAlignment="1">
      <alignment horizontal="right"/>
    </xf>
    <xf numFmtId="49" fontId="8" fillId="0" borderId="4" xfId="0" applyNumberFormat="1" applyFont="1" applyBorder="1" applyAlignment="1">
      <alignment horizontal="centerContinuous"/>
    </xf>
    <xf numFmtId="49" fontId="8" fillId="0" borderId="2" xfId="0" applyNumberFormat="1" applyFont="1" applyBorder="1" applyAlignment="1">
      <alignment horizontal="centerContinuous"/>
    </xf>
    <xf numFmtId="49" fontId="8" fillId="0" borderId="3" xfId="0" applyNumberFormat="1" applyFont="1" applyBorder="1" applyAlignment="1">
      <alignment horizontal="centerContinuous"/>
    </xf>
    <xf numFmtId="49" fontId="8" fillId="0" borderId="0" xfId="0" applyNumberFormat="1" applyFont="1" applyAlignment="1">
      <alignment horizontal="centerContinuous"/>
    </xf>
    <xf numFmtId="0" fontId="11" fillId="0" borderId="0" xfId="0" applyFont="1"/>
    <xf numFmtId="0" fontId="4" fillId="0" borderId="5" xfId="0" applyFont="1" applyBorder="1" applyAlignment="1">
      <alignment horizontal="left"/>
    </xf>
    <xf numFmtId="0" fontId="12" fillId="0" borderId="0" xfId="0" applyFont="1" applyAlignment="1">
      <alignment horizontal="center"/>
    </xf>
    <xf numFmtId="49" fontId="13" fillId="0" borderId="5" xfId="0" applyNumberFormat="1" applyFont="1" applyBorder="1" applyAlignment="1">
      <alignment horizontal="right"/>
    </xf>
    <xf numFmtId="49" fontId="13" fillId="0" borderId="0" xfId="0" applyNumberFormat="1" applyFont="1" applyAlignment="1">
      <alignment horizontal="right"/>
    </xf>
    <xf numFmtId="49" fontId="13" fillId="0" borderId="6" xfId="0" applyNumberFormat="1" applyFont="1" applyBorder="1" applyAlignment="1">
      <alignment horizontal="right"/>
    </xf>
    <xf numFmtId="49" fontId="14" fillId="0" borderId="0" xfId="0" applyNumberFormat="1" applyFont="1" applyAlignment="1">
      <alignment horizontal="right"/>
    </xf>
    <xf numFmtId="0" fontId="4" fillId="0" borderId="7" xfId="0" applyFont="1" applyBorder="1" applyAlignment="1">
      <alignment horizontal="left"/>
    </xf>
    <xf numFmtId="0" fontId="12" fillId="0" borderId="8" xfId="0" applyFont="1" applyBorder="1" applyAlignment="1">
      <alignment horizontal="right"/>
    </xf>
    <xf numFmtId="49" fontId="13" fillId="0" borderId="7" xfId="0" applyNumberFormat="1" applyFont="1" applyBorder="1" applyAlignment="1">
      <alignment horizontal="right"/>
    </xf>
    <xf numFmtId="49" fontId="13" fillId="0" borderId="8" xfId="0" applyNumberFormat="1" applyFont="1" applyBorder="1" applyAlignment="1">
      <alignment horizontal="right"/>
    </xf>
    <xf numFmtId="49" fontId="13" fillId="0" borderId="9" xfId="0" applyNumberFormat="1" applyFont="1" applyBorder="1" applyAlignment="1">
      <alignment horizontal="center"/>
    </xf>
    <xf numFmtId="49" fontId="14" fillId="0" borderId="8" xfId="0" applyNumberFormat="1" applyFont="1" applyBorder="1" applyAlignment="1">
      <alignment horizontal="right"/>
    </xf>
    <xf numFmtId="49" fontId="14" fillId="0" borderId="8" xfId="0" applyNumberFormat="1" applyFont="1" applyBorder="1" applyAlignment="1">
      <alignment horizontal="center"/>
    </xf>
    <xf numFmtId="15" fontId="2" fillId="0" borderId="5" xfId="0" applyNumberFormat="1" applyFont="1" applyBorder="1" applyAlignment="1">
      <alignment horizontal="left"/>
    </xf>
    <xf numFmtId="164" fontId="15" fillId="0" borderId="0" xfId="1" applyNumberFormat="1" applyFont="1" applyFill="1" applyBorder="1" applyAlignment="1">
      <alignment horizontal="left"/>
    </xf>
    <xf numFmtId="164" fontId="16" fillId="0" borderId="5" xfId="1" applyNumberFormat="1" applyFont="1" applyBorder="1" applyAlignment="1">
      <alignment horizontal="right"/>
    </xf>
    <xf numFmtId="164" fontId="16" fillId="0" borderId="0" xfId="1" applyNumberFormat="1" applyFont="1" applyBorder="1" applyAlignment="1">
      <alignment horizontal="right"/>
    </xf>
    <xf numFmtId="164" fontId="17" fillId="0" borderId="0" xfId="1" applyNumberFormat="1" applyFont="1" applyBorder="1" applyAlignment="1">
      <alignment horizontal="right"/>
    </xf>
    <xf numFmtId="164" fontId="17" fillId="0" borderId="6" xfId="1" applyNumberFormat="1" applyFont="1" applyBorder="1" applyAlignment="1">
      <alignment horizontal="right"/>
    </xf>
    <xf numFmtId="164" fontId="19" fillId="0" borderId="0" xfId="1" applyNumberFormat="1" applyFont="1" applyBorder="1" applyAlignment="1">
      <alignment horizontal="right"/>
    </xf>
    <xf numFmtId="164" fontId="20" fillId="0" borderId="0" xfId="1" applyNumberFormat="1" applyFont="1" applyBorder="1" applyAlignment="1">
      <alignment horizontal="right"/>
    </xf>
    <xf numFmtId="164" fontId="13" fillId="0" borderId="0" xfId="1" applyNumberFormat="1" applyFont="1" applyBorder="1" applyAlignment="1">
      <alignment horizontal="right"/>
    </xf>
    <xf numFmtId="10" fontId="17" fillId="0" borderId="6" xfId="2" applyNumberFormat="1" applyFont="1" applyBorder="1" applyAlignment="1">
      <alignment horizontal="right"/>
    </xf>
    <xf numFmtId="10" fontId="20" fillId="0" borderId="0" xfId="2" applyNumberFormat="1" applyFont="1" applyBorder="1" applyAlignment="1">
      <alignment horizontal="right"/>
    </xf>
    <xf numFmtId="164" fontId="4" fillId="0" borderId="0" xfId="1" applyNumberFormat="1" applyFont="1" applyBorder="1" applyAlignment="1">
      <alignment horizontal="right"/>
    </xf>
    <xf numFmtId="2" fontId="19" fillId="0" borderId="0" xfId="1" applyNumberFormat="1" applyFont="1" applyBorder="1" applyAlignment="1">
      <alignment horizontal="right"/>
    </xf>
    <xf numFmtId="164" fontId="15" fillId="0" borderId="10" xfId="1" applyNumberFormat="1" applyFont="1" applyFill="1" applyBorder="1" applyAlignment="1">
      <alignment horizontal="left"/>
    </xf>
    <xf numFmtId="4" fontId="16" fillId="0" borderId="5" xfId="0" applyNumberFormat="1" applyFont="1" applyBorder="1"/>
    <xf numFmtId="4" fontId="16" fillId="0" borderId="0" xfId="0" applyNumberFormat="1" applyFont="1"/>
    <xf numFmtId="4" fontId="19" fillId="0" borderId="0" xfId="0" applyNumberFormat="1" applyFont="1"/>
    <xf numFmtId="0" fontId="16" fillId="0" borderId="0" xfId="0" applyFont="1"/>
    <xf numFmtId="164" fontId="16" fillId="0" borderId="0" xfId="1" applyNumberFormat="1" applyFont="1" applyBorder="1"/>
    <xf numFmtId="164" fontId="16" fillId="0" borderId="5" xfId="1" applyNumberFormat="1" applyFont="1" applyBorder="1"/>
    <xf numFmtId="0" fontId="16" fillId="0" borderId="5" xfId="0" applyFont="1" applyBorder="1"/>
    <xf numFmtId="164" fontId="19" fillId="0" borderId="0" xfId="1" applyNumberFormat="1" applyFont="1" applyFill="1" applyBorder="1" applyAlignment="1"/>
    <xf numFmtId="0" fontId="19" fillId="0" borderId="0" xfId="0" applyFont="1"/>
    <xf numFmtId="165" fontId="16" fillId="0" borderId="5" xfId="1" applyNumberFormat="1" applyFont="1" applyBorder="1" applyAlignment="1">
      <alignment horizontal="right"/>
    </xf>
    <xf numFmtId="4" fontId="16" fillId="0" borderId="5" xfId="1" applyNumberFormat="1" applyFont="1" applyBorder="1" applyAlignment="1">
      <alignment horizontal="right"/>
    </xf>
    <xf numFmtId="4" fontId="16" fillId="0" borderId="0" xfId="1" applyNumberFormat="1" applyFont="1" applyBorder="1" applyAlignment="1">
      <alignment horizontal="right"/>
    </xf>
    <xf numFmtId="4" fontId="17" fillId="0" borderId="0" xfId="1" applyNumberFormat="1" applyFont="1" applyBorder="1" applyAlignment="1">
      <alignment horizontal="right"/>
    </xf>
    <xf numFmtId="165" fontId="16" fillId="0" borderId="0" xfId="1" applyNumberFormat="1" applyFont="1" applyBorder="1" applyAlignment="1">
      <alignment horizontal="right"/>
    </xf>
    <xf numFmtId="10" fontId="17" fillId="0" borderId="0" xfId="2" applyNumberFormat="1" applyFont="1" applyBorder="1" applyAlignment="1">
      <alignment horizontal="right"/>
    </xf>
    <xf numFmtId="0" fontId="6" fillId="0" borderId="11" xfId="0" applyFont="1" applyBorder="1"/>
    <xf numFmtId="164" fontId="15" fillId="0" borderId="12" xfId="1" applyNumberFormat="1" applyFont="1" applyFill="1" applyBorder="1" applyAlignment="1">
      <alignment horizontal="left"/>
    </xf>
    <xf numFmtId="165" fontId="16" fillId="0" borderId="12" xfId="1" applyNumberFormat="1" applyFont="1" applyBorder="1" applyAlignment="1">
      <alignment horizontal="right"/>
    </xf>
    <xf numFmtId="4" fontId="16" fillId="0" borderId="12" xfId="1" applyNumberFormat="1" applyFont="1" applyBorder="1" applyAlignment="1">
      <alignment horizontal="right"/>
    </xf>
    <xf numFmtId="4" fontId="17" fillId="0" borderId="12" xfId="1" applyNumberFormat="1" applyFont="1" applyBorder="1" applyAlignment="1">
      <alignment horizontal="right"/>
    </xf>
    <xf numFmtId="164" fontId="19" fillId="0" borderId="12" xfId="1" applyNumberFormat="1" applyFont="1" applyBorder="1" applyAlignment="1">
      <alignment horizontal="right"/>
    </xf>
    <xf numFmtId="164" fontId="16" fillId="0" borderId="12" xfId="1" applyNumberFormat="1" applyFont="1" applyBorder="1" applyAlignment="1">
      <alignment horizontal="right"/>
    </xf>
    <xf numFmtId="164" fontId="17" fillId="0" borderId="12" xfId="1" applyNumberFormat="1" applyFont="1" applyBorder="1" applyAlignment="1">
      <alignment horizontal="right"/>
    </xf>
    <xf numFmtId="10" fontId="17" fillId="0" borderId="13" xfId="2" applyNumberFormat="1" applyFont="1" applyBorder="1" applyAlignment="1">
      <alignment horizontal="right"/>
    </xf>
    <xf numFmtId="166" fontId="15" fillId="0" borderId="10" xfId="1" applyNumberFormat="1" applyFont="1" applyFill="1" applyBorder="1" applyAlignment="1">
      <alignment horizontal="left"/>
    </xf>
    <xf numFmtId="166" fontId="16" fillId="0" borderId="5" xfId="1" applyNumberFormat="1" applyFont="1" applyBorder="1" applyAlignment="1">
      <alignment horizontal="right"/>
    </xf>
    <xf numFmtId="49" fontId="11" fillId="0" borderId="0" xfId="0" applyNumberFormat="1" applyFont="1" applyAlignment="1">
      <alignment horizontal="right"/>
    </xf>
    <xf numFmtId="166" fontId="15" fillId="0" borderId="10" xfId="1" applyNumberFormat="1" applyFont="1" applyFill="1" applyBorder="1" applyAlignment="1">
      <alignment horizontal="right"/>
    </xf>
    <xf numFmtId="166" fontId="15" fillId="0" borderId="0" xfId="1" applyNumberFormat="1" applyFont="1" applyFill="1" applyBorder="1" applyAlignment="1">
      <alignment horizontal="right"/>
    </xf>
    <xf numFmtId="165" fontId="17" fillId="0" borderId="0" xfId="1" applyNumberFormat="1" applyFont="1" applyBorder="1" applyAlignment="1">
      <alignment horizontal="right"/>
    </xf>
    <xf numFmtId="167" fontId="16" fillId="0" borderId="0" xfId="1" applyNumberFormat="1" applyFont="1" applyBorder="1" applyAlignment="1">
      <alignment horizontal="right"/>
    </xf>
    <xf numFmtId="167" fontId="17" fillId="0" borderId="0" xfId="1" applyNumberFormat="1" applyFont="1" applyBorder="1" applyAlignment="1">
      <alignment horizontal="right"/>
    </xf>
    <xf numFmtId="166" fontId="16" fillId="0" borderId="0" xfId="1" applyNumberFormat="1" applyFont="1" applyBorder="1" applyAlignment="1">
      <alignment horizontal="right"/>
    </xf>
    <xf numFmtId="9" fontId="17" fillId="0" borderId="6" xfId="2" applyFont="1" applyBorder="1" applyAlignment="1">
      <alignment horizontal="right"/>
    </xf>
    <xf numFmtId="166" fontId="17" fillId="0" borderId="0" xfId="1" applyNumberFormat="1" applyFont="1" applyBorder="1" applyAlignment="1">
      <alignment horizontal="right"/>
    </xf>
    <xf numFmtId="165" fontId="15" fillId="0" borderId="10" xfId="1" applyNumberFormat="1" applyFont="1" applyFill="1" applyBorder="1" applyAlignment="1">
      <alignment horizontal="right"/>
    </xf>
    <xf numFmtId="167" fontId="15" fillId="0" borderId="10" xfId="1" applyNumberFormat="1" applyFont="1" applyFill="1" applyBorder="1" applyAlignment="1">
      <alignment horizontal="right"/>
    </xf>
    <xf numFmtId="166" fontId="24" fillId="0" borderId="0" xfId="1" applyNumberFormat="1" applyFont="1" applyBorder="1" applyAlignment="1">
      <alignment horizontal="right"/>
    </xf>
    <xf numFmtId="9" fontId="25" fillId="0" borderId="6" xfId="2" applyFont="1" applyBorder="1" applyAlignment="1">
      <alignment horizontal="right"/>
    </xf>
    <xf numFmtId="166" fontId="25" fillId="0" borderId="0" xfId="1" applyNumberFormat="1" applyFont="1" applyBorder="1" applyAlignment="1">
      <alignment horizontal="right"/>
    </xf>
    <xf numFmtId="0" fontId="23" fillId="0" borderId="6" xfId="2" applyNumberFormat="1" applyFont="1" applyBorder="1" applyAlignment="1">
      <alignment horizontal="right"/>
    </xf>
    <xf numFmtId="49" fontId="26" fillId="0" borderId="5" xfId="0" applyNumberFormat="1" applyFont="1" applyBorder="1" applyAlignment="1">
      <alignment horizontal="right"/>
    </xf>
    <xf numFmtId="49" fontId="26" fillId="0" borderId="0" xfId="0" applyNumberFormat="1" applyFont="1" applyAlignment="1">
      <alignment horizontal="right"/>
    </xf>
    <xf numFmtId="49" fontId="26" fillId="0" borderId="6" xfId="0" applyNumberFormat="1" applyFont="1" applyBorder="1" applyAlignment="1">
      <alignment horizontal="right"/>
    </xf>
    <xf numFmtId="49" fontId="35" fillId="0" borderId="5" xfId="0" applyNumberFormat="1" applyFont="1" applyBorder="1" applyAlignment="1">
      <alignment horizontal="right"/>
    </xf>
    <xf numFmtId="49" fontId="35" fillId="0" borderId="0" xfId="0" applyNumberFormat="1" applyFont="1" applyAlignment="1">
      <alignment horizontal="right"/>
    </xf>
    <xf numFmtId="49" fontId="35" fillId="0" borderId="6" xfId="0" applyNumberFormat="1" applyFont="1" applyBorder="1" applyAlignment="1">
      <alignment horizontal="right"/>
    </xf>
    <xf numFmtId="49" fontId="26" fillId="0" borderId="7" xfId="0" applyNumberFormat="1" applyFont="1" applyBorder="1" applyAlignment="1">
      <alignment horizontal="right"/>
    </xf>
    <xf numFmtId="49" fontId="26" fillId="0" borderId="8" xfId="0" applyNumberFormat="1" applyFont="1" applyBorder="1" applyAlignment="1">
      <alignment horizontal="right"/>
    </xf>
    <xf numFmtId="49" fontId="26" fillId="0" borderId="9" xfId="0" applyNumberFormat="1" applyFont="1" applyBorder="1" applyAlignment="1">
      <alignment horizontal="center"/>
    </xf>
    <xf numFmtId="49" fontId="35" fillId="0" borderId="7" xfId="0" applyNumberFormat="1" applyFont="1" applyBorder="1" applyAlignment="1">
      <alignment horizontal="right"/>
    </xf>
    <xf numFmtId="49" fontId="35" fillId="0" borderId="8" xfId="0" applyNumberFormat="1" applyFont="1" applyBorder="1" applyAlignment="1">
      <alignment horizontal="right"/>
    </xf>
    <xf numFmtId="49" fontId="35" fillId="0" borderId="9" xfId="0" applyNumberFormat="1" applyFont="1" applyBorder="1" applyAlignment="1">
      <alignment horizontal="center"/>
    </xf>
    <xf numFmtId="15" fontId="2" fillId="0" borderId="10" xfId="0" applyNumberFormat="1" applyFont="1" applyBorder="1" applyAlignment="1">
      <alignment horizontal="left"/>
    </xf>
    <xf numFmtId="165" fontId="15" fillId="0" borderId="0" xfId="1" applyNumberFormat="1" applyFont="1" applyFill="1" applyBorder="1" applyAlignment="1">
      <alignment horizontal="right"/>
    </xf>
    <xf numFmtId="167" fontId="15" fillId="0" borderId="0" xfId="1" applyNumberFormat="1" applyFont="1" applyFill="1" applyBorder="1" applyAlignment="1">
      <alignment horizontal="right"/>
    </xf>
    <xf numFmtId="0" fontId="32" fillId="0" borderId="0" xfId="0" applyFont="1"/>
    <xf numFmtId="167" fontId="32" fillId="0" borderId="0" xfId="0" applyNumberFormat="1" applyFont="1"/>
    <xf numFmtId="170" fontId="26" fillId="0" borderId="0" xfId="0" applyNumberFormat="1" applyFont="1"/>
    <xf numFmtId="0" fontId="31" fillId="0" borderId="0" xfId="0" applyFont="1"/>
    <xf numFmtId="171" fontId="31" fillId="0" borderId="0" xfId="0" applyNumberFormat="1" applyFont="1"/>
    <xf numFmtId="0" fontId="28" fillId="0" borderId="0" xfId="0" applyFont="1"/>
    <xf numFmtId="167" fontId="28" fillId="0" borderId="0" xfId="0" applyNumberFormat="1" applyFont="1"/>
    <xf numFmtId="170" fontId="27" fillId="0" borderId="0" xfId="0" applyNumberFormat="1" applyFont="1"/>
    <xf numFmtId="49" fontId="11" fillId="0" borderId="5" xfId="0" applyNumberFormat="1" applyFont="1" applyBorder="1" applyAlignment="1">
      <alignment horizontal="right"/>
    </xf>
    <xf numFmtId="0" fontId="31" fillId="0" borderId="5" xfId="0" applyFont="1" applyBorder="1"/>
    <xf numFmtId="0" fontId="30" fillId="0" borderId="5" xfId="0" applyFont="1" applyBorder="1"/>
    <xf numFmtId="167" fontId="30" fillId="0" borderId="5" xfId="0" applyNumberFormat="1" applyFont="1" applyBorder="1"/>
    <xf numFmtId="164" fontId="4" fillId="0" borderId="5" xfId="1" applyNumberFormat="1" applyFont="1" applyBorder="1" applyAlignment="1">
      <alignment horizontal="right"/>
    </xf>
    <xf numFmtId="166" fontId="26" fillId="0" borderId="5" xfId="1" applyNumberFormat="1" applyFont="1" applyBorder="1" applyAlignment="1">
      <alignment horizontal="right"/>
    </xf>
    <xf numFmtId="166" fontId="27" fillId="0" borderId="5" xfId="1" applyNumberFormat="1" applyFont="1" applyBorder="1" applyAlignment="1">
      <alignment horizontal="right"/>
    </xf>
    <xf numFmtId="167" fontId="16" fillId="0" borderId="5" xfId="1" applyNumberFormat="1" applyFont="1" applyBorder="1" applyAlignment="1">
      <alignment horizontal="right"/>
    </xf>
    <xf numFmtId="169" fontId="17" fillId="0" borderId="6" xfId="2" applyNumberFormat="1" applyFont="1" applyBorder="1" applyAlignment="1">
      <alignment horizontal="right"/>
    </xf>
    <xf numFmtId="166" fontId="24" fillId="0" borderId="5" xfId="1" applyNumberFormat="1" applyFont="1" applyBorder="1" applyAlignment="1">
      <alignment horizontal="right"/>
    </xf>
    <xf numFmtId="164" fontId="19" fillId="0" borderId="11" xfId="1" applyNumberFormat="1" applyFont="1" applyBorder="1" applyAlignment="1">
      <alignment horizontal="right"/>
    </xf>
    <xf numFmtId="10" fontId="20" fillId="0" borderId="13" xfId="2" applyNumberFormat="1" applyFont="1" applyBorder="1" applyAlignment="1">
      <alignment horizontal="right"/>
    </xf>
    <xf numFmtId="49" fontId="14" fillId="0" borderId="5" xfId="0" applyNumberFormat="1" applyFont="1" applyBorder="1" applyAlignment="1">
      <alignment horizontal="right"/>
    </xf>
    <xf numFmtId="49" fontId="14" fillId="0" borderId="6" xfId="0" applyNumberFormat="1" applyFont="1" applyBorder="1" applyAlignment="1">
      <alignment horizontal="right"/>
    </xf>
    <xf numFmtId="4" fontId="16" fillId="0" borderId="11" xfId="1" applyNumberFormat="1" applyFont="1" applyBorder="1" applyAlignment="1">
      <alignment horizontal="right"/>
    </xf>
    <xf numFmtId="165" fontId="16" fillId="0" borderId="11" xfId="1" applyNumberFormat="1" applyFont="1" applyBorder="1" applyAlignment="1">
      <alignment horizontal="right"/>
    </xf>
    <xf numFmtId="0" fontId="7" fillId="0" borderId="15" xfId="0" applyFont="1" applyBorder="1" applyAlignment="1">
      <alignment horizontal="right"/>
    </xf>
    <xf numFmtId="0" fontId="12" fillId="0" borderId="10" xfId="0" applyFont="1" applyBorder="1" applyAlignment="1">
      <alignment horizontal="center"/>
    </xf>
    <xf numFmtId="0" fontId="4" fillId="0" borderId="15" xfId="0" applyFont="1" applyBorder="1"/>
    <xf numFmtId="0" fontId="4" fillId="0" borderId="10" xfId="0" applyFont="1" applyBorder="1" applyAlignment="1">
      <alignment horizontal="left"/>
    </xf>
    <xf numFmtId="49" fontId="9" fillId="0" borderId="3" xfId="0" applyNumberFormat="1" applyFont="1" applyBorder="1" applyAlignment="1">
      <alignment horizontal="centerContinuous"/>
    </xf>
    <xf numFmtId="49" fontId="12" fillId="0" borderId="0" xfId="0" applyNumberFormat="1" applyFont="1" applyAlignment="1">
      <alignment horizontal="right"/>
    </xf>
    <xf numFmtId="49" fontId="12" fillId="0" borderId="8" xfId="0" applyNumberFormat="1" applyFont="1" applyBorder="1" applyAlignment="1">
      <alignment horizontal="right"/>
    </xf>
    <xf numFmtId="49" fontId="12" fillId="0" borderId="8" xfId="0" applyNumberFormat="1" applyFont="1" applyBorder="1" applyAlignment="1">
      <alignment horizontal="center"/>
    </xf>
    <xf numFmtId="164" fontId="15" fillId="0" borderId="0" xfId="1" applyNumberFormat="1" applyFont="1" applyFill="1" applyBorder="1" applyAlignment="1">
      <alignment horizontal="right"/>
    </xf>
    <xf numFmtId="164" fontId="18" fillId="0" borderId="0" xfId="1" applyNumberFormat="1" applyFont="1" applyFill="1" applyBorder="1" applyAlignment="1">
      <alignment horizontal="right"/>
    </xf>
    <xf numFmtId="10" fontId="18" fillId="0" borderId="0" xfId="2" applyNumberFormat="1" applyFont="1" applyFill="1" applyBorder="1" applyAlignment="1">
      <alignment horizontal="right"/>
    </xf>
    <xf numFmtId="4" fontId="15" fillId="0" borderId="0" xfId="0" applyNumberFormat="1" applyFont="1"/>
    <xf numFmtId="0" fontId="15" fillId="0" borderId="0" xfId="0" applyFont="1"/>
    <xf numFmtId="4" fontId="15" fillId="0" borderId="0" xfId="1" applyNumberFormat="1" applyFont="1" applyFill="1" applyBorder="1" applyAlignment="1">
      <alignment horizontal="right"/>
    </xf>
    <xf numFmtId="4" fontId="15" fillId="0" borderId="11" xfId="1" applyNumberFormat="1" applyFont="1" applyFill="1" applyBorder="1" applyAlignment="1">
      <alignment horizontal="right"/>
    </xf>
    <xf numFmtId="165" fontId="15" fillId="0" borderId="12" xfId="1" applyNumberFormat="1" applyFont="1" applyFill="1" applyBorder="1" applyAlignment="1">
      <alignment horizontal="right"/>
    </xf>
    <xf numFmtId="4" fontId="15" fillId="0" borderId="12" xfId="1" applyNumberFormat="1" applyFont="1" applyFill="1" applyBorder="1" applyAlignment="1">
      <alignment horizontal="right"/>
    </xf>
    <xf numFmtId="10" fontId="18" fillId="0" borderId="13" xfId="2" applyNumberFormat="1" applyFont="1" applyFill="1" applyBorder="1" applyAlignment="1">
      <alignment horizontal="right"/>
    </xf>
    <xf numFmtId="49" fontId="12" fillId="0" borderId="5" xfId="0" applyNumberFormat="1" applyFont="1" applyBorder="1" applyAlignment="1">
      <alignment horizontal="right"/>
    </xf>
    <xf numFmtId="49" fontId="12" fillId="0" borderId="6" xfId="0" applyNumberFormat="1" applyFont="1" applyBorder="1" applyAlignment="1">
      <alignment horizontal="right"/>
    </xf>
    <xf numFmtId="166" fontId="21" fillId="0" borderId="5" xfId="1" applyNumberFormat="1" applyFont="1" applyFill="1" applyBorder="1" applyAlignment="1">
      <alignment horizontal="right"/>
    </xf>
    <xf numFmtId="166" fontId="21" fillId="0" borderId="0" xfId="1" applyNumberFormat="1" applyFont="1" applyFill="1" applyBorder="1" applyAlignment="1">
      <alignment horizontal="right"/>
    </xf>
    <xf numFmtId="166" fontId="18" fillId="0" borderId="0" xfId="1" applyNumberFormat="1" applyFont="1" applyFill="1" applyBorder="1" applyAlignment="1">
      <alignment horizontal="right"/>
    </xf>
    <xf numFmtId="10" fontId="18" fillId="0" borderId="6" xfId="2" applyNumberFormat="1" applyFont="1" applyFill="1" applyBorder="1" applyAlignment="1">
      <alignment horizontal="right"/>
    </xf>
    <xf numFmtId="167" fontId="15" fillId="0" borderId="5" xfId="1" applyNumberFormat="1" applyFont="1" applyFill="1" applyBorder="1" applyAlignment="1">
      <alignment horizontal="right"/>
    </xf>
    <xf numFmtId="167" fontId="18" fillId="0" borderId="0" xfId="1" applyNumberFormat="1" applyFont="1" applyFill="1" applyBorder="1" applyAlignment="1">
      <alignment horizontal="right"/>
    </xf>
    <xf numFmtId="165" fontId="15" fillId="0" borderId="5" xfId="1" applyNumberFormat="1" applyFont="1" applyFill="1" applyBorder="1" applyAlignment="1">
      <alignment horizontal="right"/>
    </xf>
    <xf numFmtId="165" fontId="18" fillId="0" borderId="0" xfId="1" applyNumberFormat="1" applyFont="1" applyFill="1" applyBorder="1" applyAlignment="1">
      <alignment horizontal="right"/>
    </xf>
    <xf numFmtId="166" fontId="15" fillId="0" borderId="5" xfId="1" applyNumberFormat="1" applyFont="1" applyFill="1" applyBorder="1" applyAlignment="1">
      <alignment horizontal="right"/>
    </xf>
    <xf numFmtId="9" fontId="18" fillId="0" borderId="6" xfId="2" applyFont="1" applyFill="1" applyBorder="1" applyAlignment="1">
      <alignment horizontal="right"/>
    </xf>
    <xf numFmtId="49" fontId="3" fillId="0" borderId="0" xfId="0" applyNumberFormat="1" applyFont="1" applyAlignment="1">
      <alignment horizontal="left"/>
    </xf>
    <xf numFmtId="49" fontId="9" fillId="0" borderId="2" xfId="0" applyNumberFormat="1" applyFont="1" applyBorder="1" applyAlignment="1">
      <alignment horizontal="centerContinuous"/>
    </xf>
    <xf numFmtId="49" fontId="9" fillId="0" borderId="4" xfId="0" applyNumberFormat="1" applyFont="1" applyBorder="1" applyAlignment="1">
      <alignment horizontal="centerContinuous"/>
    </xf>
    <xf numFmtId="0" fontId="4" fillId="0" borderId="14" xfId="0" applyFont="1" applyBorder="1" applyAlignment="1">
      <alignment horizontal="left"/>
    </xf>
    <xf numFmtId="0" fontId="12" fillId="0" borderId="14" xfId="0" applyFont="1" applyBorder="1" applyAlignment="1">
      <alignment horizontal="right"/>
    </xf>
    <xf numFmtId="49" fontId="12" fillId="0" borderId="7" xfId="0" applyNumberFormat="1" applyFont="1" applyBorder="1" applyAlignment="1">
      <alignment horizontal="right"/>
    </xf>
    <xf numFmtId="49" fontId="12" fillId="0" borderId="9" xfId="0" applyNumberFormat="1" applyFont="1" applyBorder="1" applyAlignment="1">
      <alignment horizontal="center"/>
    </xf>
    <xf numFmtId="49" fontId="14" fillId="0" borderId="7" xfId="0" applyNumberFormat="1" applyFont="1" applyBorder="1" applyAlignment="1">
      <alignment horizontal="right"/>
    </xf>
    <xf numFmtId="49" fontId="14" fillId="0" borderId="9" xfId="0" applyNumberFormat="1" applyFont="1" applyBorder="1" applyAlignment="1">
      <alignment horizontal="center"/>
    </xf>
    <xf numFmtId="9" fontId="18" fillId="0" borderId="0" xfId="2" applyFont="1" applyFill="1" applyBorder="1" applyAlignment="1">
      <alignment horizontal="right"/>
    </xf>
    <xf numFmtId="166" fontId="27" fillId="0" borderId="0" xfId="1" applyNumberFormat="1" applyFont="1" applyBorder="1" applyAlignment="1">
      <alignment horizontal="right"/>
    </xf>
    <xf numFmtId="15" fontId="2" fillId="0" borderId="15" xfId="0" applyNumberFormat="1" applyFont="1" applyBorder="1" applyAlignment="1">
      <alignment horizontal="left"/>
    </xf>
    <xf numFmtId="9" fontId="17" fillId="0" borderId="0" xfId="2" applyFont="1" applyBorder="1" applyAlignment="1">
      <alignment horizontal="right"/>
    </xf>
    <xf numFmtId="9" fontId="25" fillId="0" borderId="0" xfId="2" applyFont="1" applyBorder="1" applyAlignment="1">
      <alignment horizontal="right"/>
    </xf>
    <xf numFmtId="10" fontId="25" fillId="0" borderId="6" xfId="2" applyNumberFormat="1" applyFont="1" applyBorder="1" applyAlignment="1">
      <alignment horizontal="right"/>
    </xf>
    <xf numFmtId="10" fontId="29" fillId="0" borderId="6" xfId="2" applyNumberFormat="1" applyFont="1" applyBorder="1" applyAlignment="1">
      <alignment horizontal="right"/>
    </xf>
    <xf numFmtId="49" fontId="5" fillId="0" borderId="0" xfId="0" applyNumberFormat="1" applyFont="1" applyAlignment="1">
      <alignment horizontal="left"/>
    </xf>
    <xf numFmtId="49" fontId="4" fillId="0" borderId="0" xfId="0" applyNumberFormat="1" applyFont="1"/>
    <xf numFmtId="166" fontId="16" fillId="0" borderId="5" xfId="1" applyNumberFormat="1" applyFont="1" applyFill="1" applyBorder="1" applyAlignment="1">
      <alignment horizontal="right"/>
    </xf>
    <xf numFmtId="166" fontId="16" fillId="0" borderId="0" xfId="1" applyNumberFormat="1" applyFont="1" applyFill="1" applyBorder="1" applyAlignment="1">
      <alignment horizontal="right"/>
    </xf>
    <xf numFmtId="166" fontId="17" fillId="0" borderId="0" xfId="1" applyNumberFormat="1" applyFont="1" applyFill="1" applyBorder="1" applyAlignment="1">
      <alignment horizontal="right"/>
    </xf>
    <xf numFmtId="10" fontId="17" fillId="0" borderId="6" xfId="2" applyNumberFormat="1" applyFont="1" applyFill="1" applyBorder="1" applyAlignment="1">
      <alignment horizontal="right"/>
    </xf>
    <xf numFmtId="165" fontId="16" fillId="0" borderId="5" xfId="1" applyNumberFormat="1" applyFont="1" applyFill="1" applyBorder="1" applyAlignment="1">
      <alignment horizontal="right"/>
    </xf>
    <xf numFmtId="165" fontId="16" fillId="0" borderId="0" xfId="1" applyNumberFormat="1" applyFont="1" applyFill="1" applyBorder="1" applyAlignment="1">
      <alignment horizontal="right"/>
    </xf>
    <xf numFmtId="165" fontId="17" fillId="0" borderId="0" xfId="1" applyNumberFormat="1" applyFont="1" applyFill="1" applyBorder="1" applyAlignment="1">
      <alignment horizontal="right"/>
    </xf>
    <xf numFmtId="164" fontId="19" fillId="0" borderId="0" xfId="1" applyNumberFormat="1" applyFont="1" applyFill="1" applyBorder="1" applyAlignment="1">
      <alignment horizontal="right"/>
    </xf>
    <xf numFmtId="164" fontId="20" fillId="0" borderId="0" xfId="1" applyNumberFormat="1" applyFont="1" applyFill="1" applyBorder="1" applyAlignment="1">
      <alignment horizontal="right"/>
    </xf>
    <xf numFmtId="164" fontId="19" fillId="0" borderId="12" xfId="1" applyNumberFormat="1" applyFont="1" applyFill="1" applyBorder="1" applyAlignment="1">
      <alignment horizontal="right"/>
    </xf>
    <xf numFmtId="164" fontId="20" fillId="0" borderId="12" xfId="1" applyNumberFormat="1" applyFont="1" applyFill="1" applyBorder="1" applyAlignment="1">
      <alignment horizontal="right"/>
    </xf>
    <xf numFmtId="10" fontId="20" fillId="0" borderId="6" xfId="2" applyNumberFormat="1" applyFont="1" applyFill="1" applyBorder="1" applyAlignment="1">
      <alignment horizontal="right"/>
    </xf>
    <xf numFmtId="10" fontId="22" fillId="0" borderId="6" xfId="2" applyNumberFormat="1" applyFont="1" applyFill="1" applyBorder="1" applyAlignment="1">
      <alignment horizontal="right"/>
    </xf>
    <xf numFmtId="10" fontId="22" fillId="0" borderId="0" xfId="2" applyNumberFormat="1" applyFont="1" applyFill="1" applyBorder="1" applyAlignment="1">
      <alignment horizontal="right"/>
    </xf>
    <xf numFmtId="166" fontId="36" fillId="0" borderId="5" xfId="1" applyNumberFormat="1" applyFont="1" applyFill="1" applyBorder="1" applyAlignment="1">
      <alignment horizontal="right"/>
    </xf>
    <xf numFmtId="166" fontId="36" fillId="0" borderId="0" xfId="1" applyNumberFormat="1" applyFont="1" applyFill="1" applyBorder="1" applyAlignment="1">
      <alignment horizontal="right"/>
    </xf>
    <xf numFmtId="166" fontId="37" fillId="0" borderId="0" xfId="1" applyNumberFormat="1" applyFont="1" applyFill="1" applyBorder="1" applyAlignment="1">
      <alignment horizontal="right"/>
    </xf>
    <xf numFmtId="167" fontId="36" fillId="0" borderId="5" xfId="1" applyNumberFormat="1" applyFont="1" applyFill="1" applyBorder="1" applyAlignment="1">
      <alignment horizontal="right"/>
    </xf>
    <xf numFmtId="167" fontId="36" fillId="0" borderId="0" xfId="1" applyNumberFormat="1" applyFont="1" applyFill="1" applyBorder="1" applyAlignment="1">
      <alignment horizontal="right"/>
    </xf>
    <xf numFmtId="167" fontId="37" fillId="0" borderId="0" xfId="1" applyNumberFormat="1" applyFont="1" applyFill="1" applyBorder="1" applyAlignment="1">
      <alignment horizontal="right"/>
    </xf>
    <xf numFmtId="165" fontId="37" fillId="0" borderId="0" xfId="1" applyNumberFormat="1" applyFont="1" applyFill="1" applyBorder="1" applyAlignment="1">
      <alignment horizontal="right"/>
    </xf>
    <xf numFmtId="165" fontId="36" fillId="0" borderId="5" xfId="1" applyNumberFormat="1" applyFont="1" applyFill="1" applyBorder="1" applyAlignment="1">
      <alignment horizontal="right"/>
    </xf>
    <xf numFmtId="168" fontId="37" fillId="0" borderId="0" xfId="1" applyNumberFormat="1" applyFont="1" applyFill="1" applyBorder="1" applyAlignment="1">
      <alignment horizontal="right"/>
    </xf>
    <xf numFmtId="4" fontId="16" fillId="0" borderId="0" xfId="1" applyNumberFormat="1" applyFont="1" applyFill="1" applyBorder="1" applyAlignment="1">
      <alignment horizontal="right"/>
    </xf>
    <xf numFmtId="2" fontId="15" fillId="0" borderId="0" xfId="0" applyNumberFormat="1" applyFont="1"/>
    <xf numFmtId="4" fontId="18" fillId="0" borderId="0" xfId="2" applyNumberFormat="1" applyFont="1" applyFill="1" applyBorder="1" applyAlignment="1">
      <alignment horizontal="right"/>
    </xf>
    <xf numFmtId="4" fontId="17" fillId="0" borderId="0" xfId="1" applyNumberFormat="1" applyFont="1" applyFill="1" applyBorder="1" applyAlignment="1">
      <alignment horizontal="right"/>
    </xf>
    <xf numFmtId="4" fontId="38" fillId="0" borderId="0" xfId="1" applyNumberFormat="1" applyFont="1" applyFill="1" applyBorder="1" applyAlignment="1">
      <alignment horizontal="right"/>
    </xf>
    <xf numFmtId="4" fontId="19" fillId="0" borderId="0" xfId="1" applyNumberFormat="1" applyFont="1" applyFill="1" applyBorder="1" applyAlignment="1">
      <alignment horizontal="right"/>
    </xf>
    <xf numFmtId="4" fontId="20" fillId="0" borderId="0" xfId="1" applyNumberFormat="1" applyFont="1" applyFill="1" applyBorder="1" applyAlignment="1">
      <alignment horizontal="right"/>
    </xf>
    <xf numFmtId="4" fontId="22" fillId="0" borderId="0" xfId="2" applyNumberFormat="1" applyFont="1" applyFill="1" applyBorder="1" applyAlignment="1">
      <alignment horizontal="right"/>
    </xf>
    <xf numFmtId="4" fontId="25" fillId="0" borderId="0" xfId="1" applyNumberFormat="1" applyFont="1" applyFill="1" applyBorder="1" applyAlignment="1">
      <alignment horizontal="right"/>
    </xf>
    <xf numFmtId="4" fontId="4" fillId="0" borderId="0" xfId="1" applyNumberFormat="1" applyFont="1" applyFill="1" applyBorder="1" applyAlignment="1">
      <alignment horizontal="right"/>
    </xf>
    <xf numFmtId="4" fontId="11" fillId="0" borderId="0" xfId="0" applyNumberFormat="1" applyFont="1"/>
    <xf numFmtId="4" fontId="17" fillId="0" borderId="6" xfId="2" applyNumberFormat="1" applyFont="1" applyBorder="1" applyAlignment="1">
      <alignment horizontal="right"/>
    </xf>
    <xf numFmtId="4" fontId="19" fillId="0" borderId="0" xfId="1" applyNumberFormat="1" applyFont="1" applyBorder="1" applyAlignment="1">
      <alignment horizontal="right"/>
    </xf>
    <xf numFmtId="4" fontId="20" fillId="0" borderId="0" xfId="2" applyNumberFormat="1" applyFont="1" applyBorder="1" applyAlignment="1">
      <alignment horizontal="right"/>
    </xf>
    <xf numFmtId="15" fontId="2" fillId="0" borderId="6" xfId="0" applyNumberFormat="1" applyFont="1" applyBorder="1" applyAlignment="1">
      <alignment horizontal="left"/>
    </xf>
    <xf numFmtId="4" fontId="16" fillId="0" borderId="5" xfId="1" applyNumberFormat="1" applyFont="1" applyFill="1" applyBorder="1" applyAlignment="1">
      <alignment horizontal="right"/>
    </xf>
    <xf numFmtId="4" fontId="17" fillId="0" borderId="6" xfId="2" applyNumberFormat="1" applyFont="1" applyFill="1" applyBorder="1" applyAlignment="1">
      <alignment horizontal="right"/>
    </xf>
    <xf numFmtId="4" fontId="25" fillId="0" borderId="6" xfId="2" applyNumberFormat="1" applyFont="1" applyFill="1" applyBorder="1" applyAlignment="1">
      <alignment horizontal="right"/>
    </xf>
    <xf numFmtId="164" fontId="4" fillId="0" borderId="11" xfId="1" applyNumberFormat="1" applyFont="1" applyBorder="1" applyAlignment="1">
      <alignment horizontal="right"/>
    </xf>
    <xf numFmtId="0" fontId="11" fillId="0" borderId="12" xfId="0" applyFont="1" applyBorder="1"/>
    <xf numFmtId="166" fontId="29" fillId="0" borderId="5" xfId="1" applyNumberFormat="1" applyFont="1" applyBorder="1" applyAlignment="1">
      <alignment horizontal="right"/>
    </xf>
    <xf numFmtId="0" fontId="39" fillId="0" borderId="0" xfId="0" applyFont="1"/>
    <xf numFmtId="167" fontId="39" fillId="0" borderId="0" xfId="0" applyNumberFormat="1" applyFont="1"/>
    <xf numFmtId="170" fontId="29" fillId="0" borderId="0" xfId="0" applyNumberFormat="1" applyFont="1"/>
    <xf numFmtId="167" fontId="40" fillId="0" borderId="5" xfId="0" applyNumberFormat="1" applyFont="1" applyBorder="1"/>
    <xf numFmtId="0" fontId="24" fillId="0" borderId="0" xfId="0" applyFont="1"/>
    <xf numFmtId="171" fontId="24" fillId="0" borderId="0" xfId="0" applyNumberFormat="1" applyFont="1"/>
    <xf numFmtId="10" fontId="23" fillId="0" borderId="6" xfId="2" applyNumberFormat="1" applyFont="1" applyBorder="1" applyAlignment="1">
      <alignment horizontal="right"/>
    </xf>
    <xf numFmtId="10" fontId="29" fillId="0" borderId="0" xfId="2" applyNumberFormat="1" applyFont="1" applyBorder="1" applyAlignment="1">
      <alignment horizontal="right"/>
    </xf>
    <xf numFmtId="166" fontId="29" fillId="0" borderId="0" xfId="1" applyNumberFormat="1" applyFont="1" applyBorder="1" applyAlignment="1">
      <alignment horizontal="right"/>
    </xf>
    <xf numFmtId="167" fontId="40" fillId="0" borderId="0" xfId="0" applyNumberFormat="1" applyFont="1"/>
    <xf numFmtId="0" fontId="40" fillId="0" borderId="0" xfId="0" applyFont="1"/>
    <xf numFmtId="166" fontId="19" fillId="0" borderId="5" xfId="1" applyNumberFormat="1" applyFont="1" applyBorder="1" applyAlignment="1">
      <alignment horizontal="right"/>
    </xf>
    <xf numFmtId="166" fontId="15" fillId="0" borderId="0" xfId="1" applyNumberFormat="1" applyFont="1" applyFill="1" applyBorder="1" applyAlignment="1">
      <alignment horizontal="left"/>
    </xf>
    <xf numFmtId="166" fontId="19" fillId="0" borderId="5" xfId="1" applyNumberFormat="1" applyFont="1" applyFill="1" applyBorder="1" applyAlignment="1">
      <alignment horizontal="right"/>
    </xf>
    <xf numFmtId="3" fontId="42" fillId="0" borderId="0" xfId="1" applyNumberFormat="1" applyFont="1" applyBorder="1"/>
    <xf numFmtId="0" fontId="42" fillId="0" borderId="0" xfId="0" applyFont="1"/>
    <xf numFmtId="49" fontId="42" fillId="0" borderId="0" xfId="0" applyNumberFormat="1" applyFont="1" applyAlignment="1">
      <alignment horizontal="right"/>
    </xf>
    <xf numFmtId="49" fontId="42" fillId="0" borderId="1" xfId="0" applyNumberFormat="1" applyFont="1" applyBorder="1" applyAlignment="1">
      <alignment horizontal="right"/>
    </xf>
    <xf numFmtId="3" fontId="42" fillId="0" borderId="2" xfId="1" applyNumberFormat="1" applyFont="1" applyBorder="1"/>
    <xf numFmtId="0" fontId="42" fillId="0" borderId="3" xfId="0" applyFont="1" applyBorder="1"/>
    <xf numFmtId="0" fontId="42" fillId="0" borderId="5" xfId="0" applyFont="1" applyBorder="1"/>
    <xf numFmtId="4" fontId="42" fillId="0" borderId="0" xfId="0" applyNumberFormat="1" applyFont="1"/>
    <xf numFmtId="0" fontId="42" fillId="0" borderId="12" xfId="0" applyFont="1" applyBorder="1"/>
    <xf numFmtId="0" fontId="42" fillId="0" borderId="13" xfId="0" applyFont="1" applyBorder="1"/>
    <xf numFmtId="0" fontId="42" fillId="0" borderId="11" xfId="0" applyFont="1" applyBorder="1"/>
    <xf numFmtId="0" fontId="42" fillId="0" borderId="6" xfId="0" applyFont="1" applyBorder="1"/>
    <xf numFmtId="166" fontId="40" fillId="0" borderId="0" xfId="1" applyNumberFormat="1" applyFont="1" applyFill="1" applyBorder="1" applyAlignment="1">
      <alignment horizontal="left"/>
    </xf>
    <xf numFmtId="15" fontId="48" fillId="0" borderId="6" xfId="0" applyNumberFormat="1" applyFont="1" applyBorder="1" applyAlignment="1">
      <alignment horizontal="left"/>
    </xf>
    <xf numFmtId="15" fontId="48" fillId="0" borderId="10" xfId="0" applyNumberFormat="1" applyFont="1" applyBorder="1" applyAlignment="1">
      <alignment horizontal="left"/>
    </xf>
    <xf numFmtId="15" fontId="48" fillId="0" borderId="0" xfId="0" applyNumberFormat="1" applyFont="1" applyAlignment="1">
      <alignment horizontal="left"/>
    </xf>
    <xf numFmtId="167" fontId="16" fillId="0" borderId="5" xfId="1" applyNumberFormat="1" applyFont="1" applyFill="1" applyBorder="1" applyAlignment="1">
      <alignment horizontal="right"/>
    </xf>
    <xf numFmtId="167" fontId="16" fillId="0" borderId="0" xfId="1" applyNumberFormat="1" applyFont="1" applyFill="1" applyBorder="1" applyAlignment="1">
      <alignment horizontal="right"/>
    </xf>
    <xf numFmtId="167" fontId="17" fillId="0" borderId="0" xfId="1" applyNumberFormat="1" applyFont="1" applyFill="1" applyBorder="1" applyAlignment="1">
      <alignment horizontal="right"/>
    </xf>
    <xf numFmtId="166" fontId="19" fillId="0" borderId="0" xfId="1" applyNumberFormat="1" applyFont="1" applyBorder="1" applyAlignment="1">
      <alignment horizontal="right"/>
    </xf>
    <xf numFmtId="10" fontId="25" fillId="0" borderId="0" xfId="2" applyNumberFormat="1" applyFont="1" applyBorder="1" applyAlignment="1">
      <alignment horizontal="right"/>
    </xf>
    <xf numFmtId="43" fontId="42" fillId="0" borderId="0" xfId="0" applyNumberFormat="1" applyFont="1"/>
    <xf numFmtId="9" fontId="42" fillId="0" borderId="6" xfId="2" applyFont="1" applyBorder="1"/>
    <xf numFmtId="171" fontId="42" fillId="0" borderId="0" xfId="0" applyNumberFormat="1" applyFont="1"/>
    <xf numFmtId="173" fontId="42" fillId="0" borderId="0" xfId="0" applyNumberFormat="1" applyFont="1"/>
    <xf numFmtId="2" fontId="42" fillId="0" borderId="0" xfId="0" applyNumberFormat="1" applyFont="1"/>
    <xf numFmtId="9" fontId="42" fillId="0" borderId="0" xfId="2" applyFont="1" applyBorder="1"/>
    <xf numFmtId="2" fontId="42" fillId="0" borderId="5" xfId="0" applyNumberFormat="1" applyFont="1" applyBorder="1"/>
    <xf numFmtId="167" fontId="42" fillId="0" borderId="0" xfId="0" applyNumberFormat="1" applyFont="1"/>
    <xf numFmtId="9" fontId="17" fillId="0" borderId="6" xfId="2" applyFont="1" applyFill="1" applyBorder="1" applyAlignment="1">
      <alignment horizontal="right"/>
    </xf>
    <xf numFmtId="164" fontId="4" fillId="0" borderId="5" xfId="1" applyNumberFormat="1" applyFont="1" applyFill="1" applyBorder="1" applyAlignment="1">
      <alignment horizontal="right"/>
    </xf>
    <xf numFmtId="9" fontId="42" fillId="0" borderId="6" xfId="2" applyFont="1" applyFill="1" applyBorder="1"/>
    <xf numFmtId="2" fontId="24" fillId="0" borderId="0" xfId="0" applyNumberFormat="1" applyFont="1"/>
    <xf numFmtId="15" fontId="48" fillId="0" borderId="0" xfId="0" applyNumberFormat="1" applyFont="1"/>
    <xf numFmtId="0" fontId="42" fillId="2" borderId="0" xfId="0" applyFont="1" applyFill="1"/>
    <xf numFmtId="0" fontId="43" fillId="2" borderId="0" xfId="0" applyFont="1" applyFill="1"/>
    <xf numFmtId="0" fontId="44" fillId="2" borderId="0" xfId="0" applyFont="1" applyFill="1"/>
    <xf numFmtId="0" fontId="44" fillId="2" borderId="11" xfId="0" applyFont="1" applyFill="1" applyBorder="1"/>
    <xf numFmtId="0" fontId="44" fillId="2" borderId="12" xfId="0" applyFont="1" applyFill="1" applyBorder="1"/>
    <xf numFmtId="0" fontId="47" fillId="2" borderId="0" xfId="0" applyFont="1" applyFill="1"/>
    <xf numFmtId="0" fontId="48" fillId="2" borderId="10" xfId="0" applyFont="1" applyFill="1" applyBorder="1" applyAlignment="1">
      <alignment horizontal="center" vertical="center" wrapText="1"/>
    </xf>
    <xf numFmtId="0" fontId="49" fillId="2" borderId="2" xfId="0" applyFont="1" applyFill="1" applyBorder="1" applyAlignment="1">
      <alignment horizontal="center" vertical="center" wrapText="1"/>
    </xf>
    <xf numFmtId="0" fontId="49" fillId="2" borderId="3" xfId="0" applyFont="1" applyFill="1" applyBorder="1" applyAlignment="1">
      <alignment horizontal="center" vertical="center" wrapText="1"/>
    </xf>
    <xf numFmtId="0" fontId="49" fillId="2" borderId="4" xfId="0" applyFont="1" applyFill="1" applyBorder="1" applyAlignment="1">
      <alignment horizontal="center" vertical="center" wrapText="1"/>
    </xf>
    <xf numFmtId="0" fontId="50" fillId="2" borderId="2" xfId="0" applyFont="1" applyFill="1" applyBorder="1" applyAlignment="1">
      <alignment horizontal="center" vertical="center" wrapText="1"/>
    </xf>
    <xf numFmtId="0" fontId="50" fillId="2" borderId="3" xfId="0" applyFont="1" applyFill="1" applyBorder="1" applyAlignment="1">
      <alignment horizontal="center" vertical="center" wrapText="1"/>
    </xf>
    <xf numFmtId="0" fontId="50" fillId="2" borderId="4" xfId="0" applyFont="1" applyFill="1" applyBorder="1" applyAlignment="1">
      <alignment horizontal="center" vertical="center" wrapText="1"/>
    </xf>
    <xf numFmtId="0" fontId="51" fillId="2" borderId="2" xfId="0" applyFont="1" applyFill="1" applyBorder="1" applyAlignment="1">
      <alignment horizontal="center" vertical="center" wrapText="1"/>
    </xf>
    <xf numFmtId="0" fontId="51" fillId="2" borderId="3" xfId="0" applyFont="1" applyFill="1" applyBorder="1" applyAlignment="1">
      <alignment horizontal="center" vertical="center" wrapText="1"/>
    </xf>
    <xf numFmtId="0" fontId="51" fillId="2" borderId="4" xfId="0" applyFont="1" applyFill="1" applyBorder="1" applyAlignment="1">
      <alignment horizontal="center" vertical="center" wrapText="1"/>
    </xf>
    <xf numFmtId="0" fontId="48" fillId="2" borderId="14" xfId="0" applyFont="1" applyFill="1" applyBorder="1" applyAlignment="1">
      <alignment horizontal="center" vertical="center" wrapText="1"/>
    </xf>
    <xf numFmtId="0" fontId="49" fillId="2" borderId="7" xfId="0" applyFont="1" applyFill="1" applyBorder="1" applyAlignment="1">
      <alignment horizontal="center" vertical="center" wrapText="1"/>
    </xf>
    <xf numFmtId="0" fontId="49" fillId="2" borderId="8" xfId="0" applyFont="1" applyFill="1" applyBorder="1" applyAlignment="1">
      <alignment horizontal="center" vertical="center" wrapText="1"/>
    </xf>
    <xf numFmtId="0" fontId="49" fillId="2" borderId="9" xfId="0" applyFont="1" applyFill="1" applyBorder="1" applyAlignment="1">
      <alignment horizontal="center" vertical="center"/>
    </xf>
    <xf numFmtId="0" fontId="50" fillId="2" borderId="7" xfId="0" applyFont="1" applyFill="1" applyBorder="1" applyAlignment="1">
      <alignment horizontal="center" vertical="center" wrapText="1"/>
    </xf>
    <xf numFmtId="0" fontId="50" fillId="2" borderId="8" xfId="0" applyFont="1" applyFill="1" applyBorder="1" applyAlignment="1">
      <alignment horizontal="center" vertical="center" wrapText="1"/>
    </xf>
    <xf numFmtId="0" fontId="50" fillId="2" borderId="9" xfId="0" applyFont="1" applyFill="1" applyBorder="1" applyAlignment="1">
      <alignment horizontal="center" vertical="center"/>
    </xf>
    <xf numFmtId="0" fontId="51" fillId="2" borderId="7" xfId="0" applyFont="1" applyFill="1" applyBorder="1" applyAlignment="1">
      <alignment horizontal="center" vertical="center" wrapText="1"/>
    </xf>
    <xf numFmtId="0" fontId="51" fillId="2" borderId="8" xfId="0" applyFont="1" applyFill="1" applyBorder="1" applyAlignment="1">
      <alignment horizontal="center" vertical="center" wrapText="1"/>
    </xf>
    <xf numFmtId="0" fontId="51" fillId="2" borderId="9" xfId="0" applyFont="1" applyFill="1" applyBorder="1" applyAlignment="1">
      <alignment horizontal="center" vertical="center"/>
    </xf>
    <xf numFmtId="15" fontId="4" fillId="2" borderId="15" xfId="0" applyNumberFormat="1" applyFont="1" applyFill="1" applyBorder="1" applyAlignment="1">
      <alignment horizontal="left"/>
    </xf>
    <xf numFmtId="164" fontId="15" fillId="2" borderId="10" xfId="1" applyNumberFormat="1" applyFont="1" applyFill="1" applyBorder="1" applyAlignment="1">
      <alignment horizontal="left"/>
    </xf>
    <xf numFmtId="2" fontId="52" fillId="2" borderId="5" xfId="0" applyNumberFormat="1" applyFont="1" applyFill="1" applyBorder="1"/>
    <xf numFmtId="2" fontId="52" fillId="2" borderId="0" xfId="0" applyNumberFormat="1" applyFont="1" applyFill="1"/>
    <xf numFmtId="2" fontId="49" fillId="2" borderId="0" xfId="0" applyNumberFormat="1" applyFont="1" applyFill="1"/>
    <xf numFmtId="0" fontId="42" fillId="2" borderId="6" xfId="0" applyFont="1" applyFill="1" applyBorder="1"/>
    <xf numFmtId="2" fontId="41" fillId="2" borderId="5" xfId="0" applyNumberFormat="1" applyFont="1" applyFill="1" applyBorder="1"/>
    <xf numFmtId="2" fontId="41" fillId="2" borderId="0" xfId="0" applyNumberFormat="1" applyFont="1" applyFill="1"/>
    <xf numFmtId="2" fontId="50" fillId="2" borderId="0" xfId="0" applyNumberFormat="1" applyFont="1" applyFill="1"/>
    <xf numFmtId="0" fontId="41" fillId="2" borderId="6" xfId="0" applyFont="1" applyFill="1" applyBorder="1"/>
    <xf numFmtId="2" fontId="53" fillId="2" borderId="2" xfId="0" applyNumberFormat="1" applyFont="1" applyFill="1" applyBorder="1"/>
    <xf numFmtId="2" fontId="51" fillId="2" borderId="3" xfId="0" applyNumberFormat="1" applyFont="1" applyFill="1" applyBorder="1"/>
    <xf numFmtId="0" fontId="53" fillId="2" borderId="4" xfId="0" applyFont="1" applyFill="1" applyBorder="1"/>
    <xf numFmtId="15" fontId="4" fillId="2" borderId="10" xfId="0" applyNumberFormat="1" applyFont="1" applyFill="1" applyBorder="1" applyAlignment="1">
      <alignment horizontal="left"/>
    </xf>
    <xf numFmtId="10" fontId="52" fillId="2" borderId="6" xfId="2" applyNumberFormat="1" applyFont="1" applyFill="1" applyBorder="1"/>
    <xf numFmtId="10" fontId="41" fillId="2" borderId="6" xfId="2" applyNumberFormat="1" applyFont="1" applyFill="1" applyBorder="1"/>
    <xf numFmtId="2" fontId="53" fillId="2" borderId="5" xfId="0" applyNumberFormat="1" applyFont="1" applyFill="1" applyBorder="1"/>
    <xf numFmtId="2" fontId="51" fillId="2" borderId="0" xfId="0" applyNumberFormat="1" applyFont="1" applyFill="1"/>
    <xf numFmtId="10" fontId="53" fillId="2" borderId="6" xfId="2" applyNumberFormat="1" applyFont="1" applyFill="1" applyBorder="1"/>
    <xf numFmtId="164" fontId="15" fillId="2" borderId="0" xfId="1" applyNumberFormat="1" applyFont="1" applyFill="1" applyBorder="1" applyAlignment="1">
      <alignment horizontal="left"/>
    </xf>
    <xf numFmtId="15" fontId="4" fillId="2" borderId="0" xfId="0" applyNumberFormat="1" applyFont="1" applyFill="1" applyAlignment="1">
      <alignment horizontal="left"/>
    </xf>
    <xf numFmtId="15" fontId="54" fillId="2" borderId="0" xfId="0" applyNumberFormat="1" applyFont="1" applyFill="1" applyAlignment="1">
      <alignment horizontal="left"/>
    </xf>
    <xf numFmtId="164" fontId="41" fillId="2" borderId="10" xfId="0" applyNumberFormat="1" applyFont="1" applyFill="1" applyBorder="1"/>
    <xf numFmtId="15" fontId="54" fillId="2" borderId="6" xfId="0" applyNumberFormat="1" applyFont="1" applyFill="1" applyBorder="1" applyAlignment="1">
      <alignment horizontal="left"/>
    </xf>
    <xf numFmtId="164" fontId="41" fillId="2" borderId="0" xfId="0" applyNumberFormat="1" applyFont="1" applyFill="1"/>
    <xf numFmtId="15" fontId="48" fillId="2" borderId="6" xfId="0" applyNumberFormat="1" applyFont="1" applyFill="1" applyBorder="1" applyAlignment="1">
      <alignment horizontal="left"/>
    </xf>
    <xf numFmtId="2" fontId="24" fillId="2" borderId="5" xfId="0" applyNumberFormat="1" applyFont="1" applyFill="1" applyBorder="1"/>
    <xf numFmtId="2" fontId="24" fillId="2" borderId="0" xfId="0" applyNumberFormat="1" applyFont="1" applyFill="1"/>
    <xf numFmtId="0" fontId="41" fillId="2" borderId="10" xfId="0" applyFont="1" applyFill="1" applyBorder="1"/>
    <xf numFmtId="2" fontId="41" fillId="2" borderId="10" xfId="0" applyNumberFormat="1" applyFont="1" applyFill="1" applyBorder="1"/>
    <xf numFmtId="2" fontId="40" fillId="2" borderId="0" xfId="0" applyNumberFormat="1" applyFont="1" applyFill="1"/>
    <xf numFmtId="172" fontId="54" fillId="2" borderId="0" xfId="0" applyNumberFormat="1" applyFont="1" applyFill="1" applyAlignment="1">
      <alignment horizontal="left"/>
    </xf>
    <xf numFmtId="15" fontId="48" fillId="2" borderId="0" xfId="0" applyNumberFormat="1" applyFont="1" applyFill="1" applyAlignment="1">
      <alignment horizontal="left"/>
    </xf>
    <xf numFmtId="43" fontId="51" fillId="2" borderId="0" xfId="1" applyFont="1" applyFill="1" applyBorder="1"/>
    <xf numFmtId="172" fontId="54" fillId="2" borderId="6" xfId="0" applyNumberFormat="1" applyFont="1" applyFill="1" applyBorder="1" applyAlignment="1">
      <alignment horizontal="left"/>
    </xf>
    <xf numFmtId="2" fontId="53" fillId="2" borderId="0" xfId="0" applyNumberFormat="1" applyFont="1" applyFill="1"/>
    <xf numFmtId="0" fontId="55" fillId="2" borderId="0" xfId="0" applyFont="1" applyFill="1"/>
    <xf numFmtId="2" fontId="25" fillId="2" borderId="0" xfId="0" applyNumberFormat="1" applyFont="1" applyFill="1"/>
    <xf numFmtId="166" fontId="15" fillId="2" borderId="10" xfId="1" applyNumberFormat="1" applyFont="1" applyFill="1" applyBorder="1" applyAlignment="1">
      <alignment horizontal="left"/>
    </xf>
    <xf numFmtId="10" fontId="41" fillId="2" borderId="0" xfId="2" applyNumberFormat="1" applyFont="1" applyFill="1" applyBorder="1"/>
    <xf numFmtId="165" fontId="60" fillId="3" borderId="16" xfId="0" applyNumberFormat="1" applyFont="1" applyFill="1" applyBorder="1" applyAlignment="1">
      <alignment wrapText="1"/>
    </xf>
    <xf numFmtId="165" fontId="61" fillId="3" borderId="16" xfId="0" applyNumberFormat="1" applyFont="1" applyFill="1" applyBorder="1"/>
    <xf numFmtId="9" fontId="42" fillId="2" borderId="0" xfId="2" applyFont="1" applyFill="1"/>
    <xf numFmtId="43" fontId="42" fillId="2" borderId="0" xfId="1" applyFont="1" applyFill="1"/>
    <xf numFmtId="165" fontId="61" fillId="2" borderId="16" xfId="0" applyNumberFormat="1" applyFont="1" applyFill="1" applyBorder="1"/>
    <xf numFmtId="15" fontId="2" fillId="2" borderId="5" xfId="0" applyNumberFormat="1" applyFont="1" applyFill="1" applyBorder="1" applyAlignment="1">
      <alignment horizontal="left"/>
    </xf>
    <xf numFmtId="165" fontId="16" fillId="2" borderId="0" xfId="1" applyNumberFormat="1" applyFont="1" applyFill="1" applyBorder="1" applyAlignment="1">
      <alignment horizontal="right"/>
    </xf>
    <xf numFmtId="4" fontId="16" fillId="2" borderId="0" xfId="1" applyNumberFormat="1" applyFont="1" applyFill="1" applyBorder="1" applyAlignment="1">
      <alignment horizontal="right"/>
    </xf>
    <xf numFmtId="10" fontId="17" fillId="2" borderId="0" xfId="2" applyNumberFormat="1" applyFont="1" applyFill="1" applyBorder="1" applyAlignment="1">
      <alignment horizontal="right"/>
    </xf>
    <xf numFmtId="4" fontId="15" fillId="2" borderId="0" xfId="1" applyNumberFormat="1" applyFont="1" applyFill="1" applyBorder="1" applyAlignment="1">
      <alignment horizontal="right"/>
    </xf>
    <xf numFmtId="165" fontId="15" fillId="2" borderId="0" xfId="1" applyNumberFormat="1" applyFont="1" applyFill="1" applyBorder="1" applyAlignment="1">
      <alignment horizontal="right"/>
    </xf>
    <xf numFmtId="49" fontId="5" fillId="2" borderId="0" xfId="0" applyNumberFormat="1" applyFont="1" applyFill="1" applyAlignment="1">
      <alignment horizontal="left"/>
    </xf>
    <xf numFmtId="49" fontId="3" fillId="2" borderId="0" xfId="0" applyNumberFormat="1" applyFont="1" applyFill="1" applyAlignment="1">
      <alignment horizontal="left"/>
    </xf>
    <xf numFmtId="0" fontId="6" fillId="2" borderId="11" xfId="0" applyFont="1" applyFill="1" applyBorder="1"/>
    <xf numFmtId="164" fontId="15" fillId="2" borderId="12" xfId="1" applyNumberFormat="1" applyFont="1" applyFill="1" applyBorder="1" applyAlignment="1">
      <alignment horizontal="left"/>
    </xf>
    <xf numFmtId="165" fontId="16" fillId="2" borderId="11" xfId="1" applyNumberFormat="1" applyFont="1" applyFill="1" applyBorder="1" applyAlignment="1">
      <alignment horizontal="right"/>
    </xf>
    <xf numFmtId="165" fontId="16" fillId="2" borderId="12" xfId="1" applyNumberFormat="1" applyFont="1" applyFill="1" applyBorder="1" applyAlignment="1">
      <alignment horizontal="right"/>
    </xf>
    <xf numFmtId="4" fontId="16" fillId="2" borderId="12" xfId="1" applyNumberFormat="1" applyFont="1" applyFill="1" applyBorder="1" applyAlignment="1">
      <alignment horizontal="right"/>
    </xf>
    <xf numFmtId="10" fontId="17" fillId="2" borderId="13" xfId="2" applyNumberFormat="1" applyFont="1" applyFill="1" applyBorder="1" applyAlignment="1">
      <alignment horizontal="right"/>
    </xf>
    <xf numFmtId="4" fontId="15" fillId="2" borderId="11" xfId="1" applyNumberFormat="1" applyFont="1" applyFill="1" applyBorder="1" applyAlignment="1">
      <alignment horizontal="right"/>
    </xf>
    <xf numFmtId="165" fontId="15" fillId="2" borderId="12" xfId="1" applyNumberFormat="1" applyFont="1" applyFill="1" applyBorder="1" applyAlignment="1">
      <alignment horizontal="right"/>
    </xf>
    <xf numFmtId="4" fontId="15" fillId="2" borderId="12" xfId="1" applyNumberFormat="1" applyFont="1" applyFill="1" applyBorder="1" applyAlignment="1">
      <alignment horizontal="right"/>
    </xf>
    <xf numFmtId="0" fontId="42" fillId="2" borderId="12" xfId="0" applyFont="1" applyFill="1" applyBorder="1"/>
    <xf numFmtId="0" fontId="42" fillId="2" borderId="13" xfId="0" applyFont="1" applyFill="1" applyBorder="1"/>
    <xf numFmtId="0" fontId="42" fillId="2" borderId="11" xfId="0" applyFont="1" applyFill="1" applyBorder="1"/>
    <xf numFmtId="10" fontId="18" fillId="2" borderId="13" xfId="2" applyNumberFormat="1" applyFont="1" applyFill="1" applyBorder="1" applyAlignment="1">
      <alignment horizontal="right"/>
    </xf>
    <xf numFmtId="0" fontId="4" fillId="2" borderId="15" xfId="0" applyFont="1" applyFill="1" applyBorder="1"/>
    <xf numFmtId="0" fontId="7" fillId="2" borderId="15" xfId="0" applyFont="1" applyFill="1" applyBorder="1" applyAlignment="1">
      <alignment horizontal="right"/>
    </xf>
    <xf numFmtId="0" fontId="4" fillId="2" borderId="10" xfId="0" applyFont="1" applyFill="1" applyBorder="1" applyAlignment="1">
      <alignment horizontal="left"/>
    </xf>
    <xf numFmtId="0" fontId="12" fillId="2" borderId="10" xfId="0" applyFont="1" applyFill="1" applyBorder="1" applyAlignment="1">
      <alignment horizontal="center"/>
    </xf>
    <xf numFmtId="49" fontId="27" fillId="2" borderId="5" xfId="0" applyNumberFormat="1" applyFont="1" applyFill="1" applyBorder="1" applyAlignment="1">
      <alignment horizontal="right"/>
    </xf>
    <xf numFmtId="49" fontId="27" fillId="2" borderId="0" xfId="0" applyNumberFormat="1" applyFont="1" applyFill="1" applyAlignment="1">
      <alignment horizontal="right"/>
    </xf>
    <xf numFmtId="49" fontId="27" fillId="2" borderId="6" xfId="0" applyNumberFormat="1" applyFont="1" applyFill="1" applyBorder="1" applyAlignment="1">
      <alignment horizontal="right"/>
    </xf>
    <xf numFmtId="49" fontId="35" fillId="2" borderId="5" xfId="0" applyNumberFormat="1" applyFont="1" applyFill="1" applyBorder="1" applyAlignment="1">
      <alignment horizontal="right"/>
    </xf>
    <xf numFmtId="49" fontId="35" fillId="2" borderId="0" xfId="0" applyNumberFormat="1" applyFont="1" applyFill="1" applyAlignment="1">
      <alignment horizontal="right"/>
    </xf>
    <xf numFmtId="49" fontId="35" fillId="2" borderId="6" xfId="0" applyNumberFormat="1" applyFont="1" applyFill="1" applyBorder="1" applyAlignment="1">
      <alignment horizontal="right"/>
    </xf>
    <xf numFmtId="0" fontId="4" fillId="2" borderId="14" xfId="0" applyFont="1" applyFill="1" applyBorder="1" applyAlignment="1">
      <alignment horizontal="left"/>
    </xf>
    <xf numFmtId="0" fontId="12" fillId="2" borderId="14" xfId="0" applyFont="1" applyFill="1" applyBorder="1" applyAlignment="1">
      <alignment horizontal="right"/>
    </xf>
    <xf numFmtId="49" fontId="27" fillId="2" borderId="7" xfId="0" applyNumberFormat="1" applyFont="1" applyFill="1" applyBorder="1" applyAlignment="1">
      <alignment horizontal="right"/>
    </xf>
    <xf numFmtId="49" fontId="27" fillId="2" borderId="8" xfId="0" applyNumberFormat="1" applyFont="1" applyFill="1" applyBorder="1" applyAlignment="1">
      <alignment horizontal="right"/>
    </xf>
    <xf numFmtId="49" fontId="27" fillId="2" borderId="9" xfId="0" applyNumberFormat="1" applyFont="1" applyFill="1" applyBorder="1" applyAlignment="1">
      <alignment horizontal="center"/>
    </xf>
    <xf numFmtId="49" fontId="35" fillId="2" borderId="7" xfId="0" applyNumberFormat="1" applyFont="1" applyFill="1" applyBorder="1" applyAlignment="1">
      <alignment horizontal="right"/>
    </xf>
    <xf numFmtId="49" fontId="35" fillId="2" borderId="8" xfId="0" applyNumberFormat="1" applyFont="1" applyFill="1" applyBorder="1" applyAlignment="1">
      <alignment horizontal="right"/>
    </xf>
    <xf numFmtId="49" fontId="35" fillId="2" borderId="9" xfId="0" applyNumberFormat="1" applyFont="1" applyFill="1" applyBorder="1" applyAlignment="1">
      <alignment horizontal="center"/>
    </xf>
    <xf numFmtId="166" fontId="39" fillId="2" borderId="0" xfId="1" applyNumberFormat="1" applyFont="1" applyFill="1" applyBorder="1" applyAlignment="1">
      <alignment horizontal="right"/>
    </xf>
    <xf numFmtId="166" fontId="29" fillId="2" borderId="0" xfId="1" applyNumberFormat="1" applyFont="1" applyFill="1" applyBorder="1" applyAlignment="1">
      <alignment horizontal="right"/>
    </xf>
    <xf numFmtId="10" fontId="29" fillId="2" borderId="6" xfId="2" applyNumberFormat="1" applyFont="1" applyFill="1" applyBorder="1" applyAlignment="1">
      <alignment horizontal="right"/>
    </xf>
    <xf numFmtId="167" fontId="40" fillId="2" borderId="0" xfId="0" applyNumberFormat="1" applyFont="1" applyFill="1"/>
    <xf numFmtId="0" fontId="24" fillId="2" borderId="0" xfId="0" applyFont="1" applyFill="1"/>
    <xf numFmtId="171" fontId="24" fillId="2" borderId="0" xfId="0" applyNumberFormat="1" applyFont="1" applyFill="1"/>
    <xf numFmtId="10" fontId="25" fillId="2" borderId="6" xfId="2" applyNumberFormat="1" applyFont="1" applyFill="1" applyBorder="1" applyAlignment="1">
      <alignment horizontal="right"/>
    </xf>
    <xf numFmtId="167" fontId="24" fillId="2" borderId="0" xfId="0" applyNumberFormat="1" applyFont="1" applyFill="1"/>
    <xf numFmtId="167" fontId="42" fillId="2" borderId="0" xfId="0" applyNumberFormat="1" applyFont="1" applyFill="1"/>
    <xf numFmtId="170" fontId="29" fillId="2" borderId="0" xfId="0" applyNumberFormat="1" applyFont="1" applyFill="1"/>
    <xf numFmtId="10" fontId="29" fillId="2" borderId="0" xfId="2" applyNumberFormat="1" applyFont="1" applyFill="1" applyBorder="1" applyAlignment="1">
      <alignment horizontal="right"/>
    </xf>
    <xf numFmtId="10" fontId="25" fillId="2" borderId="0" xfId="2" applyNumberFormat="1" applyFont="1" applyFill="1" applyBorder="1" applyAlignment="1">
      <alignment horizontal="right"/>
    </xf>
    <xf numFmtId="166" fontId="15" fillId="2" borderId="0" xfId="1" applyNumberFormat="1" applyFont="1" applyFill="1" applyBorder="1" applyAlignment="1">
      <alignment horizontal="right"/>
    </xf>
    <xf numFmtId="10" fontId="18" fillId="2" borderId="0" xfId="2" applyNumberFormat="1" applyFont="1" applyFill="1" applyBorder="1" applyAlignment="1">
      <alignment horizontal="right"/>
    </xf>
    <xf numFmtId="167" fontId="39" fillId="2" borderId="0" xfId="0" applyNumberFormat="1" applyFont="1" applyFill="1"/>
    <xf numFmtId="0" fontId="40" fillId="2" borderId="0" xfId="0" applyFont="1" applyFill="1"/>
    <xf numFmtId="43" fontId="15" fillId="0" borderId="0" xfId="1" applyFont="1" applyFill="1" applyBorder="1" applyAlignment="1">
      <alignment horizontal="left"/>
    </xf>
    <xf numFmtId="43" fontId="16" fillId="0" borderId="5" xfId="1" applyFont="1" applyBorder="1" applyAlignment="1">
      <alignment horizontal="right"/>
    </xf>
    <xf numFmtId="43" fontId="16" fillId="0" borderId="0" xfId="1" applyFont="1" applyBorder="1" applyAlignment="1">
      <alignment horizontal="right"/>
    </xf>
    <xf numFmtId="43" fontId="15" fillId="4" borderId="0" xfId="1" applyFont="1" applyFill="1" applyBorder="1" applyAlignment="1">
      <alignment horizontal="right"/>
    </xf>
    <xf numFmtId="166" fontId="15" fillId="2" borderId="0" xfId="1" applyNumberFormat="1" applyFont="1" applyFill="1" applyBorder="1" applyAlignment="1">
      <alignment horizontal="left"/>
    </xf>
    <xf numFmtId="166" fontId="15" fillId="2" borderId="6" xfId="1" applyNumberFormat="1" applyFont="1" applyFill="1" applyBorder="1" applyAlignment="1">
      <alignment horizontal="left"/>
    </xf>
    <xf numFmtId="15" fontId="48" fillId="2" borderId="1" xfId="0" applyNumberFormat="1" applyFont="1" applyFill="1" applyBorder="1" applyAlignment="1">
      <alignment horizontal="left"/>
    </xf>
    <xf numFmtId="15" fontId="48" fillId="2" borderId="17" xfId="0" applyNumberFormat="1" applyFont="1" applyFill="1" applyBorder="1" applyAlignment="1">
      <alignment horizontal="left"/>
    </xf>
    <xf numFmtId="14" fontId="44" fillId="2" borderId="0" xfId="0" applyNumberFormat="1" applyFont="1" applyFill="1"/>
    <xf numFmtId="49" fontId="8" fillId="0" borderId="2" xfId="0" applyNumberFormat="1" applyFont="1" applyBorder="1" applyAlignment="1">
      <alignment horizontal="center"/>
    </xf>
    <xf numFmtId="49" fontId="8" fillId="0" borderId="3" xfId="0" applyNumberFormat="1" applyFont="1" applyBorder="1" applyAlignment="1">
      <alignment horizontal="center"/>
    </xf>
    <xf numFmtId="49" fontId="10" fillId="0" borderId="2" xfId="0" applyNumberFormat="1" applyFont="1" applyBorder="1" applyAlignment="1">
      <alignment horizontal="center"/>
    </xf>
    <xf numFmtId="49" fontId="10" fillId="0" borderId="3" xfId="0" applyNumberFormat="1" applyFont="1" applyBorder="1" applyAlignment="1">
      <alignment horizontal="center"/>
    </xf>
    <xf numFmtId="49" fontId="3" fillId="0" borderId="2" xfId="0" applyNumberFormat="1" applyFont="1" applyBorder="1" applyAlignment="1">
      <alignment horizontal="center"/>
    </xf>
    <xf numFmtId="49" fontId="3" fillId="0" borderId="3" xfId="0" applyNumberFormat="1" applyFont="1" applyBorder="1" applyAlignment="1">
      <alignment horizontal="center"/>
    </xf>
    <xf numFmtId="49" fontId="3" fillId="0" borderId="4" xfId="0" applyNumberFormat="1" applyFont="1" applyBorder="1" applyAlignment="1">
      <alignment horizontal="center"/>
    </xf>
    <xf numFmtId="166" fontId="57" fillId="0" borderId="0" xfId="1" applyNumberFormat="1" applyFont="1" applyBorder="1" applyAlignment="1">
      <alignment horizontal="left" vertical="top" wrapText="1"/>
    </xf>
    <xf numFmtId="166" fontId="57" fillId="0" borderId="0" xfId="1" applyNumberFormat="1" applyFont="1" applyBorder="1" applyAlignment="1">
      <alignment horizontal="left" wrapText="1"/>
    </xf>
    <xf numFmtId="49" fontId="33" fillId="0" borderId="2" xfId="0" applyNumberFormat="1" applyFont="1" applyBorder="1" applyAlignment="1">
      <alignment horizontal="center"/>
    </xf>
    <xf numFmtId="49" fontId="33" fillId="0" borderId="3" xfId="0" applyNumberFormat="1" applyFont="1" applyBorder="1" applyAlignment="1">
      <alignment horizontal="center"/>
    </xf>
    <xf numFmtId="49" fontId="33" fillId="0" borderId="4" xfId="0" applyNumberFormat="1" applyFont="1" applyBorder="1" applyAlignment="1">
      <alignment horizontal="center"/>
    </xf>
    <xf numFmtId="49" fontId="34" fillId="0" borderId="2" xfId="0" applyNumberFormat="1" applyFont="1" applyBorder="1" applyAlignment="1">
      <alignment horizontal="center"/>
    </xf>
    <xf numFmtId="49" fontId="34" fillId="0" borderId="3" xfId="0" applyNumberFormat="1" applyFont="1" applyBorder="1" applyAlignment="1">
      <alignment horizontal="center"/>
    </xf>
    <xf numFmtId="49" fontId="34" fillId="0" borderId="4" xfId="0" applyNumberFormat="1" applyFont="1" applyBorder="1" applyAlignment="1">
      <alignment horizontal="center"/>
    </xf>
    <xf numFmtId="49" fontId="9" fillId="0" borderId="2" xfId="0" applyNumberFormat="1" applyFont="1" applyBorder="1" applyAlignment="1">
      <alignment horizontal="center"/>
    </xf>
    <xf numFmtId="49" fontId="9" fillId="0" borderId="3" xfId="0" applyNumberFormat="1" applyFont="1" applyBorder="1" applyAlignment="1">
      <alignment horizontal="center"/>
    </xf>
    <xf numFmtId="49" fontId="9" fillId="0" borderId="4" xfId="0" applyNumberFormat="1" applyFont="1" applyBorder="1" applyAlignment="1">
      <alignment horizontal="center"/>
    </xf>
    <xf numFmtId="49" fontId="10" fillId="0" borderId="4" xfId="0" applyNumberFormat="1" applyFont="1" applyBorder="1" applyAlignment="1">
      <alignment horizontal="center"/>
    </xf>
    <xf numFmtId="49" fontId="34" fillId="2" borderId="2" xfId="0" applyNumberFormat="1" applyFont="1" applyFill="1" applyBorder="1" applyAlignment="1">
      <alignment horizontal="center"/>
    </xf>
    <xf numFmtId="49" fontId="34" fillId="2" borderId="3" xfId="0" applyNumberFormat="1" applyFont="1" applyFill="1" applyBorder="1" applyAlignment="1">
      <alignment horizontal="center"/>
    </xf>
    <xf numFmtId="49" fontId="34" fillId="2" borderId="4" xfId="0" applyNumberFormat="1" applyFont="1" applyFill="1" applyBorder="1" applyAlignment="1">
      <alignment horizontal="center"/>
    </xf>
    <xf numFmtId="49" fontId="56" fillId="2" borderId="2" xfId="0" applyNumberFormat="1" applyFont="1" applyFill="1" applyBorder="1" applyAlignment="1">
      <alignment horizontal="center"/>
    </xf>
    <xf numFmtId="49" fontId="56" fillId="2" borderId="3" xfId="0" applyNumberFormat="1" applyFont="1" applyFill="1" applyBorder="1" applyAlignment="1">
      <alignment horizontal="center"/>
    </xf>
    <xf numFmtId="49" fontId="56" fillId="2" borderId="4" xfId="0" applyNumberFormat="1" applyFont="1" applyFill="1" applyBorder="1" applyAlignment="1">
      <alignment horizontal="center"/>
    </xf>
    <xf numFmtId="165" fontId="61" fillId="3" borderId="16" xfId="0" applyNumberFormat="1" applyFont="1" applyFill="1" applyBorder="1" applyAlignment="1">
      <alignment horizontal="left"/>
    </xf>
    <xf numFmtId="165" fontId="61" fillId="2" borderId="16" xfId="0" applyNumberFormat="1" applyFont="1" applyFill="1" applyBorder="1" applyAlignment="1">
      <alignment horizontal="left"/>
    </xf>
    <xf numFmtId="165" fontId="59" fillId="3" borderId="16" xfId="0" applyNumberFormat="1" applyFont="1" applyFill="1" applyBorder="1" applyAlignment="1">
      <alignment horizontal="left" wrapText="1"/>
    </xf>
    <xf numFmtId="0" fontId="48" fillId="2" borderId="5" xfId="0" applyFont="1" applyFill="1" applyBorder="1" applyAlignment="1">
      <alignment horizontal="center" vertical="center" wrapText="1"/>
    </xf>
    <xf numFmtId="0" fontId="48" fillId="2" borderId="7" xfId="0" applyFont="1" applyFill="1" applyBorder="1" applyAlignment="1">
      <alignment horizontal="center" vertical="center" wrapText="1"/>
    </xf>
    <xf numFmtId="0" fontId="45" fillId="2" borderId="11" xfId="0" applyFont="1" applyFill="1" applyBorder="1" applyAlignment="1">
      <alignment horizontal="center"/>
    </xf>
    <xf numFmtId="0" fontId="45" fillId="2" borderId="12" xfId="0" applyFont="1" applyFill="1" applyBorder="1" applyAlignment="1">
      <alignment horizontal="center"/>
    </xf>
    <xf numFmtId="0" fontId="45" fillId="2" borderId="13" xfId="0" applyFont="1" applyFill="1" applyBorder="1" applyAlignment="1">
      <alignment horizontal="center"/>
    </xf>
    <xf numFmtId="0" fontId="46" fillId="2" borderId="11" xfId="0" applyFont="1" applyFill="1" applyBorder="1" applyAlignment="1">
      <alignment horizontal="center"/>
    </xf>
    <xf numFmtId="0" fontId="46" fillId="2" borderId="12" xfId="0" applyFont="1" applyFill="1" applyBorder="1" applyAlignment="1">
      <alignment horizontal="center"/>
    </xf>
    <xf numFmtId="0" fontId="46" fillId="2" borderId="13" xfId="0" applyFont="1" applyFill="1" applyBorder="1" applyAlignment="1">
      <alignment horizontal="center"/>
    </xf>
    <xf numFmtId="0" fontId="58" fillId="2" borderId="0" xfId="0" applyFont="1" applyFill="1" applyAlignment="1">
      <alignment horizontal="left" vertical="top" wrapText="1"/>
    </xf>
    <xf numFmtId="15" fontId="48" fillId="2" borderId="11" xfId="0" applyNumberFormat="1" applyFont="1" applyFill="1" applyBorder="1" applyAlignment="1">
      <alignment horizontal="center"/>
    </xf>
    <xf numFmtId="15" fontId="48" fillId="2" borderId="12" xfId="0" applyNumberFormat="1" applyFont="1" applyFill="1" applyBorder="1" applyAlignment="1">
      <alignment horizontal="center"/>
    </xf>
    <xf numFmtId="15" fontId="48" fillId="2" borderId="13" xfId="0" applyNumberFormat="1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1" defaultTableStyle="TableStyleMedium2" defaultPivotStyle="PivotStyleLight16">
    <tableStyle name="Invisible" pivot="0" table="0" count="0" xr9:uid="{E3A73E38-68BF-49A3-BB48-9B0F5A98BAED}"/>
  </tableStyles>
  <colors>
    <mruColors>
      <color rgb="FF3333FF"/>
      <color rgb="FFFF00FF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63"/>
  <sheetViews>
    <sheetView zoomScale="80" zoomScaleNormal="80" zoomScalePageLayoutView="80" workbookViewId="0">
      <pane xSplit="2" ySplit="7" topLeftCell="C44" activePane="bottomRight" state="frozen"/>
      <selection pane="bottomRight" activeCell="K60" sqref="K60"/>
      <selection pane="bottomLeft" activeCell="A8" sqref="A8"/>
      <selection pane="topRight" activeCell="C1" sqref="C1"/>
    </sheetView>
  </sheetViews>
  <sheetFormatPr defaultColWidth="14" defaultRowHeight="14.25"/>
  <cols>
    <col min="1" max="1" width="14" style="235"/>
    <col min="2" max="2" width="16.42578125" style="235" bestFit="1" customWidth="1"/>
    <col min="3" max="3" width="14.28515625" style="235" customWidth="1"/>
    <col min="4" max="4" width="14.28515625" style="235" bestFit="1" customWidth="1"/>
    <col min="5" max="5" width="15.140625" style="235" bestFit="1" customWidth="1"/>
    <col min="6" max="6" width="14" style="235" customWidth="1"/>
    <col min="7" max="7" width="14.42578125" style="235" bestFit="1" customWidth="1"/>
    <col min="8" max="8" width="14.28515625" style="235" bestFit="1" customWidth="1"/>
    <col min="9" max="9" width="14.85546875" style="235" bestFit="1" customWidth="1"/>
    <col min="10" max="10" width="14.28515625" style="235" bestFit="1" customWidth="1"/>
    <col min="11" max="11" width="18.85546875" style="235" customWidth="1"/>
    <col min="12" max="12" width="14" style="235" customWidth="1"/>
    <col min="13" max="14" width="14.28515625" style="235" bestFit="1" customWidth="1"/>
    <col min="15" max="15" width="16.42578125" style="235" bestFit="1" customWidth="1"/>
    <col min="16" max="17" width="14.28515625" style="235" bestFit="1" customWidth="1"/>
    <col min="18" max="18" width="14" style="235" customWidth="1"/>
    <col min="19" max="20" width="14.28515625" style="235" bestFit="1" customWidth="1"/>
    <col min="21" max="21" width="14.85546875" style="235" bestFit="1" customWidth="1"/>
    <col min="22" max="23" width="14.28515625" style="235" bestFit="1" customWidth="1"/>
    <col min="24" max="24" width="14" style="235" customWidth="1"/>
    <col min="25" max="26" width="14.28515625" style="235" bestFit="1" customWidth="1"/>
    <col min="27" max="27" width="14.85546875" style="235" bestFit="1" customWidth="1"/>
    <col min="28" max="30" width="14.28515625" style="235" bestFit="1" customWidth="1"/>
    <col min="31" max="31" width="16.42578125" style="235" bestFit="1" customWidth="1"/>
    <col min="32" max="36" width="14" style="235"/>
    <col min="37" max="37" width="16.42578125" style="235" bestFit="1" customWidth="1"/>
    <col min="38" max="40" width="14" style="235"/>
    <col min="41" max="41" width="15.7109375" style="235" bestFit="1" customWidth="1"/>
    <col min="42" max="42" width="14" style="235"/>
    <col min="43" max="43" width="16.42578125" style="235" bestFit="1" customWidth="1"/>
    <col min="44" max="16384" width="14" style="235"/>
  </cols>
  <sheetData>
    <row r="1" spans="1:32" ht="15" thickBot="1">
      <c r="A1" s="234">
        <v>10000</v>
      </c>
      <c r="C1" s="236"/>
      <c r="D1" s="236"/>
      <c r="E1" s="236"/>
      <c r="F1" s="236"/>
      <c r="G1" s="237"/>
      <c r="H1" s="236"/>
      <c r="I1" s="236"/>
      <c r="J1" s="236"/>
      <c r="K1" s="236"/>
      <c r="L1" s="236"/>
      <c r="M1" s="236"/>
      <c r="N1" s="236"/>
      <c r="O1" s="236"/>
      <c r="P1" s="236"/>
      <c r="Q1" s="236"/>
      <c r="R1" s="236"/>
      <c r="S1" s="236"/>
      <c r="T1" s="236"/>
      <c r="U1" s="236"/>
      <c r="V1" s="236"/>
      <c r="W1" s="236"/>
      <c r="X1" s="236"/>
      <c r="Y1" s="236"/>
      <c r="Z1" s="236"/>
      <c r="AA1" s="236"/>
      <c r="AB1" s="236"/>
    </row>
    <row r="2" spans="1:32" ht="18">
      <c r="A2" s="238"/>
      <c r="B2" s="1"/>
      <c r="C2" s="2" t="s">
        <v>0</v>
      </c>
      <c r="D2" s="239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2" t="s">
        <v>1</v>
      </c>
      <c r="Q2" s="3"/>
      <c r="R2" s="3"/>
      <c r="S2" s="3"/>
      <c r="T2" s="239"/>
      <c r="U2" s="239"/>
      <c r="V2" s="3"/>
      <c r="W2" s="3"/>
      <c r="X2" s="3"/>
      <c r="Y2" s="3"/>
      <c r="Z2" s="3"/>
      <c r="AA2" s="3"/>
      <c r="AB2" s="3"/>
      <c r="AC2" s="1"/>
      <c r="AD2" s="4"/>
      <c r="AE2" s="5"/>
    </row>
    <row r="3" spans="1:32" ht="18">
      <c r="A3" s="240"/>
      <c r="B3" s="6"/>
      <c r="C3" s="174" t="s">
        <v>2</v>
      </c>
      <c r="E3" s="6"/>
      <c r="F3" s="6"/>
      <c r="G3" s="7"/>
      <c r="H3" s="7"/>
      <c r="I3" s="8"/>
      <c r="J3" s="8"/>
      <c r="K3" s="8"/>
      <c r="L3" s="8"/>
      <c r="M3" s="8"/>
      <c r="N3" s="8"/>
      <c r="O3" s="8"/>
      <c r="P3" s="174" t="s">
        <v>2</v>
      </c>
      <c r="R3" s="9"/>
      <c r="S3" s="175"/>
      <c r="T3" s="175"/>
      <c r="U3" s="175"/>
      <c r="V3" s="7"/>
      <c r="W3" s="8"/>
      <c r="X3" s="8"/>
      <c r="Y3" s="8"/>
      <c r="Z3" s="8"/>
      <c r="AA3" s="8"/>
      <c r="AB3" s="9"/>
      <c r="AC3" s="5"/>
      <c r="AD3" s="10"/>
      <c r="AE3" s="5"/>
    </row>
    <row r="4" spans="1:32" ht="21" thickBot="1">
      <c r="A4" s="11" t="s">
        <v>3</v>
      </c>
      <c r="B4" s="12"/>
      <c r="C4" s="6"/>
      <c r="D4" s="6" t="s">
        <v>4</v>
      </c>
      <c r="E4" s="6"/>
      <c r="F4" s="6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6"/>
      <c r="T4" s="6"/>
      <c r="U4" s="6"/>
      <c r="V4" s="6"/>
      <c r="W4" s="6"/>
      <c r="X4" s="6"/>
      <c r="Y4" s="6"/>
      <c r="Z4" s="6"/>
      <c r="AA4" s="13"/>
      <c r="AB4" s="13"/>
      <c r="AC4" s="5"/>
      <c r="AD4" s="10"/>
      <c r="AE4" s="5"/>
    </row>
    <row r="5" spans="1:32" ht="18">
      <c r="A5" s="14" t="s">
        <v>5</v>
      </c>
      <c r="B5" s="15" t="s">
        <v>6</v>
      </c>
      <c r="C5" s="403" t="s">
        <v>7</v>
      </c>
      <c r="D5" s="404"/>
      <c r="E5" s="404"/>
      <c r="F5" s="404"/>
      <c r="G5" s="404"/>
      <c r="H5" s="16"/>
      <c r="I5" s="132" t="s">
        <v>8</v>
      </c>
      <c r="J5" s="132"/>
      <c r="K5" s="132"/>
      <c r="L5" s="132"/>
      <c r="M5" s="132"/>
      <c r="N5" s="132"/>
      <c r="O5" s="17" t="s">
        <v>9</v>
      </c>
      <c r="P5" s="18"/>
      <c r="Q5" s="18"/>
      <c r="R5" s="18"/>
      <c r="S5" s="18"/>
      <c r="T5" s="16"/>
      <c r="U5" s="405" t="s">
        <v>10</v>
      </c>
      <c r="V5" s="406"/>
      <c r="W5" s="406"/>
      <c r="X5" s="406"/>
      <c r="Y5" s="406"/>
      <c r="Z5" s="406"/>
      <c r="AA5" s="407" t="s">
        <v>11</v>
      </c>
      <c r="AB5" s="408"/>
      <c r="AC5" s="408"/>
      <c r="AD5" s="409"/>
      <c r="AE5" s="19"/>
      <c r="AF5" s="20"/>
    </row>
    <row r="6" spans="1:32">
      <c r="A6" s="21" t="s">
        <v>12</v>
      </c>
      <c r="B6" s="22"/>
      <c r="C6" s="23" t="s">
        <v>13</v>
      </c>
      <c r="D6" s="24" t="s">
        <v>14</v>
      </c>
      <c r="E6" s="24" t="s">
        <v>15</v>
      </c>
      <c r="F6" s="24" t="s">
        <v>16</v>
      </c>
      <c r="G6" s="24" t="s">
        <v>17</v>
      </c>
      <c r="H6" s="25" t="s">
        <v>18</v>
      </c>
      <c r="I6" s="133" t="s">
        <v>13</v>
      </c>
      <c r="J6" s="133" t="s">
        <v>14</v>
      </c>
      <c r="K6" s="133" t="s">
        <v>15</v>
      </c>
      <c r="L6" s="133" t="s">
        <v>16</v>
      </c>
      <c r="M6" s="133" t="s">
        <v>17</v>
      </c>
      <c r="N6" s="133" t="s">
        <v>18</v>
      </c>
      <c r="O6" s="23" t="s">
        <v>13</v>
      </c>
      <c r="P6" s="24" t="s">
        <v>14</v>
      </c>
      <c r="Q6" s="24" t="s">
        <v>15</v>
      </c>
      <c r="R6" s="24" t="s">
        <v>16</v>
      </c>
      <c r="S6" s="24" t="s">
        <v>17</v>
      </c>
      <c r="T6" s="25" t="s">
        <v>18</v>
      </c>
      <c r="U6" s="26" t="s">
        <v>13</v>
      </c>
      <c r="V6" s="26" t="s">
        <v>14</v>
      </c>
      <c r="W6" s="26" t="s">
        <v>15</v>
      </c>
      <c r="X6" s="26" t="s">
        <v>16</v>
      </c>
      <c r="Y6" s="26" t="s">
        <v>17</v>
      </c>
      <c r="Z6" s="26" t="s">
        <v>18</v>
      </c>
      <c r="AA6" s="23" t="s">
        <v>13</v>
      </c>
      <c r="AB6" s="24" t="s">
        <v>14</v>
      </c>
      <c r="AC6" s="24" t="s">
        <v>19</v>
      </c>
      <c r="AD6" s="25" t="s">
        <v>18</v>
      </c>
      <c r="AE6" s="24"/>
      <c r="AF6" s="20"/>
    </row>
    <row r="7" spans="1:32" ht="15" thickBot="1">
      <c r="A7" s="27"/>
      <c r="B7" s="28" t="s">
        <v>20</v>
      </c>
      <c r="C7" s="29" t="s">
        <v>21</v>
      </c>
      <c r="D7" s="30" t="s">
        <v>21</v>
      </c>
      <c r="E7" s="30" t="s">
        <v>21</v>
      </c>
      <c r="F7" s="30" t="s">
        <v>21</v>
      </c>
      <c r="G7" s="30" t="s">
        <v>21</v>
      </c>
      <c r="H7" s="31" t="s">
        <v>22</v>
      </c>
      <c r="I7" s="134" t="s">
        <v>21</v>
      </c>
      <c r="J7" s="134" t="s">
        <v>21</v>
      </c>
      <c r="K7" s="134" t="s">
        <v>21</v>
      </c>
      <c r="L7" s="134" t="s">
        <v>21</v>
      </c>
      <c r="M7" s="134" t="s">
        <v>21</v>
      </c>
      <c r="N7" s="135" t="s">
        <v>22</v>
      </c>
      <c r="O7" s="29" t="s">
        <v>21</v>
      </c>
      <c r="P7" s="30" t="s">
        <v>21</v>
      </c>
      <c r="Q7" s="30" t="s">
        <v>21</v>
      </c>
      <c r="R7" s="30" t="s">
        <v>21</v>
      </c>
      <c r="S7" s="30" t="s">
        <v>21</v>
      </c>
      <c r="T7" s="31" t="s">
        <v>22</v>
      </c>
      <c r="U7" s="32" t="s">
        <v>23</v>
      </c>
      <c r="V7" s="32" t="s">
        <v>23</v>
      </c>
      <c r="W7" s="32" t="s">
        <v>23</v>
      </c>
      <c r="X7" s="32" t="s">
        <v>23</v>
      </c>
      <c r="Y7" s="32" t="s">
        <v>23</v>
      </c>
      <c r="Z7" s="33" t="s">
        <v>22</v>
      </c>
      <c r="AA7" s="29" t="s">
        <v>21</v>
      </c>
      <c r="AB7" s="30" t="s">
        <v>21</v>
      </c>
      <c r="AC7" s="30" t="s">
        <v>21</v>
      </c>
      <c r="AD7" s="31" t="s">
        <v>22</v>
      </c>
      <c r="AE7" s="24"/>
      <c r="AF7" s="20"/>
    </row>
    <row r="8" spans="1:32" ht="15">
      <c r="A8" s="169">
        <v>32522</v>
      </c>
      <c r="B8" s="35">
        <v>260</v>
      </c>
      <c r="C8" s="36">
        <v>37.9</v>
      </c>
      <c r="D8" s="37">
        <v>15.84</v>
      </c>
      <c r="E8" s="37">
        <v>6.86</v>
      </c>
      <c r="F8" s="37">
        <f t="shared" ref="F8:F27" si="0">D8+E8</f>
        <v>22.7</v>
      </c>
      <c r="G8" s="38">
        <f t="shared" ref="G8:G43" si="1">C8+D8+E8</f>
        <v>60.599999999999994</v>
      </c>
      <c r="H8" s="39"/>
      <c r="I8" s="136">
        <v>36.74</v>
      </c>
      <c r="J8" s="136">
        <v>11.49</v>
      </c>
      <c r="K8" s="136">
        <v>6.86</v>
      </c>
      <c r="L8" s="136">
        <f>J8+K8</f>
        <v>18.350000000000001</v>
      </c>
      <c r="M8" s="137">
        <f>I8+J8+K8</f>
        <v>55.09</v>
      </c>
      <c r="N8" s="137"/>
      <c r="O8" s="36">
        <v>24.94</v>
      </c>
      <c r="P8" s="37">
        <v>10</v>
      </c>
      <c r="Q8" s="37">
        <v>6.86</v>
      </c>
      <c r="R8" s="37">
        <f>P8+Q8</f>
        <v>16.86</v>
      </c>
      <c r="S8" s="38">
        <f>O8+P8+Q8</f>
        <v>41.8</v>
      </c>
      <c r="T8" s="39"/>
      <c r="U8" s="40">
        <v>41.78</v>
      </c>
      <c r="V8" s="40">
        <v>24.24</v>
      </c>
      <c r="W8" s="183">
        <v>22.16</v>
      </c>
      <c r="X8" s="183">
        <f>V8+W8</f>
        <v>46.4</v>
      </c>
      <c r="Y8" s="184">
        <f>U8+V8+W8</f>
        <v>88.179999999999993</v>
      </c>
      <c r="Z8" s="41"/>
      <c r="AA8" s="36">
        <v>25.49</v>
      </c>
      <c r="AB8" s="37">
        <v>8.9</v>
      </c>
      <c r="AC8" s="38">
        <f>AA8+AB8</f>
        <v>34.39</v>
      </c>
      <c r="AD8" s="39"/>
      <c r="AE8" s="42"/>
      <c r="AF8" s="20"/>
    </row>
    <row r="9" spans="1:32" ht="15">
      <c r="A9" s="101">
        <v>32752</v>
      </c>
      <c r="B9" s="35">
        <v>260</v>
      </c>
      <c r="C9" s="36">
        <v>37.9</v>
      </c>
      <c r="D9" s="37">
        <v>15.84</v>
      </c>
      <c r="E9" s="37">
        <v>6.86</v>
      </c>
      <c r="F9" s="37">
        <f t="shared" si="0"/>
        <v>22.7</v>
      </c>
      <c r="G9" s="38">
        <f t="shared" si="1"/>
        <v>60.599999999999994</v>
      </c>
      <c r="H9" s="43">
        <f t="shared" ref="H9:H41" si="2">G9/G8-1</f>
        <v>0</v>
      </c>
      <c r="I9" s="136">
        <v>36.74</v>
      </c>
      <c r="J9" s="136">
        <v>11.5</v>
      </c>
      <c r="K9" s="136">
        <v>6.86</v>
      </c>
      <c r="L9" s="136">
        <f t="shared" ref="L9:L43" si="3">J9+K9</f>
        <v>18.36</v>
      </c>
      <c r="M9" s="137">
        <f t="shared" ref="M9:M43" si="4">I9+J9+K9</f>
        <v>55.1</v>
      </c>
      <c r="N9" s="138">
        <f>M9/M8-1</f>
        <v>1.8152114721359247E-4</v>
      </c>
      <c r="O9" s="36">
        <v>24.94</v>
      </c>
      <c r="P9" s="37">
        <v>10</v>
      </c>
      <c r="Q9" s="37">
        <v>6.86</v>
      </c>
      <c r="R9" s="37">
        <f t="shared" ref="R9:R43" si="5">P9+Q9</f>
        <v>16.86</v>
      </c>
      <c r="S9" s="38">
        <f t="shared" ref="S9:S41" si="6">O9+P9+Q9</f>
        <v>41.8</v>
      </c>
      <c r="T9" s="43">
        <f>S9/S8-1</f>
        <v>0</v>
      </c>
      <c r="U9" s="40">
        <v>41.78</v>
      </c>
      <c r="V9" s="40">
        <v>24.24</v>
      </c>
      <c r="W9" s="183">
        <v>22.16</v>
      </c>
      <c r="X9" s="183">
        <f t="shared" ref="X9:X43" si="7">V9+W9</f>
        <v>46.4</v>
      </c>
      <c r="Y9" s="184">
        <f t="shared" ref="Y9:Y43" si="8">U9+V9+W9</f>
        <v>88.179999999999993</v>
      </c>
      <c r="Z9" s="44">
        <f>Y9/Y8-1</f>
        <v>0</v>
      </c>
      <c r="AA9" s="36">
        <v>25.49</v>
      </c>
      <c r="AB9" s="37">
        <v>8.9</v>
      </c>
      <c r="AC9" s="38">
        <f t="shared" ref="AC9:AC58" si="9">AA9+AB9</f>
        <v>34.39</v>
      </c>
      <c r="AD9" s="43">
        <f>AC9/AC8-1</f>
        <v>0</v>
      </c>
      <c r="AE9" s="42"/>
      <c r="AF9" s="20"/>
    </row>
    <row r="10" spans="1:32" ht="15">
      <c r="A10" s="101">
        <v>32884</v>
      </c>
      <c r="B10" s="35">
        <v>330</v>
      </c>
      <c r="C10" s="36">
        <v>54.64</v>
      </c>
      <c r="D10" s="37">
        <v>12.86</v>
      </c>
      <c r="E10" s="37">
        <v>11.8</v>
      </c>
      <c r="F10" s="37">
        <f t="shared" si="0"/>
        <v>24.66</v>
      </c>
      <c r="G10" s="38">
        <f t="shared" si="1"/>
        <v>79.3</v>
      </c>
      <c r="H10" s="43">
        <f t="shared" si="2"/>
        <v>0.30858085808580871</v>
      </c>
      <c r="I10" s="136">
        <v>48.87</v>
      </c>
      <c r="J10" s="136">
        <v>12.03</v>
      </c>
      <c r="K10" s="136">
        <v>11.8</v>
      </c>
      <c r="L10" s="136">
        <f t="shared" si="3"/>
        <v>23.83</v>
      </c>
      <c r="M10" s="137">
        <f t="shared" si="4"/>
        <v>72.7</v>
      </c>
      <c r="N10" s="138">
        <f t="shared" ref="N10:N41" si="10">M10/M9-1</f>
        <v>0.31941923774954639</v>
      </c>
      <c r="O10" s="36">
        <v>42.4</v>
      </c>
      <c r="P10" s="37">
        <v>6.2</v>
      </c>
      <c r="Q10" s="37">
        <v>11.8</v>
      </c>
      <c r="R10" s="37">
        <f t="shared" si="5"/>
        <v>18</v>
      </c>
      <c r="S10" s="38">
        <f t="shared" si="6"/>
        <v>60.400000000000006</v>
      </c>
      <c r="T10" s="43">
        <f t="shared" ref="T10:T55" si="11">S10/S9-1</f>
        <v>0.44497607655502414</v>
      </c>
      <c r="U10" s="40">
        <v>42.42</v>
      </c>
      <c r="V10" s="40">
        <v>33.58</v>
      </c>
      <c r="W10" s="183">
        <v>24</v>
      </c>
      <c r="X10" s="183">
        <f t="shared" si="7"/>
        <v>57.58</v>
      </c>
      <c r="Y10" s="184">
        <f t="shared" si="8"/>
        <v>100</v>
      </c>
      <c r="Z10" s="44">
        <f t="shared" ref="Z10:Z41" si="12">Y10/Y9-1</f>
        <v>0.13404400090723523</v>
      </c>
      <c r="AA10" s="36">
        <v>35.520000000000003</v>
      </c>
      <c r="AB10" s="37">
        <v>9.6300000000000008</v>
      </c>
      <c r="AC10" s="38">
        <f t="shared" si="9"/>
        <v>45.150000000000006</v>
      </c>
      <c r="AD10" s="43">
        <f t="shared" ref="AD10:AD41" si="13">AC10/AC9-1</f>
        <v>0.31288165164291959</v>
      </c>
      <c r="AE10" s="42"/>
      <c r="AF10" s="20"/>
    </row>
    <row r="11" spans="1:32" ht="15">
      <c r="A11" s="101">
        <v>32963</v>
      </c>
      <c r="B11" s="35">
        <v>330</v>
      </c>
      <c r="C11" s="36">
        <v>58.46</v>
      </c>
      <c r="D11" s="37">
        <v>17.84</v>
      </c>
      <c r="E11" s="37">
        <v>11.8</v>
      </c>
      <c r="F11" s="37">
        <f t="shared" si="0"/>
        <v>29.64</v>
      </c>
      <c r="G11" s="38">
        <f t="shared" si="1"/>
        <v>88.1</v>
      </c>
      <c r="H11" s="43">
        <f t="shared" si="2"/>
        <v>0.11097099621689788</v>
      </c>
      <c r="I11" s="136">
        <v>52.29</v>
      </c>
      <c r="J11" s="136">
        <v>17.309999999999999</v>
      </c>
      <c r="K11" s="136">
        <v>11.8</v>
      </c>
      <c r="L11" s="136">
        <f t="shared" si="3"/>
        <v>29.11</v>
      </c>
      <c r="M11" s="137">
        <f t="shared" si="4"/>
        <v>81.399999999999991</v>
      </c>
      <c r="N11" s="138">
        <f t="shared" si="10"/>
        <v>0.11966987620357616</v>
      </c>
      <c r="O11" s="36">
        <v>45.36</v>
      </c>
      <c r="P11" s="37">
        <v>8.84</v>
      </c>
      <c r="Q11" s="37">
        <v>11.8</v>
      </c>
      <c r="R11" s="37">
        <f t="shared" si="5"/>
        <v>20.64</v>
      </c>
      <c r="S11" s="38">
        <f t="shared" si="6"/>
        <v>66</v>
      </c>
      <c r="T11" s="43">
        <f t="shared" si="11"/>
        <v>9.2715231788079278E-2</v>
      </c>
      <c r="U11" s="40">
        <v>42.42</v>
      </c>
      <c r="V11" s="40">
        <v>33.58</v>
      </c>
      <c r="W11" s="183">
        <v>24</v>
      </c>
      <c r="X11" s="183">
        <f t="shared" si="7"/>
        <v>57.58</v>
      </c>
      <c r="Y11" s="184">
        <f t="shared" si="8"/>
        <v>100</v>
      </c>
      <c r="Z11" s="44">
        <f t="shared" si="12"/>
        <v>0</v>
      </c>
      <c r="AA11" s="36">
        <v>38.01</v>
      </c>
      <c r="AB11" s="37">
        <v>12.16</v>
      </c>
      <c r="AC11" s="38">
        <f t="shared" si="9"/>
        <v>50.17</v>
      </c>
      <c r="AD11" s="43">
        <f t="shared" si="13"/>
        <v>0.11118493909191574</v>
      </c>
      <c r="AE11" s="42"/>
      <c r="AF11" s="20"/>
    </row>
    <row r="12" spans="1:32" ht="15">
      <c r="A12" s="101">
        <v>32994</v>
      </c>
      <c r="B12" s="35">
        <v>330</v>
      </c>
      <c r="C12" s="36">
        <v>54.64</v>
      </c>
      <c r="D12" s="37">
        <v>21.66</v>
      </c>
      <c r="E12" s="37">
        <v>11.8</v>
      </c>
      <c r="F12" s="37">
        <f t="shared" si="0"/>
        <v>33.46</v>
      </c>
      <c r="G12" s="38">
        <f t="shared" si="1"/>
        <v>88.1</v>
      </c>
      <c r="H12" s="43">
        <f t="shared" si="2"/>
        <v>0</v>
      </c>
      <c r="I12" s="136">
        <v>48.87</v>
      </c>
      <c r="J12" s="136">
        <v>20.73</v>
      </c>
      <c r="K12" s="136">
        <v>11.8</v>
      </c>
      <c r="L12" s="136">
        <f t="shared" si="3"/>
        <v>32.53</v>
      </c>
      <c r="M12" s="137">
        <f t="shared" si="4"/>
        <v>81.399999999999991</v>
      </c>
      <c r="N12" s="138">
        <f t="shared" si="10"/>
        <v>0</v>
      </c>
      <c r="O12" s="36">
        <v>42.4</v>
      </c>
      <c r="P12" s="37">
        <v>11.8</v>
      </c>
      <c r="Q12" s="37">
        <v>11.8</v>
      </c>
      <c r="R12" s="37">
        <f t="shared" si="5"/>
        <v>23.6</v>
      </c>
      <c r="S12" s="38">
        <f t="shared" si="6"/>
        <v>66</v>
      </c>
      <c r="T12" s="43">
        <f t="shared" si="11"/>
        <v>0</v>
      </c>
      <c r="U12" s="40">
        <v>42.42</v>
      </c>
      <c r="V12" s="40">
        <v>20.58</v>
      </c>
      <c r="W12" s="183">
        <v>37</v>
      </c>
      <c r="X12" s="183">
        <f t="shared" si="7"/>
        <v>57.58</v>
      </c>
      <c r="Y12" s="184">
        <f t="shared" si="8"/>
        <v>100</v>
      </c>
      <c r="Z12" s="44">
        <f t="shared" si="12"/>
        <v>0</v>
      </c>
      <c r="AA12" s="36">
        <v>35.520000000000003</v>
      </c>
      <c r="AB12" s="37">
        <v>14.65</v>
      </c>
      <c r="AC12" s="38">
        <f t="shared" si="9"/>
        <v>50.17</v>
      </c>
      <c r="AD12" s="43">
        <f t="shared" si="13"/>
        <v>0</v>
      </c>
      <c r="AE12" s="42"/>
      <c r="AF12" s="20"/>
    </row>
    <row r="13" spans="1:32" ht="15">
      <c r="A13" s="101">
        <v>33105</v>
      </c>
      <c r="B13" s="35">
        <v>330</v>
      </c>
      <c r="C13" s="36">
        <v>58.46</v>
      </c>
      <c r="D13" s="37">
        <v>17.84</v>
      </c>
      <c r="E13" s="37">
        <v>11.8</v>
      </c>
      <c r="F13" s="37">
        <f t="shared" si="0"/>
        <v>29.64</v>
      </c>
      <c r="G13" s="38">
        <f t="shared" si="1"/>
        <v>88.1</v>
      </c>
      <c r="H13" s="43">
        <f t="shared" si="2"/>
        <v>0</v>
      </c>
      <c r="I13" s="136">
        <v>52.29</v>
      </c>
      <c r="J13" s="136">
        <v>17.309999999999999</v>
      </c>
      <c r="K13" s="136">
        <v>11.8</v>
      </c>
      <c r="L13" s="136">
        <f t="shared" si="3"/>
        <v>29.11</v>
      </c>
      <c r="M13" s="137">
        <f t="shared" si="4"/>
        <v>81.399999999999991</v>
      </c>
      <c r="N13" s="138">
        <f t="shared" si="10"/>
        <v>0</v>
      </c>
      <c r="O13" s="36">
        <v>45.36</v>
      </c>
      <c r="P13" s="37">
        <v>8.84</v>
      </c>
      <c r="Q13" s="37">
        <v>11.8</v>
      </c>
      <c r="R13" s="37">
        <f t="shared" si="5"/>
        <v>20.64</v>
      </c>
      <c r="S13" s="38">
        <f t="shared" si="6"/>
        <v>66</v>
      </c>
      <c r="T13" s="43">
        <f t="shared" si="11"/>
        <v>0</v>
      </c>
      <c r="U13" s="40">
        <v>42.42</v>
      </c>
      <c r="V13" s="40">
        <v>33.58</v>
      </c>
      <c r="W13" s="183">
        <v>24</v>
      </c>
      <c r="X13" s="183">
        <f t="shared" si="7"/>
        <v>57.58</v>
      </c>
      <c r="Y13" s="184">
        <f t="shared" si="8"/>
        <v>100</v>
      </c>
      <c r="Z13" s="44">
        <f t="shared" si="12"/>
        <v>0</v>
      </c>
      <c r="AA13" s="36">
        <v>38.01</v>
      </c>
      <c r="AB13" s="37">
        <v>12.16</v>
      </c>
      <c r="AC13" s="38">
        <f t="shared" si="9"/>
        <v>50.17</v>
      </c>
      <c r="AD13" s="43">
        <f t="shared" si="13"/>
        <v>0</v>
      </c>
      <c r="AE13" s="42"/>
      <c r="AF13" s="20"/>
    </row>
    <row r="14" spans="1:32" ht="15">
      <c r="A14" s="101">
        <v>33118</v>
      </c>
      <c r="B14" s="35">
        <v>330</v>
      </c>
      <c r="C14" s="36">
        <v>72.459999999999994</v>
      </c>
      <c r="D14" s="37">
        <v>48.44</v>
      </c>
      <c r="E14" s="37">
        <v>12.1</v>
      </c>
      <c r="F14" s="37">
        <f t="shared" si="0"/>
        <v>60.54</v>
      </c>
      <c r="G14" s="38">
        <f t="shared" si="1"/>
        <v>133</v>
      </c>
      <c r="H14" s="43">
        <f t="shared" si="2"/>
        <v>0.50964812712826335</v>
      </c>
      <c r="I14" s="136">
        <v>64.819999999999993</v>
      </c>
      <c r="J14" s="136">
        <v>34.08</v>
      </c>
      <c r="K14" s="136">
        <v>12.1</v>
      </c>
      <c r="L14" s="136">
        <f t="shared" si="3"/>
        <v>46.18</v>
      </c>
      <c r="M14" s="137">
        <f t="shared" si="4"/>
        <v>110.99999999999999</v>
      </c>
      <c r="N14" s="138">
        <f t="shared" si="10"/>
        <v>0.36363636363636354</v>
      </c>
      <c r="O14" s="36">
        <v>56.23</v>
      </c>
      <c r="P14" s="37">
        <v>31.67</v>
      </c>
      <c r="Q14" s="37">
        <v>12.1</v>
      </c>
      <c r="R14" s="37">
        <f t="shared" si="5"/>
        <v>43.77</v>
      </c>
      <c r="S14" s="38">
        <f t="shared" si="6"/>
        <v>100</v>
      </c>
      <c r="T14" s="43">
        <f t="shared" si="11"/>
        <v>0.51515151515151514</v>
      </c>
      <c r="U14" s="40">
        <v>42.42</v>
      </c>
      <c r="V14" s="40">
        <v>33.58</v>
      </c>
      <c r="W14" s="183">
        <v>24</v>
      </c>
      <c r="X14" s="183">
        <f t="shared" si="7"/>
        <v>57.58</v>
      </c>
      <c r="Y14" s="184">
        <f t="shared" si="8"/>
        <v>100</v>
      </c>
      <c r="Z14" s="44">
        <f t="shared" si="12"/>
        <v>0</v>
      </c>
      <c r="AA14" s="36">
        <v>47.11</v>
      </c>
      <c r="AB14" s="37">
        <v>28.12</v>
      </c>
      <c r="AC14" s="38">
        <f t="shared" si="9"/>
        <v>75.23</v>
      </c>
      <c r="AD14" s="43">
        <f t="shared" si="13"/>
        <v>0.49950169423958535</v>
      </c>
      <c r="AE14" s="42"/>
      <c r="AF14" s="20"/>
    </row>
    <row r="15" spans="1:32" ht="15">
      <c r="A15" s="101">
        <v>33180</v>
      </c>
      <c r="B15" s="35">
        <v>330</v>
      </c>
      <c r="C15" s="36">
        <v>123.37</v>
      </c>
      <c r="D15" s="37">
        <v>85.47</v>
      </c>
      <c r="E15" s="37">
        <v>13.16</v>
      </c>
      <c r="F15" s="37">
        <f t="shared" si="0"/>
        <v>98.63</v>
      </c>
      <c r="G15" s="38">
        <f t="shared" si="1"/>
        <v>222</v>
      </c>
      <c r="H15" s="43">
        <f t="shared" si="2"/>
        <v>0.66917293233082709</v>
      </c>
      <c r="I15" s="136">
        <v>110.36</v>
      </c>
      <c r="J15" s="136">
        <v>65.48</v>
      </c>
      <c r="K15" s="136">
        <v>13.16</v>
      </c>
      <c r="L15" s="136">
        <f t="shared" si="3"/>
        <v>78.64</v>
      </c>
      <c r="M15" s="137">
        <f t="shared" si="4"/>
        <v>189</v>
      </c>
      <c r="N15" s="138">
        <f t="shared" si="10"/>
        <v>0.70270270270270285</v>
      </c>
      <c r="O15" s="36">
        <v>95.74</v>
      </c>
      <c r="P15" s="37">
        <v>69.099999999999994</v>
      </c>
      <c r="Q15" s="37">
        <v>13.16</v>
      </c>
      <c r="R15" s="37">
        <f t="shared" si="5"/>
        <v>82.259999999999991</v>
      </c>
      <c r="S15" s="38">
        <f t="shared" si="6"/>
        <v>177.99999999999997</v>
      </c>
      <c r="T15" s="43">
        <f t="shared" si="11"/>
        <v>0.7799999999999998</v>
      </c>
      <c r="U15" s="40">
        <v>42.42</v>
      </c>
      <c r="V15" s="40">
        <v>31.38</v>
      </c>
      <c r="W15" s="183">
        <v>26.2</v>
      </c>
      <c r="X15" s="183">
        <f t="shared" si="7"/>
        <v>57.58</v>
      </c>
      <c r="Y15" s="184">
        <f t="shared" si="8"/>
        <v>100</v>
      </c>
      <c r="Z15" s="44">
        <f t="shared" si="12"/>
        <v>0</v>
      </c>
      <c r="AA15" s="36">
        <v>80.209999999999994</v>
      </c>
      <c r="AB15" s="37">
        <v>45.18</v>
      </c>
      <c r="AC15" s="38">
        <f t="shared" si="9"/>
        <v>125.38999999999999</v>
      </c>
      <c r="AD15" s="43">
        <f t="shared" si="13"/>
        <v>0.66675528379635751</v>
      </c>
      <c r="AE15" s="42"/>
      <c r="AF15" s="20"/>
    </row>
    <row r="16" spans="1:32" ht="15">
      <c r="A16" s="101">
        <v>33196</v>
      </c>
      <c r="B16" s="35">
        <v>330</v>
      </c>
      <c r="C16" s="36">
        <v>123.37</v>
      </c>
      <c r="D16" s="37">
        <v>79.63</v>
      </c>
      <c r="E16" s="37">
        <v>19</v>
      </c>
      <c r="F16" s="37">
        <f t="shared" si="0"/>
        <v>98.63</v>
      </c>
      <c r="G16" s="38">
        <f t="shared" si="1"/>
        <v>222</v>
      </c>
      <c r="H16" s="43">
        <f t="shared" si="2"/>
        <v>0</v>
      </c>
      <c r="I16" s="136">
        <v>110.36</v>
      </c>
      <c r="J16" s="136">
        <v>59.64</v>
      </c>
      <c r="K16" s="136">
        <v>19</v>
      </c>
      <c r="L16" s="136">
        <f t="shared" si="3"/>
        <v>78.64</v>
      </c>
      <c r="M16" s="137">
        <f t="shared" si="4"/>
        <v>189</v>
      </c>
      <c r="N16" s="138">
        <f t="shared" si="10"/>
        <v>0</v>
      </c>
      <c r="O16" s="36">
        <v>95.74</v>
      </c>
      <c r="P16" s="37">
        <v>63.26</v>
      </c>
      <c r="Q16" s="37">
        <v>19</v>
      </c>
      <c r="R16" s="37">
        <f t="shared" si="5"/>
        <v>82.259999999999991</v>
      </c>
      <c r="S16" s="38">
        <f t="shared" si="6"/>
        <v>178</v>
      </c>
      <c r="T16" s="43">
        <f t="shared" si="11"/>
        <v>0</v>
      </c>
      <c r="U16" s="40">
        <v>42.42</v>
      </c>
      <c r="V16" s="40">
        <v>28.58</v>
      </c>
      <c r="W16" s="183">
        <v>29</v>
      </c>
      <c r="X16" s="183">
        <f t="shared" si="7"/>
        <v>57.58</v>
      </c>
      <c r="Y16" s="184">
        <f t="shared" si="8"/>
        <v>100</v>
      </c>
      <c r="Z16" s="44">
        <f t="shared" si="12"/>
        <v>0</v>
      </c>
      <c r="AA16" s="36">
        <v>80.209999999999994</v>
      </c>
      <c r="AB16" s="37">
        <v>45.18</v>
      </c>
      <c r="AC16" s="38">
        <f t="shared" si="9"/>
        <v>125.38999999999999</v>
      </c>
      <c r="AD16" s="43">
        <f t="shared" si="13"/>
        <v>0</v>
      </c>
      <c r="AE16" s="42"/>
      <c r="AF16" s="20"/>
    </row>
    <row r="17" spans="1:32" ht="15">
      <c r="A17" s="101">
        <v>33241</v>
      </c>
      <c r="B17" s="35">
        <v>360</v>
      </c>
      <c r="C17" s="36">
        <v>113.12</v>
      </c>
      <c r="D17" s="37">
        <v>83.88</v>
      </c>
      <c r="E17" s="37">
        <v>25</v>
      </c>
      <c r="F17" s="37">
        <f t="shared" si="0"/>
        <v>108.88</v>
      </c>
      <c r="G17" s="38">
        <f t="shared" si="1"/>
        <v>222</v>
      </c>
      <c r="H17" s="43">
        <f t="shared" si="2"/>
        <v>0</v>
      </c>
      <c r="I17" s="136">
        <v>101.19</v>
      </c>
      <c r="J17" s="136">
        <v>62.81</v>
      </c>
      <c r="K17" s="136">
        <v>25</v>
      </c>
      <c r="L17" s="136">
        <f t="shared" si="3"/>
        <v>87.81</v>
      </c>
      <c r="M17" s="137">
        <f t="shared" si="4"/>
        <v>189</v>
      </c>
      <c r="N17" s="138">
        <f t="shared" si="10"/>
        <v>0</v>
      </c>
      <c r="O17" s="36">
        <v>87.78</v>
      </c>
      <c r="P17" s="37">
        <v>65.22</v>
      </c>
      <c r="Q17" s="37">
        <v>25</v>
      </c>
      <c r="R17" s="37">
        <f t="shared" si="5"/>
        <v>90.22</v>
      </c>
      <c r="S17" s="38">
        <f t="shared" si="6"/>
        <v>178</v>
      </c>
      <c r="T17" s="43">
        <f t="shared" si="11"/>
        <v>0</v>
      </c>
      <c r="U17" s="40">
        <v>21.21</v>
      </c>
      <c r="V17" s="40">
        <v>51.79</v>
      </c>
      <c r="W17" s="183">
        <v>27</v>
      </c>
      <c r="X17" s="183">
        <f t="shared" si="7"/>
        <v>78.789999999999992</v>
      </c>
      <c r="Y17" s="184">
        <f t="shared" si="8"/>
        <v>100</v>
      </c>
      <c r="Z17" s="44">
        <f t="shared" si="12"/>
        <v>0</v>
      </c>
      <c r="AA17" s="36">
        <v>73.540000000000006</v>
      </c>
      <c r="AB17" s="37">
        <v>51.85</v>
      </c>
      <c r="AC17" s="38">
        <f t="shared" si="9"/>
        <v>125.39000000000001</v>
      </c>
      <c r="AD17" s="43">
        <f t="shared" si="13"/>
        <v>0</v>
      </c>
      <c r="AE17" s="42"/>
      <c r="AF17" s="20"/>
    </row>
    <row r="18" spans="1:32" ht="15">
      <c r="A18" s="101">
        <v>33326</v>
      </c>
      <c r="B18" s="35">
        <v>360</v>
      </c>
      <c r="C18" s="36">
        <v>72.3</v>
      </c>
      <c r="D18" s="37">
        <v>105.7</v>
      </c>
      <c r="E18" s="37">
        <v>22</v>
      </c>
      <c r="F18" s="37">
        <f t="shared" si="0"/>
        <v>127.7</v>
      </c>
      <c r="G18" s="38">
        <f t="shared" si="1"/>
        <v>200</v>
      </c>
      <c r="H18" s="43">
        <f t="shared" si="2"/>
        <v>-9.9099099099099086E-2</v>
      </c>
      <c r="I18" s="136">
        <v>64.67</v>
      </c>
      <c r="J18" s="136">
        <v>79.33</v>
      </c>
      <c r="K18" s="136">
        <v>22</v>
      </c>
      <c r="L18" s="136">
        <f t="shared" si="3"/>
        <v>101.33</v>
      </c>
      <c r="M18" s="137">
        <f t="shared" si="4"/>
        <v>166</v>
      </c>
      <c r="N18" s="138">
        <f t="shared" si="10"/>
        <v>-0.12169312169312174</v>
      </c>
      <c r="O18" s="36">
        <v>56.1</v>
      </c>
      <c r="P18" s="37">
        <v>77.900000000000006</v>
      </c>
      <c r="Q18" s="37">
        <v>22</v>
      </c>
      <c r="R18" s="37">
        <f t="shared" si="5"/>
        <v>99.9</v>
      </c>
      <c r="S18" s="38">
        <f t="shared" si="6"/>
        <v>156</v>
      </c>
      <c r="T18" s="43">
        <f t="shared" si="11"/>
        <v>-0.1235955056179775</v>
      </c>
      <c r="U18" s="40">
        <v>21.21</v>
      </c>
      <c r="V18" s="40">
        <v>51.79</v>
      </c>
      <c r="W18" s="183">
        <v>27</v>
      </c>
      <c r="X18" s="183">
        <f t="shared" si="7"/>
        <v>78.789999999999992</v>
      </c>
      <c r="Y18" s="184">
        <f t="shared" si="8"/>
        <v>100</v>
      </c>
      <c r="Z18" s="44">
        <f t="shared" si="12"/>
        <v>0</v>
      </c>
      <c r="AA18" s="36">
        <v>49.93</v>
      </c>
      <c r="AB18" s="37">
        <v>62.1</v>
      </c>
      <c r="AC18" s="38">
        <f t="shared" si="9"/>
        <v>112.03</v>
      </c>
      <c r="AD18" s="43">
        <f t="shared" si="13"/>
        <v>-0.10654757157668082</v>
      </c>
      <c r="AE18" s="42"/>
      <c r="AF18" s="20"/>
    </row>
    <row r="19" spans="1:32" ht="15">
      <c r="A19" s="101">
        <v>33640</v>
      </c>
      <c r="B19" s="35">
        <v>400</v>
      </c>
      <c r="C19" s="36">
        <v>76.8</v>
      </c>
      <c r="D19" s="37">
        <v>97.2</v>
      </c>
      <c r="E19" s="37">
        <v>26</v>
      </c>
      <c r="F19" s="37">
        <f t="shared" si="0"/>
        <v>123.2</v>
      </c>
      <c r="G19" s="38">
        <f t="shared" si="1"/>
        <v>200</v>
      </c>
      <c r="H19" s="43">
        <f t="shared" si="2"/>
        <v>0</v>
      </c>
      <c r="I19" s="136">
        <v>68.7</v>
      </c>
      <c r="J19" s="136">
        <v>71.3</v>
      </c>
      <c r="K19" s="136">
        <v>26</v>
      </c>
      <c r="L19" s="136">
        <f t="shared" si="3"/>
        <v>97.3</v>
      </c>
      <c r="M19" s="137">
        <f t="shared" si="4"/>
        <v>166</v>
      </c>
      <c r="N19" s="138">
        <f t="shared" si="10"/>
        <v>0</v>
      </c>
      <c r="O19" s="36">
        <v>59.6</v>
      </c>
      <c r="P19" s="37">
        <v>70.400000000000006</v>
      </c>
      <c r="Q19" s="37">
        <v>26</v>
      </c>
      <c r="R19" s="37">
        <f t="shared" si="5"/>
        <v>96.4</v>
      </c>
      <c r="S19" s="38">
        <f t="shared" si="6"/>
        <v>156</v>
      </c>
      <c r="T19" s="43">
        <f t="shared" si="11"/>
        <v>0</v>
      </c>
      <c r="U19" s="40">
        <v>21.21</v>
      </c>
      <c r="V19" s="40">
        <v>51.79</v>
      </c>
      <c r="W19" s="183">
        <v>27</v>
      </c>
      <c r="X19" s="183">
        <f t="shared" si="7"/>
        <v>78.789999999999992</v>
      </c>
      <c r="Y19" s="184">
        <f t="shared" si="8"/>
        <v>100</v>
      </c>
      <c r="Z19" s="44">
        <f t="shared" si="12"/>
        <v>0</v>
      </c>
      <c r="AA19" s="36">
        <v>49.93</v>
      </c>
      <c r="AB19" s="37">
        <v>62.94</v>
      </c>
      <c r="AC19" s="38">
        <f t="shared" si="9"/>
        <v>112.87</v>
      </c>
      <c r="AD19" s="43">
        <f t="shared" si="13"/>
        <v>7.4979916093904642E-3</v>
      </c>
      <c r="AE19" s="42"/>
      <c r="AF19" s="20"/>
    </row>
    <row r="20" spans="1:32" ht="15">
      <c r="A20" s="101">
        <v>33866</v>
      </c>
      <c r="B20" s="35">
        <v>400</v>
      </c>
      <c r="C20" s="36">
        <v>76.8</v>
      </c>
      <c r="D20" s="37">
        <v>119.2</v>
      </c>
      <c r="E20" s="37">
        <v>26</v>
      </c>
      <c r="F20" s="37">
        <f t="shared" si="0"/>
        <v>145.19999999999999</v>
      </c>
      <c r="G20" s="38">
        <f t="shared" si="1"/>
        <v>222</v>
      </c>
      <c r="H20" s="43">
        <f t="shared" si="2"/>
        <v>0.1100000000000001</v>
      </c>
      <c r="I20" s="136">
        <v>68.7</v>
      </c>
      <c r="J20" s="136">
        <v>93.3</v>
      </c>
      <c r="K20" s="136">
        <v>26</v>
      </c>
      <c r="L20" s="136">
        <f t="shared" si="3"/>
        <v>119.3</v>
      </c>
      <c r="M20" s="137">
        <f t="shared" si="4"/>
        <v>188</v>
      </c>
      <c r="N20" s="138">
        <f t="shared" si="10"/>
        <v>0.1325301204819278</v>
      </c>
      <c r="O20" s="36">
        <v>59.6</v>
      </c>
      <c r="P20" s="37">
        <v>70.400000000000006</v>
      </c>
      <c r="Q20" s="37">
        <v>26</v>
      </c>
      <c r="R20" s="37">
        <f t="shared" si="5"/>
        <v>96.4</v>
      </c>
      <c r="S20" s="38">
        <f t="shared" si="6"/>
        <v>156</v>
      </c>
      <c r="T20" s="43">
        <f t="shared" si="11"/>
        <v>0</v>
      </c>
      <c r="U20" s="40">
        <v>21.21</v>
      </c>
      <c r="V20" s="40">
        <v>51.79</v>
      </c>
      <c r="W20" s="183">
        <v>27</v>
      </c>
      <c r="X20" s="183">
        <f t="shared" si="7"/>
        <v>78.789999999999992</v>
      </c>
      <c r="Y20" s="184">
        <f t="shared" si="8"/>
        <v>100</v>
      </c>
      <c r="Z20" s="44">
        <f t="shared" si="12"/>
        <v>0</v>
      </c>
      <c r="AA20" s="36">
        <v>49.93</v>
      </c>
      <c r="AB20" s="37">
        <v>84.94</v>
      </c>
      <c r="AC20" s="38">
        <f t="shared" si="9"/>
        <v>134.87</v>
      </c>
      <c r="AD20" s="43">
        <f t="shared" si="13"/>
        <v>0.1949145034110038</v>
      </c>
      <c r="AE20" s="42"/>
      <c r="AF20" s="20"/>
    </row>
    <row r="21" spans="1:32" ht="15">
      <c r="A21" s="101">
        <v>33975</v>
      </c>
      <c r="B21" s="35">
        <v>400</v>
      </c>
      <c r="C21" s="36">
        <v>116.49</v>
      </c>
      <c r="D21" s="37">
        <v>204.73</v>
      </c>
      <c r="E21" s="37">
        <v>33.78</v>
      </c>
      <c r="F21" s="37">
        <f t="shared" si="0"/>
        <v>238.51</v>
      </c>
      <c r="G21" s="38">
        <f t="shared" si="1"/>
        <v>355</v>
      </c>
      <c r="H21" s="43">
        <f t="shared" si="2"/>
        <v>0.5990990990990992</v>
      </c>
      <c r="I21" s="136">
        <v>104.2</v>
      </c>
      <c r="J21" s="136">
        <v>164.02</v>
      </c>
      <c r="K21" s="136">
        <v>33.78</v>
      </c>
      <c r="L21" s="136">
        <f t="shared" si="3"/>
        <v>197.8</v>
      </c>
      <c r="M21" s="137">
        <f t="shared" si="4"/>
        <v>302</v>
      </c>
      <c r="N21" s="138">
        <f t="shared" si="10"/>
        <v>0.6063829787234043</v>
      </c>
      <c r="O21" s="36">
        <v>90.39</v>
      </c>
      <c r="P21" s="37">
        <v>125.83</v>
      </c>
      <c r="Q21" s="37">
        <v>33.78</v>
      </c>
      <c r="R21" s="37">
        <f t="shared" si="5"/>
        <v>159.61000000000001</v>
      </c>
      <c r="S21" s="38">
        <f t="shared" si="6"/>
        <v>250</v>
      </c>
      <c r="T21" s="43">
        <f t="shared" si="11"/>
        <v>0.60256410256410264</v>
      </c>
      <c r="U21" s="40">
        <v>21.21</v>
      </c>
      <c r="V21" s="40">
        <v>55.79</v>
      </c>
      <c r="W21" s="183">
        <v>43</v>
      </c>
      <c r="X21" s="183">
        <f t="shared" si="7"/>
        <v>98.789999999999992</v>
      </c>
      <c r="Y21" s="184">
        <f t="shared" si="8"/>
        <v>120</v>
      </c>
      <c r="Z21" s="44">
        <f t="shared" si="12"/>
        <v>0.19999999999999996</v>
      </c>
      <c r="AA21" s="36">
        <v>47.04</v>
      </c>
      <c r="AB21" s="37">
        <v>62.94</v>
      </c>
      <c r="AC21" s="38">
        <f t="shared" si="9"/>
        <v>109.97999999999999</v>
      </c>
      <c r="AD21" s="43">
        <f t="shared" si="13"/>
        <v>-0.18454808333951223</v>
      </c>
      <c r="AE21" s="42"/>
      <c r="AF21" s="20"/>
    </row>
    <row r="22" spans="1:32" ht="15">
      <c r="A22" s="101">
        <v>34010</v>
      </c>
      <c r="B22" s="35">
        <v>550</v>
      </c>
      <c r="C22" s="36">
        <v>116.49</v>
      </c>
      <c r="D22" s="37">
        <v>204.73</v>
      </c>
      <c r="E22" s="37">
        <v>33.78</v>
      </c>
      <c r="F22" s="37">
        <f t="shared" si="0"/>
        <v>238.51</v>
      </c>
      <c r="G22" s="38">
        <f t="shared" si="1"/>
        <v>355</v>
      </c>
      <c r="H22" s="43">
        <f t="shared" si="2"/>
        <v>0</v>
      </c>
      <c r="I22" s="136">
        <v>104</v>
      </c>
      <c r="J22" s="136">
        <v>164.02</v>
      </c>
      <c r="K22" s="136">
        <v>33.78</v>
      </c>
      <c r="L22" s="136">
        <f t="shared" si="3"/>
        <v>197.8</v>
      </c>
      <c r="M22" s="137">
        <f t="shared" si="4"/>
        <v>301.79999999999995</v>
      </c>
      <c r="N22" s="138">
        <f t="shared" si="10"/>
        <v>-6.6225165562927568E-4</v>
      </c>
      <c r="O22" s="36">
        <v>90.57</v>
      </c>
      <c r="P22" s="37">
        <v>125.83</v>
      </c>
      <c r="Q22" s="37">
        <v>33.78</v>
      </c>
      <c r="R22" s="37">
        <f t="shared" si="5"/>
        <v>159.61000000000001</v>
      </c>
      <c r="S22" s="38">
        <f t="shared" si="6"/>
        <v>250.17999999999998</v>
      </c>
      <c r="T22" s="43">
        <f t="shared" si="11"/>
        <v>7.1999999999983189E-4</v>
      </c>
      <c r="U22" s="40">
        <v>21.21</v>
      </c>
      <c r="V22" s="40">
        <v>55.79</v>
      </c>
      <c r="W22" s="183">
        <v>43</v>
      </c>
      <c r="X22" s="183">
        <f t="shared" si="7"/>
        <v>98.789999999999992</v>
      </c>
      <c r="Y22" s="184">
        <f t="shared" si="8"/>
        <v>120</v>
      </c>
      <c r="Z22" s="44">
        <f t="shared" si="12"/>
        <v>0</v>
      </c>
      <c r="AA22" s="36">
        <v>47.04</v>
      </c>
      <c r="AB22" s="37">
        <v>62.94</v>
      </c>
      <c r="AC22" s="38">
        <f t="shared" si="9"/>
        <v>109.97999999999999</v>
      </c>
      <c r="AD22" s="43">
        <f t="shared" si="13"/>
        <v>0</v>
      </c>
      <c r="AE22" s="42"/>
      <c r="AF22" s="20"/>
    </row>
    <row r="23" spans="1:32" ht="15">
      <c r="A23" s="101">
        <v>34349</v>
      </c>
      <c r="B23" s="35">
        <v>925</v>
      </c>
      <c r="C23" s="36">
        <v>144.09</v>
      </c>
      <c r="D23" s="37">
        <v>236.76</v>
      </c>
      <c r="E23" s="37">
        <v>41.15</v>
      </c>
      <c r="F23" s="37">
        <f t="shared" si="0"/>
        <v>277.90999999999997</v>
      </c>
      <c r="G23" s="38">
        <f t="shared" si="1"/>
        <v>422</v>
      </c>
      <c r="H23" s="43">
        <f t="shared" si="2"/>
        <v>0.18873239436619715</v>
      </c>
      <c r="I23" s="136">
        <v>138.15</v>
      </c>
      <c r="J23" s="136">
        <v>180.7</v>
      </c>
      <c r="K23" s="136">
        <v>41.15</v>
      </c>
      <c r="L23" s="136">
        <f t="shared" si="3"/>
        <v>221.85</v>
      </c>
      <c r="M23" s="137">
        <f t="shared" si="4"/>
        <v>360</v>
      </c>
      <c r="N23" s="138">
        <f t="shared" si="10"/>
        <v>0.19284294234592458</v>
      </c>
      <c r="O23" s="36">
        <v>118.12</v>
      </c>
      <c r="P23" s="37">
        <v>115.73</v>
      </c>
      <c r="Q23" s="37">
        <v>41.15</v>
      </c>
      <c r="R23" s="37">
        <f t="shared" si="5"/>
        <v>156.88</v>
      </c>
      <c r="S23" s="38">
        <f t="shared" si="6"/>
        <v>275</v>
      </c>
      <c r="T23" s="43">
        <f t="shared" si="11"/>
        <v>9.9208569829722704E-2</v>
      </c>
      <c r="U23" s="40">
        <v>88.44</v>
      </c>
      <c r="V23" s="40">
        <v>56.36</v>
      </c>
      <c r="W23" s="183">
        <v>55.2</v>
      </c>
      <c r="X23" s="183">
        <f t="shared" si="7"/>
        <v>111.56</v>
      </c>
      <c r="Y23" s="184">
        <f t="shared" si="8"/>
        <v>200</v>
      </c>
      <c r="Z23" s="44">
        <f t="shared" si="12"/>
        <v>0.66666666666666674</v>
      </c>
      <c r="AA23" s="36">
        <v>68.69</v>
      </c>
      <c r="AB23" s="37">
        <v>61.31</v>
      </c>
      <c r="AC23" s="38">
        <f t="shared" si="9"/>
        <v>130</v>
      </c>
      <c r="AD23" s="43">
        <f t="shared" si="13"/>
        <v>0.1820330969267141</v>
      </c>
      <c r="AE23" s="42"/>
      <c r="AF23" s="20"/>
    </row>
    <row r="24" spans="1:32" ht="15">
      <c r="A24" s="101">
        <v>34732</v>
      </c>
      <c r="B24" s="35">
        <v>1135</v>
      </c>
      <c r="C24" s="36">
        <v>204.86</v>
      </c>
      <c r="D24" s="37">
        <v>257.14</v>
      </c>
      <c r="E24" s="37">
        <v>60</v>
      </c>
      <c r="F24" s="37">
        <f t="shared" si="0"/>
        <v>317.14</v>
      </c>
      <c r="G24" s="38">
        <f t="shared" si="1"/>
        <v>522</v>
      </c>
      <c r="H24" s="43">
        <f t="shared" si="2"/>
        <v>0.23696682464454977</v>
      </c>
      <c r="I24" s="136">
        <v>196.41</v>
      </c>
      <c r="J24" s="136">
        <v>193.59</v>
      </c>
      <c r="K24" s="136">
        <v>60</v>
      </c>
      <c r="L24" s="136">
        <f t="shared" si="3"/>
        <v>253.59</v>
      </c>
      <c r="M24" s="137">
        <f t="shared" si="4"/>
        <v>450</v>
      </c>
      <c r="N24" s="138">
        <f t="shared" si="10"/>
        <v>0.25</v>
      </c>
      <c r="O24" s="36">
        <v>167.94</v>
      </c>
      <c r="P24" s="37">
        <v>105.06</v>
      </c>
      <c r="Q24" s="37">
        <v>60</v>
      </c>
      <c r="R24" s="37">
        <f t="shared" si="5"/>
        <v>165.06</v>
      </c>
      <c r="S24" s="38">
        <f t="shared" si="6"/>
        <v>333</v>
      </c>
      <c r="T24" s="43">
        <f t="shared" si="11"/>
        <v>0.21090909090909093</v>
      </c>
      <c r="U24" s="40">
        <v>125.74</v>
      </c>
      <c r="V24" s="40">
        <v>61.18</v>
      </c>
      <c r="W24" s="183">
        <v>88.94</v>
      </c>
      <c r="X24" s="183">
        <f t="shared" si="7"/>
        <v>150.12</v>
      </c>
      <c r="Y24" s="184">
        <f t="shared" si="8"/>
        <v>275.86</v>
      </c>
      <c r="Z24" s="44">
        <f t="shared" si="12"/>
        <v>0.37929999999999997</v>
      </c>
      <c r="AA24" s="36">
        <v>97.66</v>
      </c>
      <c r="AB24" s="37">
        <f>162.86-97.66</f>
        <v>65.200000000000017</v>
      </c>
      <c r="AC24" s="38">
        <f t="shared" si="9"/>
        <v>162.86000000000001</v>
      </c>
      <c r="AD24" s="43">
        <f t="shared" si="13"/>
        <v>0.25276923076923086</v>
      </c>
      <c r="AE24" s="42"/>
      <c r="AF24" s="20"/>
    </row>
    <row r="25" spans="1:32" ht="15">
      <c r="A25" s="101">
        <v>35097</v>
      </c>
      <c r="B25" s="35">
        <v>1460</v>
      </c>
      <c r="C25" s="36">
        <v>261.14999999999998</v>
      </c>
      <c r="D25" s="37">
        <v>282.5</v>
      </c>
      <c r="E25" s="37">
        <v>77.849999999999994</v>
      </c>
      <c r="F25" s="37">
        <f t="shared" si="0"/>
        <v>360.35</v>
      </c>
      <c r="G25" s="38">
        <f t="shared" si="1"/>
        <v>621.5</v>
      </c>
      <c r="H25" s="43">
        <f t="shared" si="2"/>
        <v>0.19061302681992331</v>
      </c>
      <c r="I25" s="136">
        <v>248.11</v>
      </c>
      <c r="J25" s="136">
        <v>241.04</v>
      </c>
      <c r="K25" s="136">
        <v>77.849999999999994</v>
      </c>
      <c r="L25" s="136">
        <f t="shared" si="3"/>
        <v>318.89</v>
      </c>
      <c r="M25" s="137">
        <f t="shared" si="4"/>
        <v>567</v>
      </c>
      <c r="N25" s="138">
        <f t="shared" si="10"/>
        <v>0.26</v>
      </c>
      <c r="O25" s="36">
        <v>214.09</v>
      </c>
      <c r="P25" s="37">
        <v>105.06</v>
      </c>
      <c r="Q25" s="37">
        <v>77.849999999999994</v>
      </c>
      <c r="R25" s="37">
        <f t="shared" si="5"/>
        <v>182.91</v>
      </c>
      <c r="S25" s="38">
        <f t="shared" si="6"/>
        <v>397</v>
      </c>
      <c r="T25" s="43">
        <f t="shared" si="11"/>
        <v>0.1921921921921923</v>
      </c>
      <c r="U25" s="40">
        <v>160.28</v>
      </c>
      <c r="V25" s="40">
        <v>61.18</v>
      </c>
      <c r="W25" s="183">
        <v>122.54</v>
      </c>
      <c r="X25" s="183">
        <f t="shared" si="7"/>
        <v>183.72</v>
      </c>
      <c r="Y25" s="184">
        <f t="shared" si="8"/>
        <v>344</v>
      </c>
      <c r="Z25" s="44">
        <f t="shared" si="12"/>
        <v>0.24700935257014422</v>
      </c>
      <c r="AA25" s="36">
        <v>124.48</v>
      </c>
      <c r="AB25" s="37">
        <f>200.52-124.48</f>
        <v>76.040000000000006</v>
      </c>
      <c r="AC25" s="38">
        <f t="shared" si="9"/>
        <v>200.52</v>
      </c>
      <c r="AD25" s="43">
        <f t="shared" si="13"/>
        <v>0.23124155716566364</v>
      </c>
      <c r="AE25" s="42"/>
      <c r="AF25" s="20"/>
    </row>
    <row r="26" spans="1:32" ht="15">
      <c r="A26" s="101">
        <v>35223</v>
      </c>
      <c r="B26" s="35">
        <v>1640</v>
      </c>
      <c r="C26" s="36">
        <v>305.2</v>
      </c>
      <c r="D26" s="37">
        <v>282.5</v>
      </c>
      <c r="E26" s="37">
        <v>77.849999999999994</v>
      </c>
      <c r="F26" s="37">
        <f t="shared" si="0"/>
        <v>360.35</v>
      </c>
      <c r="G26" s="38">
        <f t="shared" si="1"/>
        <v>665.55000000000007</v>
      </c>
      <c r="H26" s="43">
        <f t="shared" si="2"/>
        <v>7.0876910699919637E-2</v>
      </c>
      <c r="I26" s="136">
        <v>288.8</v>
      </c>
      <c r="J26" s="136">
        <v>241.04</v>
      </c>
      <c r="K26" s="136">
        <v>77.849999999999994</v>
      </c>
      <c r="L26" s="136">
        <f t="shared" si="3"/>
        <v>318.89</v>
      </c>
      <c r="M26" s="137">
        <f t="shared" si="4"/>
        <v>607.69000000000005</v>
      </c>
      <c r="N26" s="138">
        <f t="shared" si="10"/>
        <v>7.1763668430335104E-2</v>
      </c>
      <c r="O26" s="36">
        <v>228.09</v>
      </c>
      <c r="P26" s="37">
        <v>105.06</v>
      </c>
      <c r="Q26" s="37">
        <v>77.849999999999994</v>
      </c>
      <c r="R26" s="37">
        <f t="shared" si="5"/>
        <v>182.91</v>
      </c>
      <c r="S26" s="38">
        <f t="shared" si="6"/>
        <v>411</v>
      </c>
      <c r="T26" s="43">
        <f t="shared" si="11"/>
        <v>3.5264483627204024E-2</v>
      </c>
      <c r="U26" s="40">
        <v>196.28</v>
      </c>
      <c r="V26" s="40">
        <v>61.18</v>
      </c>
      <c r="W26" s="183">
        <v>122.54</v>
      </c>
      <c r="X26" s="183">
        <f t="shared" si="7"/>
        <v>183.72</v>
      </c>
      <c r="Y26" s="184">
        <f t="shared" si="8"/>
        <v>380</v>
      </c>
      <c r="Z26" s="44">
        <f t="shared" si="12"/>
        <v>0.10465116279069764</v>
      </c>
      <c r="AA26" s="36">
        <v>141.82</v>
      </c>
      <c r="AB26" s="37">
        <v>76.040000000000006</v>
      </c>
      <c r="AC26" s="38">
        <f t="shared" si="9"/>
        <v>217.86</v>
      </c>
      <c r="AD26" s="43">
        <f t="shared" si="13"/>
        <v>8.6475164572112462E-2</v>
      </c>
      <c r="AE26" s="42"/>
      <c r="AF26" s="20"/>
    </row>
    <row r="27" spans="1:32" ht="15">
      <c r="A27" s="101">
        <v>35462</v>
      </c>
      <c r="B27" s="35">
        <v>1750</v>
      </c>
      <c r="C27" s="36">
        <v>395.18</v>
      </c>
      <c r="D27" s="37">
        <v>282.5</v>
      </c>
      <c r="E27" s="37">
        <v>101.21</v>
      </c>
      <c r="F27" s="37">
        <f t="shared" si="0"/>
        <v>383.71</v>
      </c>
      <c r="G27" s="38">
        <f t="shared" si="1"/>
        <v>778.8900000000001</v>
      </c>
      <c r="H27" s="43">
        <f t="shared" si="2"/>
        <v>0.17029524453459555</v>
      </c>
      <c r="I27" s="136">
        <v>387.27</v>
      </c>
      <c r="J27" s="136">
        <f>20.4+220.64</f>
        <v>241.04</v>
      </c>
      <c r="K27" s="136">
        <v>101.21</v>
      </c>
      <c r="L27" s="136">
        <f t="shared" si="3"/>
        <v>342.25</v>
      </c>
      <c r="M27" s="137">
        <f t="shared" si="4"/>
        <v>729.52</v>
      </c>
      <c r="N27" s="138">
        <f t="shared" si="10"/>
        <v>0.20048050815382834</v>
      </c>
      <c r="O27" s="36">
        <v>286.93</v>
      </c>
      <c r="P27" s="37">
        <f>16.8+88.26</f>
        <v>105.06</v>
      </c>
      <c r="Q27" s="37">
        <v>101.21</v>
      </c>
      <c r="R27" s="37">
        <f t="shared" si="5"/>
        <v>206.26999999999998</v>
      </c>
      <c r="S27" s="38">
        <f t="shared" si="6"/>
        <v>493.2</v>
      </c>
      <c r="T27" s="43">
        <f t="shared" si="11"/>
        <v>0.19999999999999996</v>
      </c>
      <c r="U27" s="40">
        <v>607.91999999999996</v>
      </c>
      <c r="V27" s="40">
        <v>61.18</v>
      </c>
      <c r="W27" s="183">
        <v>159.30000000000001</v>
      </c>
      <c r="X27" s="183">
        <f t="shared" si="7"/>
        <v>220.48000000000002</v>
      </c>
      <c r="Y27" s="184">
        <f t="shared" si="8"/>
        <v>828.39999999999986</v>
      </c>
      <c r="Z27" s="44">
        <f t="shared" si="12"/>
        <v>1.1799999999999997</v>
      </c>
      <c r="AA27" s="36">
        <v>225.64</v>
      </c>
      <c r="AB27" s="37">
        <v>76.040000000000006</v>
      </c>
      <c r="AC27" s="38">
        <f t="shared" si="9"/>
        <v>301.68</v>
      </c>
      <c r="AD27" s="43">
        <f t="shared" si="13"/>
        <v>0.38474249518039105</v>
      </c>
      <c r="AE27" s="42"/>
      <c r="AF27" s="20"/>
    </row>
    <row r="28" spans="1:32" ht="15">
      <c r="A28" s="101">
        <v>35796</v>
      </c>
      <c r="B28" s="35">
        <v>2260</v>
      </c>
      <c r="C28" s="36">
        <v>371.85</v>
      </c>
      <c r="D28" s="37">
        <v>282.5</v>
      </c>
      <c r="E28" s="37">
        <v>101.21</v>
      </c>
      <c r="F28" s="37">
        <v>101.21</v>
      </c>
      <c r="G28" s="38">
        <f t="shared" si="1"/>
        <v>755.56000000000006</v>
      </c>
      <c r="H28" s="43">
        <f t="shared" si="2"/>
        <v>-2.9952881664933484E-2</v>
      </c>
      <c r="I28" s="136">
        <v>387.27</v>
      </c>
      <c r="J28" s="136">
        <v>241.04</v>
      </c>
      <c r="K28" s="136">
        <v>101.21</v>
      </c>
      <c r="L28" s="136">
        <f t="shared" si="3"/>
        <v>342.25</v>
      </c>
      <c r="M28" s="137">
        <f t="shared" si="4"/>
        <v>729.52</v>
      </c>
      <c r="N28" s="138">
        <f t="shared" si="10"/>
        <v>0</v>
      </c>
      <c r="O28" s="36">
        <v>286.93</v>
      </c>
      <c r="P28" s="37">
        <v>105.06</v>
      </c>
      <c r="Q28" s="37">
        <v>101.21</v>
      </c>
      <c r="R28" s="37">
        <f t="shared" si="5"/>
        <v>206.26999999999998</v>
      </c>
      <c r="S28" s="38">
        <f t="shared" si="6"/>
        <v>493.2</v>
      </c>
      <c r="T28" s="43">
        <f t="shared" si="11"/>
        <v>0</v>
      </c>
      <c r="U28" s="40">
        <v>607.91999999999996</v>
      </c>
      <c r="V28" s="40">
        <v>61.18</v>
      </c>
      <c r="W28" s="183">
        <v>159.30000000000001</v>
      </c>
      <c r="X28" s="183">
        <f t="shared" si="7"/>
        <v>220.48000000000002</v>
      </c>
      <c r="Y28" s="184">
        <f t="shared" si="8"/>
        <v>828.39999999999986</v>
      </c>
      <c r="Z28" s="44">
        <f t="shared" si="12"/>
        <v>0</v>
      </c>
      <c r="AA28" s="36">
        <v>225.64</v>
      </c>
      <c r="AB28" s="37">
        <v>76.040000000000006</v>
      </c>
      <c r="AC28" s="38">
        <f t="shared" si="9"/>
        <v>301.68</v>
      </c>
      <c r="AD28" s="43">
        <f t="shared" si="13"/>
        <v>0</v>
      </c>
      <c r="AE28" s="42"/>
      <c r="AF28" s="20"/>
    </row>
    <row r="29" spans="1:32" ht="15">
      <c r="A29" s="101">
        <v>35849</v>
      </c>
      <c r="B29" s="35">
        <v>2300</v>
      </c>
      <c r="C29" s="36">
        <v>322.37</v>
      </c>
      <c r="D29" s="37">
        <f>60.86+240</f>
        <v>300.86</v>
      </c>
      <c r="E29" s="37">
        <v>121.21</v>
      </c>
      <c r="F29" s="37">
        <f>D29+E29</f>
        <v>422.07</v>
      </c>
      <c r="G29" s="38">
        <f t="shared" si="1"/>
        <v>744.44</v>
      </c>
      <c r="H29" s="43">
        <f t="shared" si="2"/>
        <v>-1.471756048493833E-2</v>
      </c>
      <c r="I29" s="136">
        <v>320.44</v>
      </c>
      <c r="J29" s="136">
        <f>60.57+220</f>
        <v>280.57</v>
      </c>
      <c r="K29" s="136">
        <v>121.21</v>
      </c>
      <c r="L29" s="136">
        <f t="shared" si="3"/>
        <v>401.78</v>
      </c>
      <c r="M29" s="137">
        <f t="shared" si="4"/>
        <v>722.22</v>
      </c>
      <c r="N29" s="138">
        <f t="shared" si="10"/>
        <v>-1.0006579668823234E-2</v>
      </c>
      <c r="O29" s="36">
        <v>312.60000000000002</v>
      </c>
      <c r="P29" s="37">
        <f>12.5+46.89</f>
        <v>59.39</v>
      </c>
      <c r="Q29" s="37">
        <v>121.21</v>
      </c>
      <c r="R29" s="37">
        <f t="shared" si="5"/>
        <v>180.6</v>
      </c>
      <c r="S29" s="38">
        <f t="shared" si="6"/>
        <v>493.2</v>
      </c>
      <c r="T29" s="43">
        <f t="shared" si="11"/>
        <v>0</v>
      </c>
      <c r="U29" s="40">
        <v>581.83000000000004</v>
      </c>
      <c r="V29" s="40">
        <v>87.27</v>
      </c>
      <c r="W29" s="183">
        <v>159.30000000000001</v>
      </c>
      <c r="X29" s="183">
        <f t="shared" si="7"/>
        <v>246.57</v>
      </c>
      <c r="Y29" s="184">
        <f t="shared" si="8"/>
        <v>828.40000000000009</v>
      </c>
      <c r="Z29" s="44">
        <f t="shared" si="12"/>
        <v>0</v>
      </c>
      <c r="AA29" s="36">
        <v>229.72</v>
      </c>
      <c r="AB29" s="37">
        <f>12.5+34.46+25</f>
        <v>71.960000000000008</v>
      </c>
      <c r="AC29" s="38">
        <f t="shared" si="9"/>
        <v>301.68</v>
      </c>
      <c r="AD29" s="43">
        <f t="shared" si="13"/>
        <v>0</v>
      </c>
      <c r="AE29" s="42"/>
      <c r="AF29" s="20"/>
    </row>
    <row r="30" spans="1:32" ht="15">
      <c r="A30" s="101">
        <v>36080</v>
      </c>
      <c r="B30" s="35">
        <v>2350</v>
      </c>
      <c r="C30" s="36">
        <v>314.23</v>
      </c>
      <c r="D30" s="37">
        <f>47.13+90+150+1+1.5+10</f>
        <v>299.63</v>
      </c>
      <c r="E30" s="37">
        <f>20+34.58+76</f>
        <v>130.57999999999998</v>
      </c>
      <c r="F30" s="37">
        <f t="shared" ref="F30:F55" si="14">D30+E30</f>
        <v>430.21</v>
      </c>
      <c r="G30" s="38">
        <f t="shared" si="1"/>
        <v>744.44</v>
      </c>
      <c r="H30" s="43">
        <f t="shared" si="2"/>
        <v>0</v>
      </c>
      <c r="I30" s="136">
        <v>302.64</v>
      </c>
      <c r="J30" s="136">
        <f>45.4+70+150+1+1.5+10</f>
        <v>277.89999999999998</v>
      </c>
      <c r="K30" s="136">
        <f>20+34.58+76</f>
        <v>130.57999999999998</v>
      </c>
      <c r="L30" s="136">
        <f t="shared" si="3"/>
        <v>408.47999999999996</v>
      </c>
      <c r="M30" s="137">
        <f t="shared" si="4"/>
        <v>711.11999999999989</v>
      </c>
      <c r="N30" s="138">
        <f t="shared" si="10"/>
        <v>-1.5369278059317315E-2</v>
      </c>
      <c r="O30" s="36">
        <v>310.36</v>
      </c>
      <c r="P30" s="37">
        <f>46.65+1+1.5+10</f>
        <v>59.15</v>
      </c>
      <c r="Q30" s="37">
        <f>20+34.58+75.91</f>
        <v>130.49</v>
      </c>
      <c r="R30" s="37">
        <f t="shared" si="5"/>
        <v>189.64000000000001</v>
      </c>
      <c r="S30" s="38">
        <f t="shared" si="6"/>
        <v>500</v>
      </c>
      <c r="T30" s="43">
        <f t="shared" si="11"/>
        <v>1.3787510137875048E-2</v>
      </c>
      <c r="U30" s="40">
        <v>488.48</v>
      </c>
      <c r="V30" s="40">
        <f>73.27</f>
        <v>73.27</v>
      </c>
      <c r="W30" s="183">
        <v>258.25</v>
      </c>
      <c r="X30" s="183">
        <f t="shared" si="7"/>
        <v>331.52</v>
      </c>
      <c r="Y30" s="184">
        <f t="shared" si="8"/>
        <v>820</v>
      </c>
      <c r="Z30" s="44">
        <f t="shared" si="12"/>
        <v>-1.014002897151145E-2</v>
      </c>
      <c r="AA30" s="36">
        <v>232.33</v>
      </c>
      <c r="AB30" s="37">
        <f>34.85+25+1+1.5+10</f>
        <v>72.349999999999994</v>
      </c>
      <c r="AC30" s="38">
        <f t="shared" si="9"/>
        <v>304.68</v>
      </c>
      <c r="AD30" s="43">
        <f t="shared" si="13"/>
        <v>9.9443118536197694E-3</v>
      </c>
      <c r="AE30" s="42"/>
      <c r="AF30" s="20"/>
    </row>
    <row r="31" spans="1:32" ht="15">
      <c r="A31" s="101">
        <v>36312</v>
      </c>
      <c r="B31" s="35">
        <v>2450</v>
      </c>
      <c r="C31" s="36">
        <v>397.72</v>
      </c>
      <c r="D31" s="37">
        <f>59.66+90+150+1+1.5+10</f>
        <v>312.15999999999997</v>
      </c>
      <c r="E31" s="37">
        <f>35+24+86.68</f>
        <v>145.68</v>
      </c>
      <c r="F31" s="37">
        <f t="shared" si="14"/>
        <v>457.84</v>
      </c>
      <c r="G31" s="38">
        <f t="shared" si="1"/>
        <v>855.56</v>
      </c>
      <c r="H31" s="43">
        <f t="shared" si="2"/>
        <v>0.14926656278544925</v>
      </c>
      <c r="I31" s="136">
        <v>386.17</v>
      </c>
      <c r="J31" s="136">
        <f>57.93+70+150+1+1.5+10</f>
        <v>290.43</v>
      </c>
      <c r="K31" s="136">
        <f>35+24+86.63</f>
        <v>145.63</v>
      </c>
      <c r="L31" s="136">
        <f t="shared" si="3"/>
        <v>436.06</v>
      </c>
      <c r="M31" s="137">
        <f t="shared" si="4"/>
        <v>822.23</v>
      </c>
      <c r="N31" s="138">
        <f t="shared" si="10"/>
        <v>0.15624648441894506</v>
      </c>
      <c r="O31" s="36">
        <v>384.24</v>
      </c>
      <c r="P31" s="37">
        <f>57.64+1+1.5+10</f>
        <v>70.14</v>
      </c>
      <c r="Q31" s="37">
        <f>35+24+86.62</f>
        <v>145.62</v>
      </c>
      <c r="R31" s="37">
        <f t="shared" si="5"/>
        <v>215.76</v>
      </c>
      <c r="S31" s="38">
        <f t="shared" si="6"/>
        <v>600</v>
      </c>
      <c r="T31" s="43">
        <f t="shared" si="11"/>
        <v>0.19999999999999996</v>
      </c>
      <c r="U31" s="40">
        <v>565.66</v>
      </c>
      <c r="V31" s="40">
        <v>84.85</v>
      </c>
      <c r="W31" s="183">
        <f>269.49</f>
        <v>269.49</v>
      </c>
      <c r="X31" s="183">
        <f t="shared" si="7"/>
        <v>354.34000000000003</v>
      </c>
      <c r="Y31" s="184">
        <f t="shared" si="8"/>
        <v>920</v>
      </c>
      <c r="Z31" s="44">
        <f t="shared" si="12"/>
        <v>0.12195121951219523</v>
      </c>
      <c r="AA31" s="36">
        <v>271.79000000000002</v>
      </c>
      <c r="AB31" s="37">
        <f>40.77+25+1+1.5+10</f>
        <v>78.27000000000001</v>
      </c>
      <c r="AC31" s="38">
        <f t="shared" si="9"/>
        <v>350.06000000000006</v>
      </c>
      <c r="AD31" s="43">
        <f t="shared" si="13"/>
        <v>0.14894315347249587</v>
      </c>
      <c r="AE31" s="42"/>
      <c r="AF31" s="20"/>
    </row>
    <row r="32" spans="1:32" ht="15">
      <c r="A32" s="101">
        <v>36342</v>
      </c>
      <c r="B32" s="35">
        <v>2500</v>
      </c>
      <c r="C32" s="36">
        <v>406.64</v>
      </c>
      <c r="D32" s="37">
        <f>61+90+150+1+1.5+10</f>
        <v>313.5</v>
      </c>
      <c r="E32" s="37">
        <f>37+24.41+88.45</f>
        <v>149.86000000000001</v>
      </c>
      <c r="F32" s="37">
        <f t="shared" si="14"/>
        <v>463.36</v>
      </c>
      <c r="G32" s="38">
        <f t="shared" si="1"/>
        <v>870</v>
      </c>
      <c r="H32" s="43">
        <f t="shared" si="2"/>
        <v>1.6877834400860214E-2</v>
      </c>
      <c r="I32" s="136">
        <v>371.86</v>
      </c>
      <c r="J32" s="136">
        <f>55.78+70+150+1+1.5+10</f>
        <v>288.27999999999997</v>
      </c>
      <c r="K32" s="136">
        <f>37+24.41+88.45</f>
        <v>149.86000000000001</v>
      </c>
      <c r="L32" s="136">
        <f t="shared" si="3"/>
        <v>438.14</v>
      </c>
      <c r="M32" s="137">
        <f t="shared" si="4"/>
        <v>810</v>
      </c>
      <c r="N32" s="138">
        <f t="shared" si="10"/>
        <v>-1.4874183622587411E-2</v>
      </c>
      <c r="O32" s="36">
        <v>380.56</v>
      </c>
      <c r="P32" s="37">
        <f>57.08+1+1.5+10</f>
        <v>69.58</v>
      </c>
      <c r="Q32" s="37">
        <f>37+24.41+88.45</f>
        <v>149.86000000000001</v>
      </c>
      <c r="R32" s="37">
        <f t="shared" si="5"/>
        <v>219.44</v>
      </c>
      <c r="S32" s="38">
        <f t="shared" si="6"/>
        <v>600</v>
      </c>
      <c r="T32" s="43">
        <f t="shared" si="11"/>
        <v>0</v>
      </c>
      <c r="U32" s="40">
        <v>604.34</v>
      </c>
      <c r="V32" s="40">
        <f>90.65</f>
        <v>90.65</v>
      </c>
      <c r="W32" s="183">
        <v>275.01</v>
      </c>
      <c r="X32" s="183">
        <f t="shared" si="7"/>
        <v>365.65999999999997</v>
      </c>
      <c r="Y32" s="184">
        <f t="shared" si="8"/>
        <v>970</v>
      </c>
      <c r="Z32" s="44">
        <f t="shared" si="12"/>
        <v>5.4347826086956541E-2</v>
      </c>
      <c r="AA32" s="36">
        <v>322</v>
      </c>
      <c r="AB32" s="37">
        <f>48.3+25+1+1.5+10</f>
        <v>85.8</v>
      </c>
      <c r="AC32" s="38">
        <f t="shared" si="9"/>
        <v>407.8</v>
      </c>
      <c r="AD32" s="43">
        <f t="shared" si="13"/>
        <v>0.16494315260241077</v>
      </c>
      <c r="AE32" s="42"/>
      <c r="AF32" s="20"/>
    </row>
    <row r="33" spans="1:32" ht="15">
      <c r="A33" s="101">
        <v>36409</v>
      </c>
      <c r="B33" s="35">
        <v>2600</v>
      </c>
      <c r="C33" s="36">
        <v>493.6</v>
      </c>
      <c r="D33" s="37">
        <f>74.04+90+150+1+1.5+10</f>
        <v>326.54000000000002</v>
      </c>
      <c r="E33" s="37">
        <f>37+24.41+88.45</f>
        <v>149.86000000000001</v>
      </c>
      <c r="F33" s="37">
        <f t="shared" si="14"/>
        <v>476.40000000000003</v>
      </c>
      <c r="G33" s="38">
        <f t="shared" si="1"/>
        <v>970.00000000000011</v>
      </c>
      <c r="H33" s="43">
        <f t="shared" si="2"/>
        <v>0.11494252873563227</v>
      </c>
      <c r="I33" s="136">
        <v>458.82</v>
      </c>
      <c r="J33" s="136">
        <f>68.82+70+150+1+1.5+10</f>
        <v>301.32</v>
      </c>
      <c r="K33" s="136">
        <f>37+24.41+88.45</f>
        <v>149.86000000000001</v>
      </c>
      <c r="L33" s="136">
        <f t="shared" si="3"/>
        <v>451.18</v>
      </c>
      <c r="M33" s="137">
        <f t="shared" si="4"/>
        <v>910</v>
      </c>
      <c r="N33" s="138">
        <f t="shared" si="10"/>
        <v>0.12345679012345689</v>
      </c>
      <c r="O33" s="36">
        <v>441.43</v>
      </c>
      <c r="P33" s="37">
        <f>66.21+1+1.5+10</f>
        <v>78.709999999999994</v>
      </c>
      <c r="Q33" s="37">
        <f>37+24.41+88.45</f>
        <v>149.86000000000001</v>
      </c>
      <c r="R33" s="37">
        <f t="shared" si="5"/>
        <v>228.57</v>
      </c>
      <c r="S33" s="38">
        <f t="shared" si="6"/>
        <v>670</v>
      </c>
      <c r="T33" s="43">
        <f t="shared" si="11"/>
        <v>0.1166666666666667</v>
      </c>
      <c r="U33" s="40">
        <v>700</v>
      </c>
      <c r="V33" s="40">
        <f>105</f>
        <v>105</v>
      </c>
      <c r="W33" s="183">
        <v>275</v>
      </c>
      <c r="X33" s="183">
        <f t="shared" si="7"/>
        <v>380</v>
      </c>
      <c r="Y33" s="184">
        <f t="shared" si="8"/>
        <v>1080</v>
      </c>
      <c r="Z33" s="44">
        <f t="shared" si="12"/>
        <v>0.11340206185567014</v>
      </c>
      <c r="AA33" s="36">
        <v>380.72</v>
      </c>
      <c r="AB33" s="37">
        <f>57.11+25+1+1.5+10</f>
        <v>94.61</v>
      </c>
      <c r="AC33" s="38">
        <f t="shared" si="9"/>
        <v>475.33000000000004</v>
      </c>
      <c r="AD33" s="43">
        <f t="shared" si="13"/>
        <v>0.16559588033349693</v>
      </c>
      <c r="AE33" s="42"/>
      <c r="AF33" s="20"/>
    </row>
    <row r="34" spans="1:32" ht="15">
      <c r="A34" s="101">
        <v>36505</v>
      </c>
      <c r="B34" s="35">
        <v>3400</v>
      </c>
      <c r="C34" s="36">
        <v>679.57</v>
      </c>
      <c r="D34" s="37">
        <f>101.94+90+150+1+1.5+10</f>
        <v>354.44</v>
      </c>
      <c r="E34" s="37">
        <f>26+26+93.99</f>
        <v>145.99</v>
      </c>
      <c r="F34" s="37">
        <f t="shared" si="14"/>
        <v>500.43</v>
      </c>
      <c r="G34" s="38">
        <f t="shared" si="1"/>
        <v>1180</v>
      </c>
      <c r="H34" s="43">
        <f t="shared" si="2"/>
        <v>0.21649484536082464</v>
      </c>
      <c r="I34" s="136">
        <v>627.39</v>
      </c>
      <c r="J34" s="136">
        <f>94.11+70+150+1+1.5+10</f>
        <v>326.61</v>
      </c>
      <c r="K34" s="136">
        <f>26+26+94</f>
        <v>146</v>
      </c>
      <c r="L34" s="136">
        <f t="shared" si="3"/>
        <v>472.61</v>
      </c>
      <c r="M34" s="137">
        <f t="shared" si="4"/>
        <v>1100</v>
      </c>
      <c r="N34" s="138">
        <f t="shared" si="10"/>
        <v>0.20879120879120872</v>
      </c>
      <c r="O34" s="36">
        <v>768.46</v>
      </c>
      <c r="P34" s="37">
        <f>115.27+1+1.5+10</f>
        <v>127.77</v>
      </c>
      <c r="Q34" s="37">
        <f>26+56+121.77</f>
        <v>203.76999999999998</v>
      </c>
      <c r="R34" s="37">
        <f t="shared" si="5"/>
        <v>331.53999999999996</v>
      </c>
      <c r="S34" s="38">
        <f t="shared" si="6"/>
        <v>1100</v>
      </c>
      <c r="T34" s="43">
        <f t="shared" si="11"/>
        <v>0.64179104477611948</v>
      </c>
      <c r="U34" s="40">
        <v>934.78</v>
      </c>
      <c r="V34" s="40">
        <v>140.22</v>
      </c>
      <c r="W34" s="183">
        <v>325</v>
      </c>
      <c r="X34" s="183">
        <f t="shared" si="7"/>
        <v>465.22</v>
      </c>
      <c r="Y34" s="184">
        <f t="shared" si="8"/>
        <v>1400</v>
      </c>
      <c r="Z34" s="44">
        <f t="shared" si="12"/>
        <v>0.29629629629629628</v>
      </c>
      <c r="AA34" s="36">
        <v>541.45000000000005</v>
      </c>
      <c r="AB34" s="37">
        <f>81.22+25+1+1.5+10</f>
        <v>118.72</v>
      </c>
      <c r="AC34" s="38">
        <f t="shared" si="9"/>
        <v>660.17000000000007</v>
      </c>
      <c r="AD34" s="43">
        <f t="shared" si="13"/>
        <v>0.38886668209454478</v>
      </c>
      <c r="AE34" s="42"/>
      <c r="AF34" s="20"/>
    </row>
    <row r="35" spans="1:32" ht="15">
      <c r="A35" s="101">
        <v>36603</v>
      </c>
      <c r="B35" s="35">
        <v>4100</v>
      </c>
      <c r="C35" s="36">
        <v>888.26</v>
      </c>
      <c r="D35" s="37">
        <f>133.24+90+150+1+1.5+10</f>
        <v>385.74</v>
      </c>
      <c r="E35" s="37">
        <f>26+26+94</f>
        <v>146</v>
      </c>
      <c r="F35" s="37">
        <f t="shared" si="14"/>
        <v>531.74</v>
      </c>
      <c r="G35" s="38">
        <f t="shared" si="1"/>
        <v>1420</v>
      </c>
      <c r="H35" s="43">
        <f t="shared" si="2"/>
        <v>0.20338983050847448</v>
      </c>
      <c r="I35" s="136">
        <v>823.04</v>
      </c>
      <c r="J35" s="136">
        <f>123.46+70+150+1+1.5+10</f>
        <v>355.96</v>
      </c>
      <c r="K35" s="136">
        <f>26+26+94</f>
        <v>146</v>
      </c>
      <c r="L35" s="136">
        <f t="shared" si="3"/>
        <v>501.96</v>
      </c>
      <c r="M35" s="137">
        <f t="shared" si="4"/>
        <v>1325</v>
      </c>
      <c r="N35" s="138">
        <f t="shared" si="10"/>
        <v>0.20454545454545459</v>
      </c>
      <c r="O35" s="36">
        <v>964.11</v>
      </c>
      <c r="P35" s="37">
        <f>144.62+1+1.5+10</f>
        <v>157.12</v>
      </c>
      <c r="Q35" s="37">
        <f>26+56+121.77</f>
        <v>203.76999999999998</v>
      </c>
      <c r="R35" s="37">
        <f t="shared" si="5"/>
        <v>360.89</v>
      </c>
      <c r="S35" s="38">
        <f t="shared" si="6"/>
        <v>1325</v>
      </c>
      <c r="T35" s="43">
        <f t="shared" si="11"/>
        <v>0.20454545454545459</v>
      </c>
      <c r="U35" s="40">
        <v>1642.18</v>
      </c>
      <c r="V35" s="40">
        <f>246.33</f>
        <v>246.33</v>
      </c>
      <c r="W35" s="183">
        <v>351.49</v>
      </c>
      <c r="X35" s="183">
        <f t="shared" si="7"/>
        <v>597.82000000000005</v>
      </c>
      <c r="Y35" s="184">
        <f t="shared" si="8"/>
        <v>2240</v>
      </c>
      <c r="Z35" s="44">
        <f t="shared" si="12"/>
        <v>0.60000000000000009</v>
      </c>
      <c r="AA35" s="36">
        <v>863.93</v>
      </c>
      <c r="AB35" s="37">
        <f>129.59+25+1+1.5+10</f>
        <v>167.09</v>
      </c>
      <c r="AC35" s="38">
        <f t="shared" si="9"/>
        <v>1031.02</v>
      </c>
      <c r="AD35" s="43">
        <f t="shared" si="13"/>
        <v>0.56174924640622859</v>
      </c>
      <c r="AE35" s="42"/>
      <c r="AF35" s="20"/>
    </row>
    <row r="36" spans="1:32" ht="15">
      <c r="A36" s="101">
        <v>36635</v>
      </c>
      <c r="B36" s="35">
        <v>4100</v>
      </c>
      <c r="C36" s="36">
        <v>888.26</v>
      </c>
      <c r="D36" s="37">
        <f>133.24+90+150+1+1.5+10</f>
        <v>385.74</v>
      </c>
      <c r="E36" s="37">
        <f>26+26+94</f>
        <v>146</v>
      </c>
      <c r="F36" s="37">
        <f t="shared" si="14"/>
        <v>531.74</v>
      </c>
      <c r="G36" s="38">
        <f t="shared" si="1"/>
        <v>1420</v>
      </c>
      <c r="H36" s="43">
        <f t="shared" si="2"/>
        <v>0</v>
      </c>
      <c r="I36" s="136">
        <v>823.04</v>
      </c>
      <c r="J36" s="136">
        <f>123.46+70+150+1+1.5+10</f>
        <v>355.96</v>
      </c>
      <c r="K36" s="136">
        <f>26+26+94</f>
        <v>146</v>
      </c>
      <c r="L36" s="136">
        <f t="shared" si="3"/>
        <v>501.96</v>
      </c>
      <c r="M36" s="137">
        <f t="shared" si="4"/>
        <v>1325</v>
      </c>
      <c r="N36" s="138">
        <f t="shared" si="10"/>
        <v>0</v>
      </c>
      <c r="O36" s="36">
        <v>964.11</v>
      </c>
      <c r="P36" s="37">
        <f>144.62+1+1.5+10</f>
        <v>157.12</v>
      </c>
      <c r="Q36" s="37">
        <f>26+56+121.77</f>
        <v>203.76999999999998</v>
      </c>
      <c r="R36" s="37">
        <f t="shared" si="5"/>
        <v>360.89</v>
      </c>
      <c r="S36" s="38">
        <f t="shared" si="6"/>
        <v>1325</v>
      </c>
      <c r="T36" s="43">
        <f t="shared" si="11"/>
        <v>0</v>
      </c>
      <c r="U36" s="40">
        <v>1350</v>
      </c>
      <c r="V36" s="40">
        <v>202.5</v>
      </c>
      <c r="W36" s="183">
        <v>347.5</v>
      </c>
      <c r="X36" s="183">
        <f t="shared" si="7"/>
        <v>550</v>
      </c>
      <c r="Y36" s="184">
        <f t="shared" si="8"/>
        <v>1900</v>
      </c>
      <c r="Z36" s="44">
        <f t="shared" si="12"/>
        <v>-0.1517857142857143</v>
      </c>
      <c r="AA36" s="36">
        <v>863.93</v>
      </c>
      <c r="AB36" s="37">
        <f>129.59+25+1+1.5+10</f>
        <v>167.09</v>
      </c>
      <c r="AC36" s="38">
        <f t="shared" si="9"/>
        <v>1031.02</v>
      </c>
      <c r="AD36" s="43">
        <f t="shared" si="13"/>
        <v>0</v>
      </c>
      <c r="AE36" s="42"/>
      <c r="AF36" s="20"/>
    </row>
    <row r="37" spans="1:32" ht="15">
      <c r="A37" s="101">
        <v>36945</v>
      </c>
      <c r="B37" s="35">
        <v>7050</v>
      </c>
      <c r="C37" s="36">
        <v>1879.33</v>
      </c>
      <c r="D37" s="37">
        <f>230+5+3+30</f>
        <v>268</v>
      </c>
      <c r="E37" s="37">
        <f>26+40+40+80</f>
        <v>186</v>
      </c>
      <c r="F37" s="37">
        <f t="shared" si="14"/>
        <v>454</v>
      </c>
      <c r="G37" s="38">
        <f t="shared" si="1"/>
        <v>2333.33</v>
      </c>
      <c r="H37" s="43">
        <f t="shared" si="2"/>
        <v>0.64319014084507042</v>
      </c>
      <c r="I37" s="136">
        <v>1501.56</v>
      </c>
      <c r="J37" s="136">
        <f>230+5+3+30</f>
        <v>268</v>
      </c>
      <c r="K37" s="136">
        <f>26+40+40+80</f>
        <v>186</v>
      </c>
      <c r="L37" s="136">
        <f t="shared" si="3"/>
        <v>454</v>
      </c>
      <c r="M37" s="137">
        <f t="shared" si="4"/>
        <v>1955.56</v>
      </c>
      <c r="N37" s="138">
        <f t="shared" si="10"/>
        <v>0.47589433962264138</v>
      </c>
      <c r="O37" s="36">
        <v>1691.56</v>
      </c>
      <c r="P37" s="37">
        <f>5+3+30</f>
        <v>38</v>
      </c>
      <c r="Q37" s="37">
        <f>26+80+40+80</f>
        <v>226</v>
      </c>
      <c r="R37" s="37">
        <f t="shared" si="5"/>
        <v>264</v>
      </c>
      <c r="S37" s="38">
        <f t="shared" si="6"/>
        <v>1955.56</v>
      </c>
      <c r="T37" s="43">
        <f t="shared" si="11"/>
        <v>0.47589433962264138</v>
      </c>
      <c r="U37" s="40">
        <v>1650</v>
      </c>
      <c r="V37" s="40">
        <v>0</v>
      </c>
      <c r="W37" s="183">
        <f>550</f>
        <v>550</v>
      </c>
      <c r="X37" s="183">
        <f t="shared" si="7"/>
        <v>550</v>
      </c>
      <c r="Y37" s="184">
        <f t="shared" si="8"/>
        <v>2200</v>
      </c>
      <c r="Z37" s="44">
        <f t="shared" si="12"/>
        <v>0.15789473684210531</v>
      </c>
      <c r="AA37" s="36">
        <v>1297.08</v>
      </c>
      <c r="AB37" s="37">
        <f>5+3+30</f>
        <v>38</v>
      </c>
      <c r="AC37" s="38">
        <f t="shared" si="9"/>
        <v>1335.08</v>
      </c>
      <c r="AD37" s="43">
        <f t="shared" si="13"/>
        <v>0.29491183488196149</v>
      </c>
      <c r="AE37" s="45"/>
      <c r="AF37" s="20"/>
    </row>
    <row r="38" spans="1:32" ht="15">
      <c r="A38" s="101">
        <v>37120</v>
      </c>
      <c r="B38" s="35">
        <v>7224.98</v>
      </c>
      <c r="C38" s="36">
        <v>1634.2</v>
      </c>
      <c r="D38" s="37">
        <f>245.13+230+5+3+30</f>
        <v>513.13</v>
      </c>
      <c r="E38" s="37">
        <f>26+40+40+80</f>
        <v>186</v>
      </c>
      <c r="F38" s="37">
        <f t="shared" si="14"/>
        <v>699.13</v>
      </c>
      <c r="G38" s="38">
        <f t="shared" si="1"/>
        <v>2333.33</v>
      </c>
      <c r="H38" s="43">
        <f t="shared" si="2"/>
        <v>0</v>
      </c>
      <c r="I38" s="136">
        <v>1305.7</v>
      </c>
      <c r="J38" s="136">
        <f>195.86+230+5+3+30</f>
        <v>463.86</v>
      </c>
      <c r="K38" s="136">
        <f>26+40+40+80</f>
        <v>186</v>
      </c>
      <c r="L38" s="136">
        <f t="shared" si="3"/>
        <v>649.86</v>
      </c>
      <c r="M38" s="137">
        <f t="shared" si="4"/>
        <v>1955.56</v>
      </c>
      <c r="N38" s="138">
        <f t="shared" si="10"/>
        <v>0</v>
      </c>
      <c r="O38" s="36">
        <v>1470.92</v>
      </c>
      <c r="P38" s="37">
        <f>220.64+5+3+30</f>
        <v>258.64</v>
      </c>
      <c r="Q38" s="37">
        <f>26+80+40+80</f>
        <v>226</v>
      </c>
      <c r="R38" s="37">
        <f t="shared" si="5"/>
        <v>484.64</v>
      </c>
      <c r="S38" s="38">
        <f t="shared" si="6"/>
        <v>1955.56</v>
      </c>
      <c r="T38" s="43">
        <f t="shared" si="11"/>
        <v>0</v>
      </c>
      <c r="U38" s="40">
        <v>1434.78</v>
      </c>
      <c r="V38" s="40">
        <f>215.22</f>
        <v>215.22</v>
      </c>
      <c r="W38" s="183">
        <v>550</v>
      </c>
      <c r="X38" s="183">
        <f t="shared" si="7"/>
        <v>765.22</v>
      </c>
      <c r="Y38" s="184">
        <f t="shared" si="8"/>
        <v>2200</v>
      </c>
      <c r="Z38" s="44">
        <f t="shared" si="12"/>
        <v>0</v>
      </c>
      <c r="AA38" s="36">
        <v>1127.9000000000001</v>
      </c>
      <c r="AB38" s="37">
        <f>169.18+5+3+30</f>
        <v>207.18</v>
      </c>
      <c r="AC38" s="38">
        <f t="shared" si="9"/>
        <v>1335.0800000000002</v>
      </c>
      <c r="AD38" s="43">
        <f t="shared" si="13"/>
        <v>0</v>
      </c>
      <c r="AE38" s="45"/>
      <c r="AF38" s="20"/>
    </row>
    <row r="39" spans="1:32" ht="15">
      <c r="A39" s="101">
        <v>37196</v>
      </c>
      <c r="B39" s="35">
        <v>7214.95</v>
      </c>
      <c r="C39" s="36">
        <v>1460.29</v>
      </c>
      <c r="D39" s="37">
        <f>219.04+200+230+5+3+30</f>
        <v>687.04</v>
      </c>
      <c r="E39" s="37">
        <f>26+40+40+80</f>
        <v>186</v>
      </c>
      <c r="F39" s="37">
        <f t="shared" si="14"/>
        <v>873.04</v>
      </c>
      <c r="G39" s="38">
        <f t="shared" si="1"/>
        <v>2333.33</v>
      </c>
      <c r="H39" s="43">
        <f t="shared" si="2"/>
        <v>0</v>
      </c>
      <c r="I39" s="136">
        <v>1131.79</v>
      </c>
      <c r="J39" s="136">
        <f>169.77+200+230+5+3+30</f>
        <v>637.77</v>
      </c>
      <c r="K39" s="136">
        <f>26+40+40+80</f>
        <v>186</v>
      </c>
      <c r="L39" s="136">
        <f t="shared" si="3"/>
        <v>823.77</v>
      </c>
      <c r="M39" s="137">
        <f t="shared" si="4"/>
        <v>1955.56</v>
      </c>
      <c r="N39" s="138">
        <f t="shared" si="10"/>
        <v>0</v>
      </c>
      <c r="O39" s="36">
        <v>1383.96</v>
      </c>
      <c r="P39" s="37">
        <f>207.59+100+5+3+30</f>
        <v>345.59000000000003</v>
      </c>
      <c r="Q39" s="37">
        <f>26+80+40+80</f>
        <v>226</v>
      </c>
      <c r="R39" s="37">
        <f t="shared" si="5"/>
        <v>571.59</v>
      </c>
      <c r="S39" s="38">
        <f t="shared" si="6"/>
        <v>1955.5500000000002</v>
      </c>
      <c r="T39" s="43">
        <f t="shared" si="11"/>
        <v>-5.1136247416483371E-6</v>
      </c>
      <c r="U39" s="40">
        <v>1347.83</v>
      </c>
      <c r="V39" s="40">
        <f>202.17+100</f>
        <v>302.16999999999996</v>
      </c>
      <c r="W39" s="183">
        <v>550</v>
      </c>
      <c r="X39" s="183">
        <f t="shared" si="7"/>
        <v>852.17</v>
      </c>
      <c r="Y39" s="184">
        <f t="shared" si="8"/>
        <v>2200</v>
      </c>
      <c r="Z39" s="44">
        <f t="shared" si="12"/>
        <v>0</v>
      </c>
      <c r="AA39" s="36">
        <v>953.98</v>
      </c>
      <c r="AB39" s="37">
        <f>143.1+200+5+3+30</f>
        <v>381.1</v>
      </c>
      <c r="AC39" s="38">
        <f t="shared" si="9"/>
        <v>1335.08</v>
      </c>
      <c r="AD39" s="43">
        <f t="shared" si="13"/>
        <v>0</v>
      </c>
      <c r="AE39" s="45"/>
      <c r="AF39" s="20"/>
    </row>
    <row r="40" spans="1:32" ht="15">
      <c r="A40" s="101">
        <v>37253</v>
      </c>
      <c r="B40" s="35">
        <v>7244.25</v>
      </c>
      <c r="C40" s="36">
        <v>1408.98</v>
      </c>
      <c r="D40" s="37">
        <f>211.35+200+230+5+3+30</f>
        <v>679.35</v>
      </c>
      <c r="E40" s="37">
        <f>30+65+55+95</f>
        <v>245</v>
      </c>
      <c r="F40" s="37">
        <f t="shared" si="14"/>
        <v>924.35</v>
      </c>
      <c r="G40" s="38">
        <f t="shared" si="1"/>
        <v>2333.33</v>
      </c>
      <c r="H40" s="43">
        <f t="shared" si="2"/>
        <v>0</v>
      </c>
      <c r="I40" s="136">
        <v>1080.49</v>
      </c>
      <c r="J40" s="136">
        <f>162.07+200+230+5+3+30</f>
        <v>630.06999999999994</v>
      </c>
      <c r="K40" s="136">
        <f>30+65+55+95</f>
        <v>245</v>
      </c>
      <c r="L40" s="136">
        <f t="shared" si="3"/>
        <v>875.06999999999994</v>
      </c>
      <c r="M40" s="137">
        <f t="shared" si="4"/>
        <v>1955.56</v>
      </c>
      <c r="N40" s="138">
        <f t="shared" si="10"/>
        <v>0</v>
      </c>
      <c r="O40" s="36">
        <v>1332.66</v>
      </c>
      <c r="P40" s="37">
        <f>199.9+100+0+5+3+30</f>
        <v>337.9</v>
      </c>
      <c r="Q40" s="37">
        <f>30+105+55+95</f>
        <v>285</v>
      </c>
      <c r="R40" s="37">
        <f t="shared" si="5"/>
        <v>622.9</v>
      </c>
      <c r="S40" s="38">
        <f t="shared" si="6"/>
        <v>1955.56</v>
      </c>
      <c r="T40" s="43">
        <f t="shared" si="11"/>
        <v>5.1136508909532807E-6</v>
      </c>
      <c r="U40" s="40">
        <v>1217.3900000000001</v>
      </c>
      <c r="V40" s="40">
        <f>182.61+100</f>
        <v>282.61</v>
      </c>
      <c r="W40" s="183">
        <v>700</v>
      </c>
      <c r="X40" s="183">
        <f t="shared" si="7"/>
        <v>982.61</v>
      </c>
      <c r="Y40" s="184">
        <f t="shared" si="8"/>
        <v>2200</v>
      </c>
      <c r="Z40" s="44">
        <f t="shared" si="12"/>
        <v>0</v>
      </c>
      <c r="AA40" s="36">
        <v>1009.02</v>
      </c>
      <c r="AB40" s="37">
        <f>151.35+200+0+5+3</f>
        <v>359.35</v>
      </c>
      <c r="AC40" s="38">
        <f t="shared" si="9"/>
        <v>1368.37</v>
      </c>
      <c r="AD40" s="43">
        <f t="shared" si="13"/>
        <v>2.4934835365670871E-2</v>
      </c>
      <c r="AE40" s="45"/>
      <c r="AF40" s="20"/>
    </row>
    <row r="41" spans="1:32" ht="15">
      <c r="A41" s="101">
        <v>37638</v>
      </c>
      <c r="B41" s="35">
        <v>8800</v>
      </c>
      <c r="C41" s="36">
        <v>2846.47</v>
      </c>
      <c r="D41" s="37">
        <f>426.97+200+170+230+5+3+30</f>
        <v>1064.97</v>
      </c>
      <c r="E41" s="37">
        <f>88+130+110+205</f>
        <v>533</v>
      </c>
      <c r="F41" s="37">
        <f t="shared" si="14"/>
        <v>1597.97</v>
      </c>
      <c r="G41" s="38">
        <f t="shared" si="1"/>
        <v>4444.4399999999996</v>
      </c>
      <c r="H41" s="43">
        <f t="shared" si="2"/>
        <v>0.90476272108960143</v>
      </c>
      <c r="I41" s="136">
        <v>2363.38</v>
      </c>
      <c r="J41" s="136">
        <f>354.51+200+170+230+5+3+30</f>
        <v>992.51</v>
      </c>
      <c r="K41" s="136">
        <f>88+130+110+205</f>
        <v>533</v>
      </c>
      <c r="L41" s="136">
        <f t="shared" si="3"/>
        <v>1525.51</v>
      </c>
      <c r="M41" s="137">
        <f t="shared" si="4"/>
        <v>3888.8900000000003</v>
      </c>
      <c r="N41" s="138">
        <f t="shared" si="10"/>
        <v>0.9886324121990635</v>
      </c>
      <c r="O41" s="36">
        <v>2711.21</v>
      </c>
      <c r="P41" s="37">
        <f>406.68+100+5+3+30</f>
        <v>544.68000000000006</v>
      </c>
      <c r="Q41" s="37">
        <f>88+230+110+205</f>
        <v>633</v>
      </c>
      <c r="R41" s="37">
        <f t="shared" si="5"/>
        <v>1177.68</v>
      </c>
      <c r="S41" s="38">
        <f t="shared" si="6"/>
        <v>3888.8900000000003</v>
      </c>
      <c r="T41" s="43">
        <f t="shared" si="11"/>
        <v>0.9886324121990635</v>
      </c>
      <c r="U41" s="40">
        <v>2356.52</v>
      </c>
      <c r="V41" s="40">
        <f>353.48+100</f>
        <v>453.48</v>
      </c>
      <c r="W41" s="183">
        <v>990</v>
      </c>
      <c r="X41" s="183">
        <f t="shared" si="7"/>
        <v>1443.48</v>
      </c>
      <c r="Y41" s="184">
        <f t="shared" si="8"/>
        <v>3800</v>
      </c>
      <c r="Z41" s="44">
        <f t="shared" si="12"/>
        <v>0.72727272727272729</v>
      </c>
      <c r="AA41" s="36">
        <v>1469.08</v>
      </c>
      <c r="AB41" s="37">
        <f>220.36+200+5+3+30</f>
        <v>458.36</v>
      </c>
      <c r="AC41" s="38">
        <f t="shared" si="9"/>
        <v>1927.44</v>
      </c>
      <c r="AD41" s="43">
        <f t="shared" si="13"/>
        <v>0.40856639651556237</v>
      </c>
      <c r="AE41" s="45"/>
      <c r="AF41" s="20"/>
    </row>
    <row r="42" spans="1:32" ht="15">
      <c r="A42" s="101">
        <v>37742</v>
      </c>
      <c r="B42" s="35">
        <v>8650</v>
      </c>
      <c r="C42" s="36">
        <v>2251.69</v>
      </c>
      <c r="D42" s="37">
        <f>337.75+200+640+400+5+3+30</f>
        <v>1615.75</v>
      </c>
      <c r="E42" s="37">
        <f>44+88+130+110+205</f>
        <v>577</v>
      </c>
      <c r="F42" s="37">
        <f t="shared" si="14"/>
        <v>2192.75</v>
      </c>
      <c r="G42" s="38">
        <f t="shared" si="1"/>
        <v>4444.4400000000005</v>
      </c>
      <c r="H42" s="43">
        <f>G42/G41-1</f>
        <v>0</v>
      </c>
      <c r="I42" s="136">
        <v>1768.6</v>
      </c>
      <c r="J42" s="136">
        <f>265.29+200+640+400+5+3+30</f>
        <v>1543.29</v>
      </c>
      <c r="K42" s="136">
        <f>44+88+130+110+205</f>
        <v>577</v>
      </c>
      <c r="L42" s="136">
        <f>J42+K42</f>
        <v>2120.29</v>
      </c>
      <c r="M42" s="137">
        <f>I42+J42+K42</f>
        <v>3888.89</v>
      </c>
      <c r="N42" s="138">
        <f>M42/M41-1</f>
        <v>0</v>
      </c>
      <c r="O42" s="36">
        <v>2116.4299999999998</v>
      </c>
      <c r="P42" s="37">
        <f>317.46+100+640+0+5+3+30</f>
        <v>1095.46</v>
      </c>
      <c r="Q42" s="37">
        <f>44+88+230+110+205</f>
        <v>677</v>
      </c>
      <c r="R42" s="37">
        <f>P42+Q42</f>
        <v>1772.46</v>
      </c>
      <c r="S42" s="38">
        <f>O42+P42+Q42</f>
        <v>3888.89</v>
      </c>
      <c r="T42" s="43">
        <f t="shared" si="11"/>
        <v>0</v>
      </c>
      <c r="U42" s="40">
        <v>1800</v>
      </c>
      <c r="V42" s="40">
        <f>270+100+640</f>
        <v>1010</v>
      </c>
      <c r="W42" s="183">
        <v>990</v>
      </c>
      <c r="X42" s="183">
        <f>V42+W42</f>
        <v>2000</v>
      </c>
      <c r="Y42" s="184">
        <f>U42+V42+W42</f>
        <v>3800</v>
      </c>
      <c r="Z42" s="44">
        <f>Y42/Y41-1</f>
        <v>0</v>
      </c>
      <c r="AA42" s="36">
        <v>912.56</v>
      </c>
      <c r="AB42" s="37">
        <f>136.88+200+640+5+3+30</f>
        <v>1014.88</v>
      </c>
      <c r="AC42" s="38">
        <f t="shared" si="9"/>
        <v>1927.44</v>
      </c>
      <c r="AD42" s="43">
        <f>AC42/AC41-1</f>
        <v>0</v>
      </c>
      <c r="AE42" s="45"/>
      <c r="AF42" s="20"/>
    </row>
    <row r="43" spans="1:32" ht="15">
      <c r="A43" s="101">
        <v>38401</v>
      </c>
      <c r="B43" s="35">
        <v>9100</v>
      </c>
      <c r="C43" s="36">
        <v>3032.26</v>
      </c>
      <c r="D43" s="37">
        <f>454.84+200+640+600+5+10+442.56+500</f>
        <v>2852.4</v>
      </c>
      <c r="E43" s="37">
        <f>44+88+200+175+275</f>
        <v>782</v>
      </c>
      <c r="F43" s="37">
        <f t="shared" si="14"/>
        <v>3634.4</v>
      </c>
      <c r="G43" s="38">
        <f t="shared" si="1"/>
        <v>6666.66</v>
      </c>
      <c r="H43" s="43">
        <f>G43/G42-1</f>
        <v>0.49999999999999978</v>
      </c>
      <c r="I43" s="136">
        <v>3390.9</v>
      </c>
      <c r="J43" s="136">
        <f>508.64+200+640+600+5+10-269.87</f>
        <v>1693.77</v>
      </c>
      <c r="K43" s="136">
        <f>44+88+200+175+275</f>
        <v>782</v>
      </c>
      <c r="L43" s="136">
        <f t="shared" si="3"/>
        <v>2475.77</v>
      </c>
      <c r="M43" s="137">
        <f t="shared" si="4"/>
        <v>5866.67</v>
      </c>
      <c r="N43" s="138">
        <f>M43/M42-1</f>
        <v>0.50857185469375588</v>
      </c>
      <c r="O43" s="36">
        <v>3635.5</v>
      </c>
      <c r="P43" s="37">
        <f>545.33+100+640+5+10-484.49</f>
        <v>815.83999999999992</v>
      </c>
      <c r="Q43" s="37">
        <f>44+88+300+175+275</f>
        <v>882</v>
      </c>
      <c r="R43" s="37">
        <f t="shared" si="5"/>
        <v>1697.84</v>
      </c>
      <c r="S43" s="38">
        <f>O43+P43+Q43</f>
        <v>5333.34</v>
      </c>
      <c r="T43" s="43">
        <f t="shared" si="11"/>
        <v>0.37142989387717318</v>
      </c>
      <c r="U43" s="40">
        <v>4693.88</v>
      </c>
      <c r="V43" s="46">
        <f>704.08+100+640-1840.42</f>
        <v>-396.34000000000015</v>
      </c>
      <c r="W43" s="183">
        <f>429.23+314.55+251.47+377.21+30</f>
        <v>1402.46</v>
      </c>
      <c r="X43" s="183">
        <f t="shared" si="7"/>
        <v>1006.1199999999999</v>
      </c>
      <c r="Y43" s="184">
        <f t="shared" si="8"/>
        <v>5700</v>
      </c>
      <c r="Z43" s="44">
        <f>Y43/Y42-1</f>
        <v>0.5</v>
      </c>
      <c r="AA43" s="36">
        <v>1853.5</v>
      </c>
      <c r="AB43" s="37">
        <f>278.03+200+640+5+10+-139.37</f>
        <v>993.66</v>
      </c>
      <c r="AC43" s="38">
        <f t="shared" si="9"/>
        <v>2847.16</v>
      </c>
      <c r="AD43" s="43">
        <f>AC43/AC42-1</f>
        <v>0.47717179263686527</v>
      </c>
      <c r="AE43" s="45"/>
      <c r="AF43" s="20"/>
    </row>
    <row r="44" spans="1:32" ht="15">
      <c r="A44" s="34">
        <v>38572</v>
      </c>
      <c r="B44" s="47">
        <v>9115</v>
      </c>
      <c r="C44" s="36">
        <v>3128.89</v>
      </c>
      <c r="D44" s="37">
        <f>469.33+200+640+600+5+10+442.56+500</f>
        <v>2866.89</v>
      </c>
      <c r="E44" s="37">
        <f>44+88+200+175+275</f>
        <v>782</v>
      </c>
      <c r="F44" s="37">
        <f t="shared" si="14"/>
        <v>3648.89</v>
      </c>
      <c r="G44" s="38">
        <f>C44+D44+E44</f>
        <v>6777.78</v>
      </c>
      <c r="H44" s="43">
        <f>G44/G43-1</f>
        <v>1.666801666801665E-2</v>
      </c>
      <c r="I44" s="136">
        <v>3564.81</v>
      </c>
      <c r="J44" s="136">
        <f>534.72+200+640+600+5+10-269.87</f>
        <v>1719.85</v>
      </c>
      <c r="K44" s="136">
        <f>44+88+200+175+275</f>
        <v>782</v>
      </c>
      <c r="L44" s="136">
        <f>J44+K44</f>
        <v>2501.85</v>
      </c>
      <c r="M44" s="137">
        <f>I44+J44+K44</f>
        <v>6066.66</v>
      </c>
      <c r="N44" s="138">
        <f>M44/M43-1</f>
        <v>3.4089185176599202E-2</v>
      </c>
      <c r="O44" s="36">
        <v>3253.37</v>
      </c>
      <c r="P44" s="37">
        <f>488.01+100+640+5+10-484.49</f>
        <v>758.52</v>
      </c>
      <c r="Q44" s="37">
        <f>44+88+(300-5)+175+275</f>
        <v>877</v>
      </c>
      <c r="R44" s="37">
        <f>P44+Q44</f>
        <v>1635.52</v>
      </c>
      <c r="S44" s="38">
        <f>O44+P44+Q44</f>
        <v>4888.8899999999994</v>
      </c>
      <c r="T44" s="43">
        <f t="shared" si="11"/>
        <v>-8.3334270832161605E-2</v>
      </c>
      <c r="U44" s="40">
        <v>4235.1099999999997</v>
      </c>
      <c r="V44" s="46">
        <f>635.27+100+640-1840.42</f>
        <v>-465.15000000000009</v>
      </c>
      <c r="W44" s="183">
        <f>429.23+314.55+251.47+377.21+30</f>
        <v>1402.46</v>
      </c>
      <c r="X44" s="183">
        <f>V44+W44</f>
        <v>937.31</v>
      </c>
      <c r="Y44" s="184">
        <f>U44+V44+W44</f>
        <v>5172.42</v>
      </c>
      <c r="Z44" s="44">
        <f>Y44/Y43-1</f>
        <v>-9.2557894736842061E-2</v>
      </c>
      <c r="AA44" s="36">
        <v>1856.49</v>
      </c>
      <c r="AB44" s="37">
        <f>278.47+200+640+5+10+-139.37</f>
        <v>994.1</v>
      </c>
      <c r="AC44" s="38">
        <f t="shared" si="9"/>
        <v>2850.59</v>
      </c>
      <c r="AD44" s="43">
        <f>AC44/AC43-1</f>
        <v>1.2047092541340731E-3</v>
      </c>
      <c r="AE44" s="45"/>
      <c r="AF44" s="20"/>
    </row>
    <row r="45" spans="1:32" ht="15">
      <c r="A45" s="34">
        <v>38628</v>
      </c>
      <c r="B45" s="47">
        <v>9055.4599999999991</v>
      </c>
      <c r="C45" s="36">
        <v>3418.74</v>
      </c>
      <c r="D45" s="37">
        <f>512.81+200+640+600+5+10+442.56+500</f>
        <v>2910.37</v>
      </c>
      <c r="E45" s="37">
        <f>44+88+200+175+275</f>
        <v>782</v>
      </c>
      <c r="F45" s="37">
        <f t="shared" si="14"/>
        <v>3692.37</v>
      </c>
      <c r="G45" s="38">
        <f>C45+D45+E45</f>
        <v>7111.11</v>
      </c>
      <c r="H45" s="43">
        <f>G45/G44-1</f>
        <v>4.9179819941042702E-2</v>
      </c>
      <c r="I45" s="136">
        <v>3912.64</v>
      </c>
      <c r="J45" s="136">
        <f>586.9+200+640+600+5+10-269.87</f>
        <v>1772.0300000000002</v>
      </c>
      <c r="K45" s="136">
        <f>44+88+200+175+275</f>
        <v>782</v>
      </c>
      <c r="L45" s="136">
        <f>J45+K45</f>
        <v>2554.0300000000002</v>
      </c>
      <c r="M45" s="137">
        <f>I45+J45+K45</f>
        <v>6466.67</v>
      </c>
      <c r="N45" s="138">
        <f>M45/M44-1</f>
        <v>6.5935786742622904E-2</v>
      </c>
      <c r="O45" s="36">
        <v>3249.03</v>
      </c>
      <c r="P45" s="37">
        <f>487.35+100+640+5+10-484.49</f>
        <v>757.8599999999999</v>
      </c>
      <c r="Q45" s="37">
        <f>44+88+300+175+275</f>
        <v>882</v>
      </c>
      <c r="R45" s="37">
        <f>P45+Q45</f>
        <v>1639.86</v>
      </c>
      <c r="S45" s="38">
        <f>O45+P45+Q45</f>
        <v>4888.8900000000003</v>
      </c>
      <c r="T45" s="43">
        <f t="shared" si="11"/>
        <v>0</v>
      </c>
      <c r="U45" s="40">
        <v>4235.1099999999997</v>
      </c>
      <c r="V45" s="46">
        <f>635.27+100+640-1840.42</f>
        <v>-465.15000000000009</v>
      </c>
      <c r="W45" s="183">
        <f>429.23+314.55+251.47+377.21+30</f>
        <v>1402.46</v>
      </c>
      <c r="X45" s="183">
        <f>V45+W45</f>
        <v>937.31</v>
      </c>
      <c r="Y45" s="184">
        <f>U45+V45+W45</f>
        <v>5172.42</v>
      </c>
      <c r="Z45" s="44">
        <f>Y45/Y44-1</f>
        <v>0</v>
      </c>
      <c r="AA45" s="36">
        <v>1856.49</v>
      </c>
      <c r="AB45" s="37">
        <f>278.47+200+640+5+10+-139.37</f>
        <v>994.1</v>
      </c>
      <c r="AC45" s="38">
        <f t="shared" si="9"/>
        <v>2850.59</v>
      </c>
      <c r="AD45" s="43">
        <f>AC45/AC44-1</f>
        <v>0</v>
      </c>
      <c r="AE45" s="45"/>
      <c r="AF45" s="20"/>
    </row>
    <row r="46" spans="1:32" ht="15">
      <c r="A46" s="34">
        <v>38723</v>
      </c>
      <c r="B46" s="47">
        <v>9120</v>
      </c>
      <c r="C46" s="36">
        <v>3380.09</v>
      </c>
      <c r="D46" s="37">
        <f>507.01+200+640+600+5+10+442.56+500</f>
        <v>2904.57</v>
      </c>
      <c r="E46" s="37">
        <f>44+88+200+175+275</f>
        <v>782</v>
      </c>
      <c r="F46" s="37">
        <f t="shared" si="14"/>
        <v>3686.57</v>
      </c>
      <c r="G46" s="38">
        <f>C46+D46+E46</f>
        <v>7066.66</v>
      </c>
      <c r="H46" s="43">
        <f>G46/G45-1</f>
        <v>-6.2507822266847368E-3</v>
      </c>
      <c r="I46" s="136">
        <v>3883.66</v>
      </c>
      <c r="J46" s="136">
        <f>582.55+200+640+600+5+10-269.87</f>
        <v>1767.6799999999998</v>
      </c>
      <c r="K46" s="136">
        <f>44+88+200+175+275</f>
        <v>782</v>
      </c>
      <c r="L46" s="136">
        <f>J46+K46</f>
        <v>2549.6799999999998</v>
      </c>
      <c r="M46" s="137">
        <f t="shared" ref="M46:M55" si="15">I46+J46+K46</f>
        <v>6433.34</v>
      </c>
      <c r="N46" s="138">
        <f t="shared" ref="N46:N55" si="16">M46/M45-1</f>
        <v>-5.154121054576799E-3</v>
      </c>
      <c r="O46" s="36">
        <v>3249.03</v>
      </c>
      <c r="P46" s="37">
        <f>487.35+100+640+5+10-484.49</f>
        <v>757.8599999999999</v>
      </c>
      <c r="Q46" s="37">
        <f>44+88+300+175+275</f>
        <v>882</v>
      </c>
      <c r="R46" s="37">
        <f>P46+Q46</f>
        <v>1639.86</v>
      </c>
      <c r="S46" s="38">
        <f>O46+P46+Q46</f>
        <v>4888.8900000000003</v>
      </c>
      <c r="T46" s="43">
        <f t="shared" si="11"/>
        <v>0</v>
      </c>
      <c r="U46" s="40">
        <v>4235.1000000000004</v>
      </c>
      <c r="V46" s="46">
        <f>635.27+100+640-1840.42</f>
        <v>-465.15000000000009</v>
      </c>
      <c r="W46" s="183">
        <f>429.23+314.55+251.47+377.21+30</f>
        <v>1402.46</v>
      </c>
      <c r="X46" s="183">
        <f>V46+W46</f>
        <v>937.31</v>
      </c>
      <c r="Y46" s="184">
        <f>U46+V46+W46</f>
        <v>5172.41</v>
      </c>
      <c r="Z46" s="44">
        <f>Y46/Y45-1</f>
        <v>-1.9333310133928805E-6</v>
      </c>
      <c r="AA46" s="36">
        <v>1856.49</v>
      </c>
      <c r="AB46" s="37">
        <f>278.47+200+640+5+10+-139.37</f>
        <v>994.1</v>
      </c>
      <c r="AC46" s="38">
        <f t="shared" si="9"/>
        <v>2850.59</v>
      </c>
      <c r="AD46" s="43">
        <f>AC46/AC45-1</f>
        <v>0</v>
      </c>
      <c r="AE46" s="45"/>
      <c r="AF46" s="20"/>
    </row>
    <row r="47" spans="1:32" ht="15">
      <c r="A47" s="34">
        <v>38765</v>
      </c>
      <c r="B47" s="47">
        <v>9140</v>
      </c>
      <c r="C47" s="48">
        <v>3969.46</v>
      </c>
      <c r="D47" s="49">
        <v>2992.98</v>
      </c>
      <c r="E47" s="49">
        <v>782</v>
      </c>
      <c r="F47" s="37">
        <f t="shared" si="14"/>
        <v>3774.98</v>
      </c>
      <c r="G47" s="38">
        <f t="shared" ref="G47:G55" si="17">C47+D47+E47</f>
        <v>7744.4400000000005</v>
      </c>
      <c r="H47" s="43">
        <f t="shared" ref="H47:H57" si="18">G47/G46-1</f>
        <v>9.5912354634296815E-2</v>
      </c>
      <c r="I47" s="139">
        <v>4473.03</v>
      </c>
      <c r="J47" s="139">
        <v>1856.08</v>
      </c>
      <c r="K47" s="139">
        <v>782</v>
      </c>
      <c r="L47" s="136">
        <f t="shared" ref="L47:L59" si="19">J47+K47</f>
        <v>2638.08</v>
      </c>
      <c r="M47" s="137">
        <f t="shared" si="15"/>
        <v>7111.11</v>
      </c>
      <c r="N47" s="138">
        <f t="shared" si="16"/>
        <v>0.10535274056710819</v>
      </c>
      <c r="O47" s="48">
        <v>3732.12</v>
      </c>
      <c r="P47" s="49">
        <v>830.33</v>
      </c>
      <c r="Q47" s="49">
        <v>882</v>
      </c>
      <c r="R47" s="37">
        <f t="shared" ref="R47:R59" si="20">P47+Q47</f>
        <v>1712.33</v>
      </c>
      <c r="S47" s="38">
        <f t="shared" ref="S47:S55" si="21">O47+P47+Q47</f>
        <v>5444.45</v>
      </c>
      <c r="T47" s="43">
        <f t="shared" si="11"/>
        <v>0.11363724690062549</v>
      </c>
      <c r="U47" s="50">
        <v>4534.96</v>
      </c>
      <c r="V47" s="50">
        <v>-420.18</v>
      </c>
      <c r="W47" s="50">
        <v>1372.46</v>
      </c>
      <c r="X47" s="183">
        <f t="shared" ref="X47:X55" si="22">V47+W47</f>
        <v>952.28</v>
      </c>
      <c r="Y47" s="184">
        <f t="shared" ref="Y47:Y55" si="23">U47+V47+W47</f>
        <v>5487.24</v>
      </c>
      <c r="Z47" s="44">
        <f t="shared" ref="Z47:Z55" si="24">Y47/Y46-1</f>
        <v>6.0867177969263775E-2</v>
      </c>
      <c r="AA47" s="48">
        <v>2218.4899999999998</v>
      </c>
      <c r="AB47" s="49">
        <v>1048.4000000000001</v>
      </c>
      <c r="AC47" s="38">
        <f t="shared" si="9"/>
        <v>3266.89</v>
      </c>
      <c r="AD47" s="43">
        <f t="shared" ref="AD47:AD55" si="25">AC47/AC46-1</f>
        <v>0.14603994260837228</v>
      </c>
      <c r="AE47" s="45"/>
      <c r="AF47" s="20"/>
    </row>
    <row r="48" spans="1:32" ht="15">
      <c r="A48" s="34">
        <v>38840</v>
      </c>
      <c r="B48" s="47">
        <v>9145</v>
      </c>
      <c r="C48" s="48">
        <v>4467.42</v>
      </c>
      <c r="D48" s="49">
        <f>SUM(670.11,200,640,600,5,10,442.56,500,)</f>
        <v>3067.67</v>
      </c>
      <c r="E48" s="49">
        <f>SUM(44,88,200,250,400)</f>
        <v>982</v>
      </c>
      <c r="F48" s="37">
        <f t="shared" si="14"/>
        <v>4049.67</v>
      </c>
      <c r="G48" s="38">
        <f t="shared" si="17"/>
        <v>8517.09</v>
      </c>
      <c r="H48" s="43">
        <f t="shared" si="18"/>
        <v>9.9768349938794687E-2</v>
      </c>
      <c r="I48" s="139">
        <v>4823.25</v>
      </c>
      <c r="J48" s="139">
        <f>SUM(723.49,200,640,5,600,10,-269.87)</f>
        <v>1908.62</v>
      </c>
      <c r="K48" s="139">
        <f>SUM(44,88,200,250,400)</f>
        <v>982</v>
      </c>
      <c r="L48" s="136">
        <f t="shared" si="19"/>
        <v>2890.62</v>
      </c>
      <c r="M48" s="137">
        <f t="shared" si="15"/>
        <v>7713.87</v>
      </c>
      <c r="N48" s="138">
        <f t="shared" si="16"/>
        <v>8.4763138244240421E-2</v>
      </c>
      <c r="O48" s="48">
        <v>4408.45</v>
      </c>
      <c r="P48" s="49">
        <f>SUM(661.27,100,640,5,10,-484.49)</f>
        <v>931.78</v>
      </c>
      <c r="Q48" s="49">
        <f>SUM(44,88,300,250,400)</f>
        <v>1082</v>
      </c>
      <c r="R48" s="37">
        <f t="shared" si="20"/>
        <v>2013.78</v>
      </c>
      <c r="S48" s="38">
        <f t="shared" si="21"/>
        <v>6422.23</v>
      </c>
      <c r="T48" s="43">
        <f t="shared" si="11"/>
        <v>0.17959206164075336</v>
      </c>
      <c r="U48" s="50">
        <v>5134.66</v>
      </c>
      <c r="V48" s="50">
        <f>SUM(770.2,100,640,-184.42)</f>
        <v>1325.78</v>
      </c>
      <c r="W48" s="50">
        <f>SUM(429.23,314.55,251.47,377.21,30)</f>
        <v>1402.46</v>
      </c>
      <c r="X48" s="183">
        <f t="shared" si="22"/>
        <v>2728.24</v>
      </c>
      <c r="Y48" s="184">
        <f t="shared" si="23"/>
        <v>7862.9</v>
      </c>
      <c r="Z48" s="44">
        <f t="shared" si="24"/>
        <v>0.43294260867029699</v>
      </c>
      <c r="AA48" s="48">
        <v>2314.8000000000002</v>
      </c>
      <c r="AB48" s="49">
        <f>SUM(347.22,200,640,5,10,-139.37)</f>
        <v>1062.8499999999999</v>
      </c>
      <c r="AC48" s="38">
        <f t="shared" si="9"/>
        <v>3377.65</v>
      </c>
      <c r="AD48" s="43">
        <f t="shared" si="25"/>
        <v>3.3903804535812432E-2</v>
      </c>
      <c r="AE48" s="45"/>
      <c r="AF48" s="20"/>
    </row>
    <row r="49" spans="1:48" ht="15">
      <c r="A49" s="34">
        <v>38918</v>
      </c>
      <c r="B49" s="47">
        <v>9175</v>
      </c>
      <c r="C49" s="48">
        <v>5181.95</v>
      </c>
      <c r="D49" s="51">
        <f>SUM(777.29,200,640,600,5,10,442.56,500)</f>
        <v>3174.85</v>
      </c>
      <c r="E49" s="49">
        <f>SUM(44,88,230,650)</f>
        <v>1012</v>
      </c>
      <c r="F49" s="37">
        <f t="shared" si="14"/>
        <v>4186.8500000000004</v>
      </c>
      <c r="G49" s="38">
        <f t="shared" si="17"/>
        <v>9368.7999999999993</v>
      </c>
      <c r="H49" s="43">
        <f t="shared" si="18"/>
        <v>0.10000011741099346</v>
      </c>
      <c r="I49" s="139">
        <v>5494.45</v>
      </c>
      <c r="J49" s="139">
        <f>SUM(824.17,200,640,600,5,10,-269.87)</f>
        <v>2009.3000000000002</v>
      </c>
      <c r="K49" s="139">
        <f>SUM(44,88,230,650)</f>
        <v>1012</v>
      </c>
      <c r="L49" s="136">
        <f t="shared" si="19"/>
        <v>3021.3</v>
      </c>
      <c r="M49" s="137">
        <f t="shared" si="15"/>
        <v>8515.75</v>
      </c>
      <c r="N49" s="138">
        <f t="shared" si="16"/>
        <v>0.10395300931957641</v>
      </c>
      <c r="O49" s="48">
        <v>5487.53</v>
      </c>
      <c r="P49" s="49">
        <f>SUM(823.13,100,640,5,10,-484.49)</f>
        <v>1093.6400000000001</v>
      </c>
      <c r="Q49" s="49">
        <f>SUM(44,88,330,650)</f>
        <v>1112</v>
      </c>
      <c r="R49" s="37">
        <f t="shared" si="20"/>
        <v>2205.6400000000003</v>
      </c>
      <c r="S49" s="38">
        <f t="shared" si="21"/>
        <v>7693.17</v>
      </c>
      <c r="T49" s="43">
        <f t="shared" si="11"/>
        <v>0.19789699216627255</v>
      </c>
      <c r="U49" s="50">
        <v>6224.55</v>
      </c>
      <c r="V49" s="50">
        <f>SUM(933.68,100,640,-1840.42)</f>
        <v>-166.74000000000024</v>
      </c>
      <c r="W49" s="50">
        <f>SUM(500,621.19,30,377.21)</f>
        <v>1528.4</v>
      </c>
      <c r="X49" s="183">
        <f t="shared" si="22"/>
        <v>1361.6599999999999</v>
      </c>
      <c r="Y49" s="184">
        <f t="shared" si="23"/>
        <v>7586.2099999999991</v>
      </c>
      <c r="Z49" s="44">
        <f t="shared" si="24"/>
        <v>-3.5189306744331073E-2</v>
      </c>
      <c r="AA49" s="48">
        <v>3209.43</v>
      </c>
      <c r="AB49" s="49">
        <f>SUM(481.41,200,640,5,10,-139.37)</f>
        <v>1197.04</v>
      </c>
      <c r="AC49" s="38">
        <f t="shared" si="9"/>
        <v>4406.4699999999993</v>
      </c>
      <c r="AD49" s="43">
        <f t="shared" si="25"/>
        <v>0.30459639098189539</v>
      </c>
      <c r="AE49" s="45"/>
      <c r="AF49" s="20"/>
    </row>
    <row r="50" spans="1:48" ht="15">
      <c r="A50" s="34">
        <v>38933</v>
      </c>
      <c r="B50" s="47">
        <v>9175</v>
      </c>
      <c r="C50" s="48">
        <v>5181.95</v>
      </c>
      <c r="D50" s="49">
        <f t="shared" ref="D50:D55" si="26">SUM(718.2,500,600,5,10,442.56,500)</f>
        <v>2775.76</v>
      </c>
      <c r="E50" s="49">
        <f>SUM(44,88,230,650)</f>
        <v>1012</v>
      </c>
      <c r="F50" s="37">
        <f t="shared" si="14"/>
        <v>3787.76</v>
      </c>
      <c r="G50" s="38">
        <f t="shared" si="17"/>
        <v>8969.7099999999991</v>
      </c>
      <c r="H50" s="43">
        <f t="shared" si="18"/>
        <v>-4.2597771326103651E-2</v>
      </c>
      <c r="I50" s="139">
        <v>5494.45</v>
      </c>
      <c r="J50" s="139">
        <f>SUM(910,500,600,5,10,-269.87,44)</f>
        <v>1799.13</v>
      </c>
      <c r="K50" s="139">
        <f>SUM(44,88,230,650)</f>
        <v>1012</v>
      </c>
      <c r="L50" s="136">
        <f t="shared" si="19"/>
        <v>2811.13</v>
      </c>
      <c r="M50" s="137">
        <f t="shared" si="15"/>
        <v>8305.58</v>
      </c>
      <c r="N50" s="138">
        <f t="shared" si="16"/>
        <v>-2.4680151484014923E-2</v>
      </c>
      <c r="O50" s="48">
        <v>5487.53</v>
      </c>
      <c r="P50" s="49">
        <f>SUM(648.75,350,5,10,-484.49)</f>
        <v>529.26</v>
      </c>
      <c r="Q50" s="49">
        <f>SUM(44,88,330,650)</f>
        <v>1112</v>
      </c>
      <c r="R50" s="37">
        <f t="shared" si="20"/>
        <v>1641.26</v>
      </c>
      <c r="S50" s="38">
        <f t="shared" si="21"/>
        <v>7128.79</v>
      </c>
      <c r="T50" s="43">
        <f t="shared" si="11"/>
        <v>-7.3361176212146662E-2</v>
      </c>
      <c r="U50" s="50">
        <v>6224.55</v>
      </c>
      <c r="V50" s="50">
        <f t="shared" ref="V50:V55" si="27">SUM(722.46,500,-1840.42)</f>
        <v>-617.96</v>
      </c>
      <c r="W50" s="50">
        <f>SUM(500,621.19,311.21,30)</f>
        <v>1462.4</v>
      </c>
      <c r="X50" s="183">
        <f t="shared" si="22"/>
        <v>844.44</v>
      </c>
      <c r="Y50" s="184">
        <f t="shared" si="23"/>
        <v>7068.99</v>
      </c>
      <c r="Z50" s="44">
        <f t="shared" si="24"/>
        <v>-6.8178972108602243E-2</v>
      </c>
      <c r="AA50" s="48">
        <v>3209.43</v>
      </c>
      <c r="AB50" s="52">
        <f>SUM(520.94,350,5,10,-139.37)</f>
        <v>746.57</v>
      </c>
      <c r="AC50" s="38">
        <f t="shared" si="9"/>
        <v>3956</v>
      </c>
      <c r="AD50" s="43">
        <f t="shared" si="25"/>
        <v>-0.10222922203033258</v>
      </c>
      <c r="AE50" s="45"/>
      <c r="AF50" s="20"/>
    </row>
    <row r="51" spans="1:48" ht="15">
      <c r="A51" s="34">
        <v>38985</v>
      </c>
      <c r="B51" s="47">
        <v>9220</v>
      </c>
      <c r="C51" s="48">
        <v>4265.93</v>
      </c>
      <c r="D51" s="49">
        <f t="shared" si="26"/>
        <v>2775.76</v>
      </c>
      <c r="E51" s="49">
        <f>SUM(44,88,280,650)</f>
        <v>1062</v>
      </c>
      <c r="F51" s="37">
        <f t="shared" si="14"/>
        <v>3837.76</v>
      </c>
      <c r="G51" s="38">
        <f t="shared" si="17"/>
        <v>8103.6900000000005</v>
      </c>
      <c r="H51" s="43">
        <f t="shared" si="18"/>
        <v>-9.6549386769471779E-2</v>
      </c>
      <c r="I51" s="139">
        <v>5048.54</v>
      </c>
      <c r="J51" s="139">
        <f>SUM(910,500,600,5,10,-269.87)</f>
        <v>1755.13</v>
      </c>
      <c r="K51" s="139">
        <f>SUM(44,88,280,650)</f>
        <v>1062</v>
      </c>
      <c r="L51" s="136">
        <f t="shared" si="19"/>
        <v>2817.13</v>
      </c>
      <c r="M51" s="137">
        <f t="shared" si="15"/>
        <v>7865.67</v>
      </c>
      <c r="N51" s="138">
        <f t="shared" si="16"/>
        <v>-5.2965596622993161E-2</v>
      </c>
      <c r="O51" s="48">
        <v>4975.41</v>
      </c>
      <c r="P51" s="49">
        <f>SUM(648.75,350,5,10,-484.49)</f>
        <v>529.26</v>
      </c>
      <c r="Q51" s="49">
        <f>SUM(44,88,380,650)</f>
        <v>1162</v>
      </c>
      <c r="R51" s="37">
        <f t="shared" si="20"/>
        <v>1691.26</v>
      </c>
      <c r="S51" s="38">
        <f t="shared" si="21"/>
        <v>6666.67</v>
      </c>
      <c r="T51" s="43">
        <f t="shared" si="11"/>
        <v>-6.4824465301965728E-2</v>
      </c>
      <c r="U51" s="50">
        <v>6055.08</v>
      </c>
      <c r="V51" s="50">
        <f t="shared" si="27"/>
        <v>-617.96</v>
      </c>
      <c r="W51" s="50">
        <f>SUM(500,621.19,377.21,30)</f>
        <v>1528.4</v>
      </c>
      <c r="X51" s="183">
        <f t="shared" si="22"/>
        <v>910.44</v>
      </c>
      <c r="Y51" s="184">
        <f t="shared" si="23"/>
        <v>6965.52</v>
      </c>
      <c r="Z51" s="44">
        <f t="shared" si="24"/>
        <v>-1.4637168817610346E-2</v>
      </c>
      <c r="AA51" s="48">
        <v>2723.48</v>
      </c>
      <c r="AB51" s="52">
        <f>SUM(520.94,350,5,10,-139.37)</f>
        <v>746.57</v>
      </c>
      <c r="AC51" s="38">
        <f t="shared" si="9"/>
        <v>3470.05</v>
      </c>
      <c r="AD51" s="43">
        <f t="shared" si="25"/>
        <v>-0.12283872598584422</v>
      </c>
      <c r="AE51" s="45"/>
      <c r="AF51" s="20"/>
    </row>
    <row r="52" spans="1:48" ht="15">
      <c r="A52" s="34">
        <v>39021</v>
      </c>
      <c r="B52" s="47">
        <v>9251.2900000000009</v>
      </c>
      <c r="C52" s="53">
        <v>4043</v>
      </c>
      <c r="D52" s="51">
        <f t="shared" si="26"/>
        <v>2775.76</v>
      </c>
      <c r="E52" s="52">
        <f>SUM(50,88,306,650)</f>
        <v>1094</v>
      </c>
      <c r="F52" s="37">
        <f t="shared" si="14"/>
        <v>3869.76</v>
      </c>
      <c r="G52" s="38">
        <f t="shared" si="17"/>
        <v>7912.76</v>
      </c>
      <c r="H52" s="43">
        <f t="shared" si="18"/>
        <v>-2.35608716522967E-2</v>
      </c>
      <c r="I52" s="140">
        <v>4859.0200000000004</v>
      </c>
      <c r="J52" s="140">
        <f>SUM(910,500,600,5,10,-269.87)</f>
        <v>1755.13</v>
      </c>
      <c r="K52" s="139">
        <f>SUM(50,88,306,650)</f>
        <v>1094</v>
      </c>
      <c r="L52" s="136">
        <f t="shared" si="19"/>
        <v>2849.13</v>
      </c>
      <c r="M52" s="137">
        <f t="shared" si="15"/>
        <v>7708.1500000000005</v>
      </c>
      <c r="N52" s="138">
        <f t="shared" si="16"/>
        <v>-2.0026266039637974E-2</v>
      </c>
      <c r="O52" s="54">
        <v>4943.41</v>
      </c>
      <c r="P52" s="51">
        <f>SUM(648.75,350,5,10,-484.49,)</f>
        <v>529.26</v>
      </c>
      <c r="Q52" s="52">
        <f>SUM(50,88,406,650)</f>
        <v>1194</v>
      </c>
      <c r="R52" s="37">
        <f t="shared" si="20"/>
        <v>1723.26</v>
      </c>
      <c r="S52" s="38">
        <f t="shared" si="21"/>
        <v>6666.67</v>
      </c>
      <c r="T52" s="43">
        <f t="shared" si="11"/>
        <v>0</v>
      </c>
      <c r="U52" s="55">
        <v>6403.59</v>
      </c>
      <c r="V52" s="56">
        <f t="shared" si="27"/>
        <v>-617.96</v>
      </c>
      <c r="W52" s="55">
        <f>SUM(500,621.19,377.21,30)</f>
        <v>1528.4</v>
      </c>
      <c r="X52" s="183">
        <f t="shared" si="22"/>
        <v>910.44</v>
      </c>
      <c r="Y52" s="184">
        <f t="shared" si="23"/>
        <v>7314.0300000000007</v>
      </c>
      <c r="Z52" s="44">
        <f t="shared" si="24"/>
        <v>5.0033594046101415E-2</v>
      </c>
      <c r="AA52" s="54">
        <v>2569.7600000000002</v>
      </c>
      <c r="AB52" s="52">
        <f>SUM(2569.76,520.94,5,10,-139.37)</f>
        <v>2966.3300000000004</v>
      </c>
      <c r="AC52" s="38">
        <f t="shared" si="9"/>
        <v>5536.09</v>
      </c>
      <c r="AD52" s="43">
        <f t="shared" si="25"/>
        <v>0.59539199723346914</v>
      </c>
      <c r="AE52" s="45"/>
      <c r="AF52" s="20"/>
    </row>
    <row r="53" spans="1:48" ht="15">
      <c r="A53" s="34">
        <v>39056</v>
      </c>
      <c r="B53" s="47">
        <v>9251.2900000000009</v>
      </c>
      <c r="C53" s="54">
        <v>3964.36</v>
      </c>
      <c r="D53" s="51">
        <f t="shared" si="26"/>
        <v>2775.76</v>
      </c>
      <c r="E53" s="52">
        <f>SUM(50,88,306,650)</f>
        <v>1094</v>
      </c>
      <c r="F53" s="37">
        <f t="shared" si="14"/>
        <v>3869.76</v>
      </c>
      <c r="G53" s="38">
        <f t="shared" si="17"/>
        <v>7834.1200000000008</v>
      </c>
      <c r="H53" s="43">
        <f t="shared" si="18"/>
        <v>-9.9383780122231924E-3</v>
      </c>
      <c r="I53" s="140">
        <v>4781.9399999999996</v>
      </c>
      <c r="J53" s="140">
        <f>SUM(910,500,600,5,10,-269.87)</f>
        <v>1755.13</v>
      </c>
      <c r="K53" s="200">
        <f>SUM(50,88,306,650)</f>
        <v>1094</v>
      </c>
      <c r="L53" s="136">
        <f t="shared" si="19"/>
        <v>2849.13</v>
      </c>
      <c r="M53" s="137">
        <f t="shared" si="15"/>
        <v>7631.07</v>
      </c>
      <c r="N53" s="138">
        <f t="shared" si="16"/>
        <v>-9.999805400777162E-3</v>
      </c>
      <c r="O53" s="53">
        <v>4943.41</v>
      </c>
      <c r="P53" s="52">
        <f>SUM(648.75,350,5,10,-484.49)</f>
        <v>529.26</v>
      </c>
      <c r="Q53" s="52">
        <f>SUM(50,88,406,650)</f>
        <v>1194</v>
      </c>
      <c r="R53" s="37">
        <f t="shared" si="20"/>
        <v>1723.26</v>
      </c>
      <c r="S53" s="38">
        <f t="shared" si="21"/>
        <v>6666.67</v>
      </c>
      <c r="T53" s="43">
        <f t="shared" si="11"/>
        <v>0</v>
      </c>
      <c r="U53" s="55">
        <v>6403.59</v>
      </c>
      <c r="V53" s="56">
        <f t="shared" si="27"/>
        <v>-617.96</v>
      </c>
      <c r="W53" s="55">
        <f>SUM(500,621.19,377.21,30)</f>
        <v>1528.4</v>
      </c>
      <c r="X53" s="183">
        <f t="shared" si="22"/>
        <v>910.44</v>
      </c>
      <c r="Y53" s="184">
        <f t="shared" si="23"/>
        <v>7314.0300000000007</v>
      </c>
      <c r="Z53" s="44">
        <f t="shared" si="24"/>
        <v>0</v>
      </c>
      <c r="AA53" s="54">
        <v>2592.39</v>
      </c>
      <c r="AB53" s="52">
        <f>SUM(520.94,350,5,10,-139.37)</f>
        <v>746.57</v>
      </c>
      <c r="AC53" s="38">
        <f t="shared" si="9"/>
        <v>3338.96</v>
      </c>
      <c r="AD53" s="43">
        <f t="shared" si="25"/>
        <v>-0.39687396700559419</v>
      </c>
      <c r="AE53" s="45"/>
      <c r="AF53" s="20"/>
    </row>
    <row r="54" spans="1:48" ht="15">
      <c r="A54" s="34">
        <v>39120</v>
      </c>
      <c r="B54" s="47">
        <v>9300</v>
      </c>
      <c r="C54" s="36">
        <v>3866.97</v>
      </c>
      <c r="D54" s="51">
        <f t="shared" si="26"/>
        <v>2775.76</v>
      </c>
      <c r="E54" s="37">
        <f>SUM(50,100,306,650)</f>
        <v>1106</v>
      </c>
      <c r="F54" s="37">
        <f t="shared" si="14"/>
        <v>3881.76</v>
      </c>
      <c r="G54" s="38">
        <f t="shared" si="17"/>
        <v>7748.73</v>
      </c>
      <c r="H54" s="43">
        <f t="shared" si="18"/>
        <v>-1.089975644999075E-2</v>
      </c>
      <c r="I54" s="136">
        <v>4525.75</v>
      </c>
      <c r="J54" s="136">
        <f>SUM(910,500,600,5,10,-269.87)</f>
        <v>1755.13</v>
      </c>
      <c r="K54" s="136">
        <f>SUM(50,100,306,650)</f>
        <v>1106</v>
      </c>
      <c r="L54" s="136">
        <f t="shared" si="19"/>
        <v>2861.13</v>
      </c>
      <c r="M54" s="137">
        <f t="shared" si="15"/>
        <v>7386.88</v>
      </c>
      <c r="N54" s="138">
        <f t="shared" si="16"/>
        <v>-3.1999444376738739E-2</v>
      </c>
      <c r="O54" s="36">
        <v>4731.41</v>
      </c>
      <c r="P54" s="37">
        <f>SUM(648.75,350,5,10,-484.49)</f>
        <v>529.26</v>
      </c>
      <c r="Q54" s="37">
        <f t="shared" ref="Q54:Q59" si="28">SUM(50,100,406,650)</f>
        <v>1206</v>
      </c>
      <c r="R54" s="37">
        <f t="shared" si="20"/>
        <v>1735.26</v>
      </c>
      <c r="S54" s="38">
        <f t="shared" si="21"/>
        <v>6466.67</v>
      </c>
      <c r="T54" s="43">
        <f t="shared" si="11"/>
        <v>-2.9999985000007445E-2</v>
      </c>
      <c r="U54" s="40">
        <v>6124.19</v>
      </c>
      <c r="V54" s="46">
        <f t="shared" si="27"/>
        <v>-617.96</v>
      </c>
      <c r="W54" s="183">
        <f>SUM(500,621.19,377.21,30)</f>
        <v>1528.4</v>
      </c>
      <c r="X54" s="183">
        <f t="shared" si="22"/>
        <v>910.44</v>
      </c>
      <c r="Y54" s="184">
        <f t="shared" si="23"/>
        <v>7034.6299999999992</v>
      </c>
      <c r="Z54" s="44">
        <f t="shared" si="24"/>
        <v>-3.8200554277190713E-2</v>
      </c>
      <c r="AA54" s="36">
        <v>2464.83</v>
      </c>
      <c r="AB54" s="37">
        <f>SUM(520.94,350,5,10,-139.37)</f>
        <v>746.57</v>
      </c>
      <c r="AC54" s="38">
        <f t="shared" si="9"/>
        <v>3211.4</v>
      </c>
      <c r="AD54" s="43">
        <f t="shared" si="25"/>
        <v>-3.8203512470948997E-2</v>
      </c>
      <c r="AE54" s="45"/>
      <c r="AF54" s="20"/>
    </row>
    <row r="55" spans="1:48" ht="15">
      <c r="A55" s="34">
        <v>39142</v>
      </c>
      <c r="B55" s="47">
        <v>9300</v>
      </c>
      <c r="C55" s="36">
        <v>3866.97</v>
      </c>
      <c r="D55" s="51">
        <f t="shared" si="26"/>
        <v>2775.76</v>
      </c>
      <c r="E55" s="37">
        <f>SUM(50,100,306,650)</f>
        <v>1106</v>
      </c>
      <c r="F55" s="37">
        <f t="shared" si="14"/>
        <v>3881.76</v>
      </c>
      <c r="G55" s="38">
        <f t="shared" si="17"/>
        <v>7748.73</v>
      </c>
      <c r="H55" s="43">
        <f t="shared" si="18"/>
        <v>0</v>
      </c>
      <c r="I55" s="136">
        <v>4525.75</v>
      </c>
      <c r="J55" s="136">
        <f>SUM(910,500,600,5,10,-269.87)</f>
        <v>1755.13</v>
      </c>
      <c r="K55" s="136">
        <f>SUM(50,100,306,650)</f>
        <v>1106</v>
      </c>
      <c r="L55" s="136">
        <f t="shared" si="19"/>
        <v>2861.13</v>
      </c>
      <c r="M55" s="137">
        <f t="shared" si="15"/>
        <v>7386.88</v>
      </c>
      <c r="N55" s="138">
        <f t="shared" si="16"/>
        <v>0</v>
      </c>
      <c r="O55" s="36">
        <v>4731.41</v>
      </c>
      <c r="P55" s="37">
        <f>SUM(648.75,350,5,10,-484.49)</f>
        <v>529.26</v>
      </c>
      <c r="Q55" s="37">
        <f t="shared" si="28"/>
        <v>1206</v>
      </c>
      <c r="R55" s="37">
        <f t="shared" si="20"/>
        <v>1735.26</v>
      </c>
      <c r="S55" s="38">
        <f t="shared" si="21"/>
        <v>6466.67</v>
      </c>
      <c r="T55" s="43">
        <f t="shared" si="11"/>
        <v>0</v>
      </c>
      <c r="U55" s="40">
        <v>6124.19</v>
      </c>
      <c r="V55" s="46">
        <f t="shared" si="27"/>
        <v>-617.96</v>
      </c>
      <c r="W55" s="183">
        <f>SUM(500,621.19,377.21,30)</f>
        <v>1528.4</v>
      </c>
      <c r="X55" s="183">
        <f t="shared" si="22"/>
        <v>910.44</v>
      </c>
      <c r="Y55" s="184">
        <f t="shared" si="23"/>
        <v>7034.6299999999992</v>
      </c>
      <c r="Z55" s="44">
        <f t="shared" si="24"/>
        <v>0</v>
      </c>
      <c r="AA55" s="36">
        <v>2639.38</v>
      </c>
      <c r="AB55" s="37">
        <f>SUM(520.94,350,5,10,-139.37)</f>
        <v>746.57</v>
      </c>
      <c r="AC55" s="38">
        <f t="shared" si="9"/>
        <v>3385.9500000000003</v>
      </c>
      <c r="AD55" s="43">
        <f t="shared" si="25"/>
        <v>5.4353241576882372E-2</v>
      </c>
      <c r="AE55" s="45"/>
      <c r="AF55" s="20"/>
    </row>
    <row r="56" spans="1:48" ht="15">
      <c r="A56" s="34">
        <v>39173</v>
      </c>
      <c r="B56" s="394">
        <v>9300</v>
      </c>
      <c r="C56" s="395">
        <v>4646</v>
      </c>
      <c r="D56" s="396">
        <v>2984.6881720430101</v>
      </c>
      <c r="E56" s="396">
        <v>1189.2473118279599</v>
      </c>
      <c r="F56" s="37">
        <v>4173.9354838709696</v>
      </c>
      <c r="G56" s="38">
        <v>8819.9354838709696</v>
      </c>
      <c r="H56" s="43">
        <v>5.8565726254495853E-2</v>
      </c>
      <c r="I56" s="397">
        <v>5263.5376344085998</v>
      </c>
      <c r="J56" s="397">
        <v>1887.23655913978</v>
      </c>
      <c r="K56" s="397">
        <v>1189.2473118279599</v>
      </c>
      <c r="L56" s="136">
        <f t="shared" si="19"/>
        <v>3076.4838709677397</v>
      </c>
      <c r="M56" s="137">
        <f>I56+J56+K56</f>
        <v>8340.0215053763404</v>
      </c>
      <c r="N56" s="138">
        <f>M56/M55-1</f>
        <v>0.129031675805799</v>
      </c>
      <c r="O56" s="395">
        <v>5251.6236559139797</v>
      </c>
      <c r="P56" s="396">
        <v>569.09677419354796</v>
      </c>
      <c r="Q56" s="396">
        <v>1296.77419354839</v>
      </c>
      <c r="R56" s="37">
        <v>1865.8709677419399</v>
      </c>
      <c r="S56" s="38">
        <v>7117.4946236559099</v>
      </c>
      <c r="T56" s="43">
        <v>2.3597925980450629E-2</v>
      </c>
      <c r="U56" s="40">
        <v>6266.4</v>
      </c>
      <c r="V56" s="40">
        <v>-617.96</v>
      </c>
      <c r="W56" s="183">
        <v>1528.4</v>
      </c>
      <c r="X56" s="183">
        <f>V56+W56</f>
        <v>910.44</v>
      </c>
      <c r="Y56" s="184">
        <f>U56+V56+W56</f>
        <v>7176.84</v>
      </c>
      <c r="Z56" s="44">
        <f>Y56/Y55-1</f>
        <v>2.0215704308542248E-2</v>
      </c>
      <c r="AA56" s="36">
        <v>2487.48</v>
      </c>
      <c r="AB56" s="37">
        <v>746.57</v>
      </c>
      <c r="AC56" s="38">
        <f t="shared" si="9"/>
        <v>3234.05</v>
      </c>
      <c r="AD56" s="43">
        <f>AC56/AC55-1</f>
        <v>-4.4861855609208634E-2</v>
      </c>
      <c r="AE56" s="45"/>
      <c r="AF56" s="20"/>
    </row>
    <row r="57" spans="1:48" ht="15">
      <c r="A57" s="34">
        <v>39203</v>
      </c>
      <c r="B57" s="394">
        <v>9300</v>
      </c>
      <c r="C57" s="395">
        <v>4976.9799999999996</v>
      </c>
      <c r="D57" s="396">
        <f>SUM(718.2,500,600,5,10,442.56,500)</f>
        <v>2775.76</v>
      </c>
      <c r="E57" s="396">
        <f>SUM(50,100,306,650)</f>
        <v>1106</v>
      </c>
      <c r="F57" s="37">
        <f>D57+E57</f>
        <v>3881.76</v>
      </c>
      <c r="G57" s="38">
        <f>C57+D57+E57</f>
        <v>8858.74</v>
      </c>
      <c r="H57" s="43">
        <f t="shared" si="18"/>
        <v>4.3996371855545835E-3</v>
      </c>
      <c r="I57" s="397">
        <v>5205.34</v>
      </c>
      <c r="J57" s="397">
        <f>SUM(910,500,600,5,10,-269.87)</f>
        <v>1755.13</v>
      </c>
      <c r="K57" s="397">
        <f>SUM(50,100,306,650)</f>
        <v>1106</v>
      </c>
      <c r="L57" s="136">
        <f t="shared" si="19"/>
        <v>2861.13</v>
      </c>
      <c r="M57" s="137">
        <f>I57+J57+K57</f>
        <v>8066.47</v>
      </c>
      <c r="N57" s="138">
        <f>M57/M56-1</f>
        <v>-3.2799856115478532E-2</v>
      </c>
      <c r="O57" s="395">
        <v>5259.09</v>
      </c>
      <c r="P57" s="396">
        <f>SUM(648.75,350,5,10,-484.49)</f>
        <v>529.26</v>
      </c>
      <c r="Q57" s="396">
        <f t="shared" si="28"/>
        <v>1206</v>
      </c>
      <c r="R57" s="37">
        <f t="shared" si="20"/>
        <v>1735.26</v>
      </c>
      <c r="S57" s="38">
        <f>O57+P57+Q57</f>
        <v>6994.35</v>
      </c>
      <c r="T57" s="43">
        <f>S57/S56-1</f>
        <v>-1.7301681303224625E-2</v>
      </c>
      <c r="U57" s="40">
        <v>6416</v>
      </c>
      <c r="V57" s="40">
        <f>SUM(722.46,500,-1840.42)</f>
        <v>-617.96</v>
      </c>
      <c r="W57" s="183">
        <f>SUM(500,621.19,377.21,30)</f>
        <v>1528.4</v>
      </c>
      <c r="X57" s="183">
        <f>V57+W57</f>
        <v>910.44</v>
      </c>
      <c r="Y57" s="184">
        <f>U57+V57+W57</f>
        <v>7326.4400000000005</v>
      </c>
      <c r="Z57" s="44">
        <f>Y57/Y56-1</f>
        <v>2.0844828643246993E-2</v>
      </c>
      <c r="AA57" s="36">
        <v>3016.95</v>
      </c>
      <c r="AB57" s="37">
        <f>SUM(520.94,350,5,10,-139.37)</f>
        <v>746.57</v>
      </c>
      <c r="AC57" s="38">
        <f t="shared" si="9"/>
        <v>3763.52</v>
      </c>
      <c r="AD57" s="43">
        <f>AC57/AC56-1</f>
        <v>0.16371732038774911</v>
      </c>
      <c r="AE57" s="45"/>
      <c r="AF57" s="20"/>
    </row>
    <row r="58" spans="1:48" ht="15">
      <c r="A58" s="34">
        <v>39234</v>
      </c>
      <c r="B58" s="394">
        <v>9300</v>
      </c>
      <c r="C58" s="395">
        <v>5518.24</v>
      </c>
      <c r="D58" s="396">
        <f>SUM(718.2,500,600,5,10,442.56,500)</f>
        <v>2775.76</v>
      </c>
      <c r="E58" s="396">
        <f>SUM(50,100,306,650)</f>
        <v>1106</v>
      </c>
      <c r="F58" s="37">
        <f>D58+E58</f>
        <v>3881.76</v>
      </c>
      <c r="G58" s="38">
        <f>C58+D58+E58</f>
        <v>9400</v>
      </c>
      <c r="H58" s="43">
        <f>G58/G57-1</f>
        <v>6.1098982473805519E-2</v>
      </c>
      <c r="I58" s="397">
        <v>5238.87</v>
      </c>
      <c r="J58" s="397">
        <f>SUM(910,500,600,5,10,-269.87)</f>
        <v>1755.13</v>
      </c>
      <c r="K58" s="397">
        <f>SUM(50,100,306,650)</f>
        <v>1106</v>
      </c>
      <c r="L58" s="136">
        <f t="shared" si="19"/>
        <v>2861.13</v>
      </c>
      <c r="M58" s="137">
        <f>I58+J58+K58</f>
        <v>8100</v>
      </c>
      <c r="N58" s="201">
        <f>M58/M57-1</f>
        <v>4.1567129115958057E-3</v>
      </c>
      <c r="O58" s="395">
        <v>5264.74</v>
      </c>
      <c r="P58" s="396">
        <f>SUM(648.75,350,5,10,-484.49)</f>
        <v>529.26</v>
      </c>
      <c r="Q58" s="396">
        <f t="shared" si="28"/>
        <v>1206</v>
      </c>
      <c r="R58" s="37">
        <f t="shared" si="20"/>
        <v>1735.26</v>
      </c>
      <c r="S58" s="60">
        <f>O58+P58+Q58</f>
        <v>7000</v>
      </c>
      <c r="T58" s="210">
        <f>S58/S57-1</f>
        <v>8.0779486299653591E-4</v>
      </c>
      <c r="U58" s="211">
        <v>6389.56</v>
      </c>
      <c r="V58" s="211">
        <f>SUM(722.46,500,-1840.42)</f>
        <v>-617.96</v>
      </c>
      <c r="W58" s="204">
        <f>SUM(500,621.19,377.21,30)</f>
        <v>1528.4</v>
      </c>
      <c r="X58" s="204">
        <f>V58+W58</f>
        <v>910.44</v>
      </c>
      <c r="Y58" s="205">
        <f>U58+V58+W58</f>
        <v>7300</v>
      </c>
      <c r="Z58" s="212">
        <f>Y58/Y57-1</f>
        <v>-3.6088468615044222E-3</v>
      </c>
      <c r="AA58" s="58">
        <v>3198.8</v>
      </c>
      <c r="AB58" s="59">
        <f>SUM(520.94,350,5,10,-139.37)</f>
        <v>746.57</v>
      </c>
      <c r="AC58" s="60">
        <f t="shared" si="9"/>
        <v>3945.3700000000003</v>
      </c>
      <c r="AD58" s="210">
        <f>AC58/AC57-1</f>
        <v>4.8319126774934107E-2</v>
      </c>
      <c r="AE58" s="45"/>
      <c r="AF58" s="20"/>
    </row>
    <row r="59" spans="1:48" ht="15">
      <c r="A59" s="213">
        <v>292377</v>
      </c>
      <c r="B59" s="394">
        <v>9300</v>
      </c>
      <c r="C59" s="395">
        <v>5518.24</v>
      </c>
      <c r="D59" s="396">
        <f>SUM(718.2+500+600+5+10+442.56+500)</f>
        <v>2775.76</v>
      </c>
      <c r="E59" s="396">
        <f>SUM(50+100+306+650)</f>
        <v>1106</v>
      </c>
      <c r="F59" s="37">
        <f>D59+E59</f>
        <v>3881.76</v>
      </c>
      <c r="G59" s="38">
        <f>C59+D59+E59</f>
        <v>9400</v>
      </c>
      <c r="H59" s="43">
        <f>G59/G58-1</f>
        <v>0</v>
      </c>
      <c r="I59" s="397">
        <v>5238.87</v>
      </c>
      <c r="J59" s="397">
        <f>SUM(910,500,600,5,10,-269.87)</f>
        <v>1755.13</v>
      </c>
      <c r="K59" s="397">
        <f>SUM(50,100,306,650)</f>
        <v>1106</v>
      </c>
      <c r="L59" s="136">
        <f t="shared" si="19"/>
        <v>2861.13</v>
      </c>
      <c r="M59" s="137">
        <f>I59+J59+K59</f>
        <v>8100</v>
      </c>
      <c r="N59" s="201">
        <v>0</v>
      </c>
      <c r="O59" s="395">
        <v>5264.74</v>
      </c>
      <c r="P59" s="396">
        <f>SUM(648.75,350,5,10,-484.49)</f>
        <v>529.26</v>
      </c>
      <c r="Q59" s="396">
        <f t="shared" si="28"/>
        <v>1206</v>
      </c>
      <c r="R59" s="37">
        <f t="shared" si="20"/>
        <v>1735.26</v>
      </c>
      <c r="S59" s="202">
        <v>7000</v>
      </c>
      <c r="T59" s="215">
        <v>0</v>
      </c>
      <c r="U59" s="203">
        <v>6389.56</v>
      </c>
      <c r="V59" s="204">
        <v>-617.96</v>
      </c>
      <c r="W59" s="204">
        <v>1528.4</v>
      </c>
      <c r="X59" s="203">
        <v>910.44</v>
      </c>
      <c r="Y59" s="205">
        <v>7300</v>
      </c>
      <c r="Z59" s="206">
        <v>0</v>
      </c>
      <c r="AA59" s="214">
        <v>3343</v>
      </c>
      <c r="AB59" s="199">
        <v>745.63</v>
      </c>
      <c r="AC59" s="207">
        <v>4088.63</v>
      </c>
      <c r="AD59" s="216">
        <v>3.6310916339912236E-2</v>
      </c>
      <c r="AE59" s="208"/>
      <c r="AF59" s="209"/>
      <c r="AG59" s="241"/>
      <c r="AH59" s="241"/>
      <c r="AI59" s="241"/>
      <c r="AJ59" s="241"/>
    </row>
    <row r="60" spans="1:48" ht="15">
      <c r="A60" s="34"/>
      <c r="B60" s="35"/>
      <c r="C60" s="61"/>
      <c r="D60" s="61"/>
      <c r="E60" s="59"/>
      <c r="F60" s="61"/>
      <c r="G60" s="61"/>
      <c r="H60" s="62"/>
      <c r="I60" s="141"/>
      <c r="J60" s="102"/>
      <c r="K60" s="141"/>
      <c r="L60" s="102"/>
      <c r="M60" s="141"/>
      <c r="N60" s="138"/>
      <c r="O60" s="59"/>
      <c r="P60" s="59"/>
      <c r="Q60" s="59"/>
      <c r="R60" s="59"/>
      <c r="S60" s="60"/>
      <c r="T60" s="62"/>
      <c r="U60" s="40"/>
      <c r="V60" s="40"/>
      <c r="W60" s="183"/>
      <c r="X60" s="183"/>
      <c r="Y60" s="184"/>
      <c r="Z60" s="44"/>
      <c r="AA60" s="37"/>
      <c r="AB60" s="37"/>
      <c r="AC60" s="38"/>
      <c r="AD60" s="62"/>
      <c r="AE60" s="45"/>
      <c r="AF60" s="20"/>
    </row>
    <row r="61" spans="1:48" ht="15">
      <c r="A61" s="34"/>
      <c r="B61" s="35"/>
      <c r="C61" s="61"/>
      <c r="D61" s="61"/>
      <c r="E61" s="59"/>
      <c r="F61" s="61"/>
      <c r="G61" s="61"/>
      <c r="H61" s="62"/>
      <c r="I61" s="141"/>
      <c r="J61" s="102"/>
      <c r="K61" s="141"/>
      <c r="L61" s="102"/>
      <c r="M61" s="141"/>
      <c r="N61" s="138"/>
      <c r="O61" s="59"/>
      <c r="P61" s="59"/>
      <c r="Q61" s="59"/>
      <c r="R61" s="59"/>
      <c r="S61" s="60"/>
      <c r="T61" s="62"/>
      <c r="U61" s="40"/>
      <c r="V61" s="40"/>
      <c r="W61" s="183"/>
      <c r="X61" s="183"/>
      <c r="Y61" s="184"/>
      <c r="Z61" s="44"/>
      <c r="AA61" s="37"/>
      <c r="AB61" s="37"/>
      <c r="AC61" s="38"/>
      <c r="AD61" s="62"/>
      <c r="AE61" s="45"/>
      <c r="AF61" s="20"/>
    </row>
    <row r="62" spans="1:48" ht="23.25" customHeight="1">
      <c r="A62" s="267"/>
      <c r="B62" s="232"/>
      <c r="C62" s="410" t="s">
        <v>24</v>
      </c>
      <c r="D62" s="410"/>
      <c r="E62" s="410"/>
      <c r="F62" s="410"/>
      <c r="G62" s="410"/>
      <c r="H62" s="410"/>
      <c r="I62" s="410"/>
      <c r="J62" s="410"/>
      <c r="K62" s="410"/>
      <c r="L62" s="410"/>
      <c r="M62" s="410"/>
      <c r="N62" s="410"/>
      <c r="O62" s="410"/>
      <c r="P62" s="78"/>
      <c r="Q62" s="80"/>
      <c r="R62" s="177"/>
      <c r="S62" s="82"/>
      <c r="T62" s="62"/>
      <c r="U62" s="253"/>
      <c r="V62" s="194"/>
      <c r="W62" s="191"/>
      <c r="X62" s="191"/>
      <c r="Y62" s="198"/>
      <c r="Z62" s="189"/>
      <c r="AA62" s="80"/>
      <c r="AB62" s="85"/>
      <c r="AC62" s="87"/>
      <c r="AD62" s="254"/>
      <c r="AE62" s="228"/>
      <c r="AF62" s="220"/>
      <c r="AG62" s="221"/>
      <c r="AH62" s="262"/>
      <c r="AI62" s="222"/>
      <c r="AJ62" s="227"/>
      <c r="AK62" s="229"/>
      <c r="AL62" s="224"/>
      <c r="AM62" s="266"/>
      <c r="AN62" s="224"/>
      <c r="AO62" s="225"/>
      <c r="AP62" s="254"/>
      <c r="AQ62" s="76"/>
      <c r="AR62" s="76"/>
      <c r="AS62" s="76"/>
      <c r="AT62" s="76"/>
      <c r="AU62" s="76"/>
      <c r="AV62" s="138"/>
    </row>
    <row r="63" spans="1:48" ht="25.5" customHeight="1">
      <c r="A63" s="249"/>
      <c r="B63" s="232"/>
      <c r="C63" s="410"/>
      <c r="D63" s="410"/>
      <c r="E63" s="410"/>
      <c r="F63" s="410"/>
      <c r="G63" s="410"/>
      <c r="H63" s="410"/>
      <c r="I63" s="410"/>
      <c r="J63" s="410"/>
      <c r="K63" s="410"/>
      <c r="L63" s="410"/>
      <c r="M63" s="410"/>
      <c r="N63" s="410"/>
      <c r="O63" s="410"/>
      <c r="P63" s="78"/>
      <c r="Q63" s="80"/>
      <c r="R63" s="177"/>
      <c r="S63" s="80"/>
      <c r="T63" s="62"/>
      <c r="U63" s="253"/>
      <c r="V63" s="194"/>
      <c r="W63" s="191"/>
      <c r="X63" s="191"/>
      <c r="Y63" s="198"/>
      <c r="Z63" s="189"/>
      <c r="AA63" s="80"/>
      <c r="AB63" s="85"/>
      <c r="AC63" s="87"/>
      <c r="AD63" s="254"/>
      <c r="AE63" s="228"/>
      <c r="AF63" s="220"/>
      <c r="AG63" s="221"/>
      <c r="AH63" s="221"/>
      <c r="AI63" s="222"/>
      <c r="AJ63" s="227"/>
      <c r="AK63" s="229"/>
      <c r="AL63" s="224"/>
      <c r="AM63" s="224"/>
      <c r="AN63" s="224"/>
      <c r="AO63" s="225"/>
      <c r="AP63" s="254"/>
      <c r="AQ63" s="76"/>
      <c r="AR63" s="76"/>
      <c r="AS63" s="76"/>
      <c r="AT63" s="76"/>
      <c r="AU63" s="76"/>
      <c r="AV63" s="138"/>
    </row>
  </sheetData>
  <mergeCells count="4">
    <mergeCell ref="C5:G5"/>
    <mergeCell ref="U5:Z5"/>
    <mergeCell ref="AA5:AD5"/>
    <mergeCell ref="C62:O63"/>
  </mergeCells>
  <pageMargins left="0.7" right="0.7" top="0.75" bottom="0.75" header="0.3" footer="0.3"/>
  <pageSetup scale="72" orientation="portrait" r:id="rId1"/>
  <colBreaks count="3" manualBreakCount="3">
    <brk id="8" max="1048575" man="1"/>
    <brk id="14" max="62" man="1"/>
    <brk id="20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V200"/>
  <sheetViews>
    <sheetView view="pageBreakPreview" zoomScale="80" zoomScaleNormal="80" zoomScaleSheetLayoutView="80" zoomScalePageLayoutView="80" workbookViewId="0">
      <pane xSplit="2" ySplit="8" topLeftCell="C164" activePane="bottomRight" state="frozen"/>
      <selection pane="bottomRight" activeCell="B4" sqref="B4"/>
      <selection pane="bottomLeft" activeCell="A9" sqref="A9"/>
      <selection pane="topRight" activeCell="C1" sqref="C1"/>
    </sheetView>
  </sheetViews>
  <sheetFormatPr defaultColWidth="14" defaultRowHeight="14.25"/>
  <cols>
    <col min="1" max="1" width="14" style="235"/>
    <col min="2" max="2" width="16.42578125" style="235" bestFit="1" customWidth="1"/>
    <col min="3" max="3" width="14.28515625" style="235" customWidth="1"/>
    <col min="4" max="4" width="14.28515625" style="235" bestFit="1" customWidth="1"/>
    <col min="5" max="5" width="12.42578125" style="235" bestFit="1" customWidth="1"/>
    <col min="6" max="6" width="14" style="235" customWidth="1"/>
    <col min="7" max="7" width="14.42578125" style="235" bestFit="1" customWidth="1"/>
    <col min="8" max="8" width="14.28515625" style="235" bestFit="1" customWidth="1"/>
    <col min="9" max="9" width="14.85546875" style="235" bestFit="1" customWidth="1"/>
    <col min="10" max="10" width="14.28515625" style="235" bestFit="1" customWidth="1"/>
    <col min="11" max="11" width="18.85546875" style="235" customWidth="1"/>
    <col min="12" max="12" width="14" style="235" customWidth="1"/>
    <col min="13" max="14" width="14.28515625" style="235" bestFit="1" customWidth="1"/>
    <col min="15" max="15" width="16.42578125" style="235" bestFit="1" customWidth="1"/>
    <col min="16" max="17" width="14.28515625" style="235" bestFit="1" customWidth="1"/>
    <col min="18" max="18" width="14" style="235" customWidth="1"/>
    <col min="19" max="20" width="14.28515625" style="235" bestFit="1" customWidth="1"/>
    <col min="21" max="21" width="14.85546875" style="235" bestFit="1" customWidth="1"/>
    <col min="22" max="23" width="14.28515625" style="235" bestFit="1" customWidth="1"/>
    <col min="24" max="24" width="14" style="235" customWidth="1"/>
    <col min="25" max="26" width="14.28515625" style="235" bestFit="1" customWidth="1"/>
    <col min="27" max="27" width="14.85546875" style="235" bestFit="1" customWidth="1"/>
    <col min="28" max="30" width="14.28515625" style="235" bestFit="1" customWidth="1"/>
    <col min="31" max="31" width="16.42578125" style="235" bestFit="1" customWidth="1"/>
    <col min="32" max="36" width="14" style="235"/>
    <col min="37" max="37" width="16.42578125" style="235" bestFit="1" customWidth="1"/>
    <col min="38" max="40" width="14" style="235"/>
    <col min="41" max="41" width="15.7109375" style="235" bestFit="1" customWidth="1"/>
    <col min="42" max="42" width="14" style="235"/>
    <col min="43" max="43" width="16.42578125" style="235" bestFit="1" customWidth="1"/>
    <col min="44" max="16384" width="14" style="235"/>
  </cols>
  <sheetData>
    <row r="1" spans="1:48" ht="15">
      <c r="A1" s="34"/>
      <c r="B1" s="35"/>
      <c r="C1" s="61"/>
      <c r="D1" s="61"/>
      <c r="E1" s="59"/>
      <c r="F1" s="61"/>
      <c r="G1" s="61"/>
      <c r="H1" s="62"/>
      <c r="I1" s="141"/>
      <c r="J1" s="102"/>
      <c r="K1" s="141"/>
      <c r="L1" s="102"/>
      <c r="M1" s="141"/>
      <c r="N1" s="138"/>
      <c r="O1" s="59"/>
      <c r="P1" s="59"/>
      <c r="Q1" s="59"/>
      <c r="R1" s="59"/>
      <c r="S1" s="60"/>
      <c r="T1" s="62"/>
      <c r="U1" s="40"/>
      <c r="V1" s="40"/>
      <c r="W1" s="183"/>
      <c r="X1" s="183"/>
      <c r="Y1" s="184"/>
      <c r="Z1" s="44"/>
      <c r="AA1" s="37"/>
      <c r="AB1" s="37"/>
      <c r="AC1" s="38"/>
      <c r="AD1" s="62"/>
      <c r="AE1" s="45"/>
      <c r="AF1" s="20"/>
    </row>
    <row r="2" spans="1:48" ht="15">
      <c r="A2" s="34"/>
      <c r="B2" s="35"/>
      <c r="C2" s="61"/>
      <c r="D2" s="61"/>
      <c r="E2" s="59"/>
      <c r="F2" s="61"/>
      <c r="G2" s="61"/>
      <c r="H2" s="62"/>
      <c r="I2" s="141"/>
      <c r="J2" s="102"/>
      <c r="K2" s="141"/>
      <c r="L2" s="102"/>
      <c r="M2" s="141"/>
      <c r="N2" s="138"/>
      <c r="O2" s="59"/>
      <c r="P2" s="59"/>
      <c r="Q2" s="59"/>
      <c r="R2" s="59"/>
      <c r="S2" s="60"/>
      <c r="T2" s="62"/>
      <c r="U2" s="40"/>
      <c r="V2" s="40"/>
      <c r="W2" s="183"/>
      <c r="X2" s="183"/>
      <c r="Y2" s="184"/>
      <c r="Z2" s="44"/>
      <c r="AA2" s="37"/>
      <c r="AB2" s="37"/>
      <c r="AC2" s="38"/>
      <c r="AD2" s="62"/>
      <c r="AE2" s="45"/>
      <c r="AF2" s="20"/>
    </row>
    <row r="3" spans="1:48" ht="15.75">
      <c r="A3" s="34"/>
      <c r="B3" s="35"/>
      <c r="C3" s="61"/>
      <c r="D3" s="174" t="s">
        <v>25</v>
      </c>
      <c r="E3" s="59"/>
      <c r="F3" s="61"/>
      <c r="G3" s="61"/>
      <c r="H3" s="62"/>
      <c r="I3" s="141"/>
      <c r="J3" s="102"/>
      <c r="K3" s="141"/>
      <c r="L3" s="102"/>
      <c r="M3" s="141"/>
      <c r="N3" s="138"/>
      <c r="O3" s="59"/>
      <c r="P3" s="174" t="s">
        <v>25</v>
      </c>
      <c r="Q3" s="59"/>
      <c r="R3" s="59"/>
      <c r="S3" s="60"/>
      <c r="T3" s="62"/>
      <c r="U3" s="40"/>
      <c r="V3" s="40"/>
      <c r="W3" s="183"/>
      <c r="X3" s="183"/>
      <c r="Y3" s="184"/>
      <c r="Z3" s="44"/>
      <c r="AA3" s="37"/>
      <c r="AB3" s="37"/>
      <c r="AC3" s="38"/>
      <c r="AD3" s="62"/>
      <c r="AE3" s="45"/>
      <c r="AF3" s="20"/>
    </row>
    <row r="4" spans="1:48" ht="18.75" thickBot="1">
      <c r="A4" s="34"/>
      <c r="B4" s="35"/>
      <c r="C4" s="158" t="s">
        <v>26</v>
      </c>
      <c r="D4" s="61"/>
      <c r="E4" s="59"/>
      <c r="F4" s="61"/>
      <c r="G4" s="61"/>
      <c r="H4" s="62"/>
      <c r="I4" s="141"/>
      <c r="J4" s="102"/>
      <c r="K4" s="141"/>
      <c r="L4" s="102"/>
      <c r="M4" s="141"/>
      <c r="N4" s="138"/>
      <c r="O4" s="59"/>
      <c r="P4" s="158" t="s">
        <v>27</v>
      </c>
      <c r="Q4" s="59"/>
      <c r="R4" s="59"/>
      <c r="S4" s="60"/>
      <c r="T4" s="62"/>
      <c r="U4" s="40"/>
      <c r="V4" s="40"/>
      <c r="W4" s="183"/>
      <c r="X4" s="183"/>
      <c r="Y4" s="184"/>
      <c r="Z4" s="44"/>
      <c r="AA4" s="37"/>
      <c r="AB4" s="37"/>
      <c r="AC4" s="38"/>
      <c r="AD4" s="62"/>
      <c r="AE4" s="45"/>
      <c r="AF4" s="20"/>
    </row>
    <row r="5" spans="1:48" ht="21" thickBot="1">
      <c r="A5" s="63" t="s">
        <v>28</v>
      </c>
      <c r="B5" s="64"/>
      <c r="C5" s="127"/>
      <c r="D5" s="65"/>
      <c r="E5" s="66"/>
      <c r="F5" s="65"/>
      <c r="G5" s="65"/>
      <c r="H5" s="71"/>
      <c r="I5" s="142"/>
      <c r="J5" s="143"/>
      <c r="K5" s="144"/>
      <c r="L5" s="143"/>
      <c r="M5" s="144"/>
      <c r="N5" s="145"/>
      <c r="O5" s="126"/>
      <c r="P5" s="66"/>
      <c r="Q5" s="66"/>
      <c r="R5" s="66"/>
      <c r="S5" s="67"/>
      <c r="T5" s="71"/>
      <c r="U5" s="122"/>
      <c r="V5" s="68"/>
      <c r="W5" s="185"/>
      <c r="X5" s="185"/>
      <c r="Y5" s="186"/>
      <c r="Z5" s="123"/>
      <c r="AA5" s="69"/>
      <c r="AB5" s="69"/>
      <c r="AC5" s="70"/>
      <c r="AD5" s="71"/>
      <c r="AE5" s="217"/>
      <c r="AF5" s="218"/>
      <c r="AG5" s="242"/>
      <c r="AH5" s="242"/>
      <c r="AI5" s="242"/>
      <c r="AJ5" s="243"/>
      <c r="AK5" s="244"/>
      <c r="AL5" s="242"/>
      <c r="AM5" s="242"/>
      <c r="AN5" s="242"/>
      <c r="AO5" s="242"/>
      <c r="AP5" s="243"/>
      <c r="AQ5" s="142"/>
      <c r="AR5" s="143"/>
      <c r="AS5" s="144"/>
      <c r="AT5" s="143"/>
      <c r="AU5" s="144"/>
      <c r="AV5" s="145"/>
    </row>
    <row r="6" spans="1:48" ht="18">
      <c r="A6" s="130" t="s">
        <v>5</v>
      </c>
      <c r="B6" s="128" t="s">
        <v>6</v>
      </c>
      <c r="C6" s="403" t="s">
        <v>7</v>
      </c>
      <c r="D6" s="404"/>
      <c r="E6" s="404"/>
      <c r="F6" s="404"/>
      <c r="G6" s="404"/>
      <c r="H6" s="16"/>
      <c r="I6" s="159" t="s">
        <v>8</v>
      </c>
      <c r="J6" s="132"/>
      <c r="K6" s="132"/>
      <c r="L6" s="132"/>
      <c r="M6" s="132"/>
      <c r="N6" s="160"/>
      <c r="O6" s="17" t="s">
        <v>9</v>
      </c>
      <c r="P6" s="18"/>
      <c r="Q6" s="18"/>
      <c r="R6" s="18"/>
      <c r="S6" s="18"/>
      <c r="T6" s="16"/>
      <c r="U6" s="405" t="s">
        <v>10</v>
      </c>
      <c r="V6" s="406"/>
      <c r="W6" s="406"/>
      <c r="X6" s="406"/>
      <c r="Y6" s="406"/>
      <c r="Z6" s="421"/>
      <c r="AA6" s="407" t="s">
        <v>11</v>
      </c>
      <c r="AB6" s="408"/>
      <c r="AC6" s="408"/>
      <c r="AD6" s="409"/>
      <c r="AE6" s="412" t="s">
        <v>29</v>
      </c>
      <c r="AF6" s="413"/>
      <c r="AG6" s="413"/>
      <c r="AH6" s="413"/>
      <c r="AI6" s="413"/>
      <c r="AJ6" s="414"/>
      <c r="AK6" s="415" t="s">
        <v>30</v>
      </c>
      <c r="AL6" s="416"/>
      <c r="AM6" s="416"/>
      <c r="AN6" s="416"/>
      <c r="AO6" s="416"/>
      <c r="AP6" s="417"/>
      <c r="AQ6" s="418" t="s">
        <v>31</v>
      </c>
      <c r="AR6" s="419"/>
      <c r="AS6" s="419"/>
      <c r="AT6" s="419"/>
      <c r="AU6" s="419"/>
      <c r="AV6" s="420"/>
    </row>
    <row r="7" spans="1:48">
      <c r="A7" s="131" t="s">
        <v>12</v>
      </c>
      <c r="B7" s="129"/>
      <c r="C7" s="23" t="s">
        <v>13</v>
      </c>
      <c r="D7" s="24" t="s">
        <v>14</v>
      </c>
      <c r="E7" s="24" t="s">
        <v>15</v>
      </c>
      <c r="F7" s="24" t="s">
        <v>16</v>
      </c>
      <c r="G7" s="24" t="s">
        <v>17</v>
      </c>
      <c r="H7" s="25" t="s">
        <v>18</v>
      </c>
      <c r="I7" s="146" t="s">
        <v>13</v>
      </c>
      <c r="J7" s="133" t="s">
        <v>14</v>
      </c>
      <c r="K7" s="133" t="s">
        <v>15</v>
      </c>
      <c r="L7" s="133" t="s">
        <v>16</v>
      </c>
      <c r="M7" s="133" t="s">
        <v>17</v>
      </c>
      <c r="N7" s="147" t="s">
        <v>18</v>
      </c>
      <c r="O7" s="23" t="s">
        <v>13</v>
      </c>
      <c r="P7" s="24" t="s">
        <v>14</v>
      </c>
      <c r="Q7" s="24" t="s">
        <v>15</v>
      </c>
      <c r="R7" s="24" t="s">
        <v>16</v>
      </c>
      <c r="S7" s="24" t="s">
        <v>17</v>
      </c>
      <c r="T7" s="25" t="s">
        <v>18</v>
      </c>
      <c r="U7" s="124" t="s">
        <v>13</v>
      </c>
      <c r="V7" s="26" t="s">
        <v>14</v>
      </c>
      <c r="W7" s="26" t="s">
        <v>15</v>
      </c>
      <c r="X7" s="26" t="s">
        <v>16</v>
      </c>
      <c r="Y7" s="26" t="s">
        <v>17</v>
      </c>
      <c r="Z7" s="125" t="s">
        <v>18</v>
      </c>
      <c r="AA7" s="23" t="s">
        <v>13</v>
      </c>
      <c r="AB7" s="24" t="s">
        <v>14</v>
      </c>
      <c r="AC7" s="24" t="s">
        <v>19</v>
      </c>
      <c r="AD7" s="25" t="s">
        <v>18</v>
      </c>
      <c r="AE7" s="89" t="s">
        <v>13</v>
      </c>
      <c r="AF7" s="90" t="s">
        <v>14</v>
      </c>
      <c r="AG7" s="90" t="s">
        <v>15</v>
      </c>
      <c r="AH7" s="90" t="s">
        <v>16</v>
      </c>
      <c r="AI7" s="90" t="s">
        <v>17</v>
      </c>
      <c r="AJ7" s="91" t="s">
        <v>18</v>
      </c>
      <c r="AK7" s="92" t="s">
        <v>13</v>
      </c>
      <c r="AL7" s="93" t="s">
        <v>14</v>
      </c>
      <c r="AM7" s="93" t="s">
        <v>15</v>
      </c>
      <c r="AN7" s="93" t="s">
        <v>16</v>
      </c>
      <c r="AO7" s="93" t="s">
        <v>17</v>
      </c>
      <c r="AP7" s="94" t="s">
        <v>18</v>
      </c>
      <c r="AQ7" s="146" t="s">
        <v>13</v>
      </c>
      <c r="AR7" s="133" t="s">
        <v>14</v>
      </c>
      <c r="AS7" s="133" t="s">
        <v>15</v>
      </c>
      <c r="AT7" s="133" t="s">
        <v>16</v>
      </c>
      <c r="AU7" s="133" t="s">
        <v>17</v>
      </c>
      <c r="AV7" s="147" t="s">
        <v>18</v>
      </c>
    </row>
    <row r="8" spans="1:48" ht="15" thickBot="1">
      <c r="A8" s="161"/>
      <c r="B8" s="162" t="s">
        <v>32</v>
      </c>
      <c r="C8" s="29" t="s">
        <v>33</v>
      </c>
      <c r="D8" s="30" t="s">
        <v>33</v>
      </c>
      <c r="E8" s="30" t="s">
        <v>33</v>
      </c>
      <c r="F8" s="30" t="s">
        <v>33</v>
      </c>
      <c r="G8" s="30" t="s">
        <v>33</v>
      </c>
      <c r="H8" s="31" t="s">
        <v>22</v>
      </c>
      <c r="I8" s="163" t="s">
        <v>33</v>
      </c>
      <c r="J8" s="134" t="s">
        <v>33</v>
      </c>
      <c r="K8" s="134" t="s">
        <v>33</v>
      </c>
      <c r="L8" s="134" t="s">
        <v>33</v>
      </c>
      <c r="M8" s="134" t="s">
        <v>33</v>
      </c>
      <c r="N8" s="164" t="s">
        <v>22</v>
      </c>
      <c r="O8" s="29" t="s">
        <v>33</v>
      </c>
      <c r="P8" s="30" t="s">
        <v>33</v>
      </c>
      <c r="Q8" s="30" t="s">
        <v>33</v>
      </c>
      <c r="R8" s="30" t="s">
        <v>33</v>
      </c>
      <c r="S8" s="30" t="s">
        <v>33</v>
      </c>
      <c r="T8" s="31" t="s">
        <v>22</v>
      </c>
      <c r="U8" s="165" t="s">
        <v>34</v>
      </c>
      <c r="V8" s="32" t="s">
        <v>34</v>
      </c>
      <c r="W8" s="32" t="s">
        <v>34</v>
      </c>
      <c r="X8" s="32" t="s">
        <v>34</v>
      </c>
      <c r="Y8" s="32" t="s">
        <v>34</v>
      </c>
      <c r="Z8" s="166" t="s">
        <v>22</v>
      </c>
      <c r="AA8" s="29" t="s">
        <v>33</v>
      </c>
      <c r="AB8" s="30" t="s">
        <v>33</v>
      </c>
      <c r="AC8" s="30" t="s">
        <v>33</v>
      </c>
      <c r="AD8" s="31" t="s">
        <v>22</v>
      </c>
      <c r="AE8" s="95" t="s">
        <v>21</v>
      </c>
      <c r="AF8" s="96" t="s">
        <v>21</v>
      </c>
      <c r="AG8" s="96" t="s">
        <v>21</v>
      </c>
      <c r="AH8" s="96" t="s">
        <v>21</v>
      </c>
      <c r="AI8" s="96" t="s">
        <v>21</v>
      </c>
      <c r="AJ8" s="97" t="s">
        <v>22</v>
      </c>
      <c r="AK8" s="98" t="s">
        <v>21</v>
      </c>
      <c r="AL8" s="99" t="s">
        <v>21</v>
      </c>
      <c r="AM8" s="99" t="s">
        <v>21</v>
      </c>
      <c r="AN8" s="99" t="s">
        <v>21</v>
      </c>
      <c r="AO8" s="99" t="s">
        <v>21</v>
      </c>
      <c r="AP8" s="100" t="s">
        <v>22</v>
      </c>
      <c r="AQ8" s="163" t="s">
        <v>33</v>
      </c>
      <c r="AR8" s="134" t="s">
        <v>33</v>
      </c>
      <c r="AS8" s="134" t="s">
        <v>33</v>
      </c>
      <c r="AT8" s="134" t="s">
        <v>33</v>
      </c>
      <c r="AU8" s="134" t="s">
        <v>33</v>
      </c>
      <c r="AV8" s="164" t="s">
        <v>22</v>
      </c>
    </row>
    <row r="9" spans="1:48" ht="15">
      <c r="A9" s="248">
        <v>39326</v>
      </c>
      <c r="B9" s="72">
        <v>93</v>
      </c>
      <c r="C9" s="73">
        <v>56.492399999999996</v>
      </c>
      <c r="D9" s="80">
        <v>27.757600000000004</v>
      </c>
      <c r="E9" s="80">
        <v>11.06</v>
      </c>
      <c r="F9" s="80">
        <f>D9+E9</f>
        <v>38.817600000000006</v>
      </c>
      <c r="G9" s="80">
        <f>C9+F9</f>
        <v>95.31</v>
      </c>
      <c r="H9" s="81"/>
      <c r="I9" s="148">
        <v>56.398699999999998</v>
      </c>
      <c r="J9" s="149">
        <v>17.551300000000001</v>
      </c>
      <c r="K9" s="149">
        <v>11.06</v>
      </c>
      <c r="L9" s="76">
        <f>J9+K9</f>
        <v>28.6113</v>
      </c>
      <c r="M9" s="150">
        <f>I9+J9+K9</f>
        <v>85.01</v>
      </c>
      <c r="N9" s="151"/>
      <c r="O9" s="176">
        <v>58.504899999999999</v>
      </c>
      <c r="P9" s="177">
        <v>5.3050999999999995</v>
      </c>
      <c r="Q9" s="177">
        <v>12.06</v>
      </c>
      <c r="R9" s="177">
        <f>P9+Q9</f>
        <v>17.365099999999998</v>
      </c>
      <c r="S9" s="178">
        <f>O9+P9+Q9</f>
        <v>75.87</v>
      </c>
      <c r="T9" s="179"/>
      <c r="U9" s="190">
        <v>66.250200000000007</v>
      </c>
      <c r="V9" s="194">
        <v>-6.1842000000000006</v>
      </c>
      <c r="W9" s="191">
        <v>15.284000000000001</v>
      </c>
      <c r="X9" s="191">
        <f>V9+W9</f>
        <v>9.0998000000000001</v>
      </c>
      <c r="Y9" s="192">
        <f>U9+V9+W9</f>
        <v>75.350000000000009</v>
      </c>
      <c r="Z9" s="187"/>
      <c r="AA9" s="176">
        <v>38.054099999999998</v>
      </c>
      <c r="AB9" s="177">
        <v>7.4562999999999997</v>
      </c>
      <c r="AC9" s="178">
        <v>45.510399999999997</v>
      </c>
      <c r="AD9" s="179"/>
      <c r="AE9" s="116"/>
      <c r="AF9" s="20"/>
      <c r="AJ9" s="245"/>
      <c r="AK9" s="240"/>
      <c r="AP9" s="245"/>
      <c r="AQ9" s="148"/>
      <c r="AR9" s="149"/>
      <c r="AS9" s="149"/>
      <c r="AT9" s="76"/>
      <c r="AU9" s="150"/>
      <c r="AV9" s="151"/>
    </row>
    <row r="10" spans="1:48" ht="15">
      <c r="A10" s="248">
        <v>39341</v>
      </c>
      <c r="B10" s="72">
        <v>93</v>
      </c>
      <c r="C10" s="73">
        <v>51.612400000000001</v>
      </c>
      <c r="D10" s="80">
        <v>27.757600000000004</v>
      </c>
      <c r="E10" s="80">
        <v>11.83</v>
      </c>
      <c r="F10" s="80">
        <f t="shared" ref="F10:F73" si="0">D10+E10</f>
        <v>39.587600000000002</v>
      </c>
      <c r="G10" s="80">
        <f t="shared" ref="G10:G42" si="1">C10+F10</f>
        <v>91.2</v>
      </c>
      <c r="H10" s="81">
        <f t="shared" ref="H10:H64" si="2">G10/G9-1</f>
        <v>-4.3122442555870277E-2</v>
      </c>
      <c r="I10" s="148">
        <v>55.62</v>
      </c>
      <c r="J10" s="149">
        <v>17.559999999999999</v>
      </c>
      <c r="K10" s="149">
        <v>11.83</v>
      </c>
      <c r="L10" s="76">
        <f t="shared" ref="L10:L41" si="3">J10+K10</f>
        <v>29.39</v>
      </c>
      <c r="M10" s="150">
        <f t="shared" ref="M10:M42" si="4">I10+J10+K10</f>
        <v>85.009999999999991</v>
      </c>
      <c r="N10" s="151">
        <f t="shared" ref="N10:N73" si="5">M10/M9-1</f>
        <v>0</v>
      </c>
      <c r="O10" s="176">
        <v>57.46</v>
      </c>
      <c r="P10" s="177">
        <v>5.31</v>
      </c>
      <c r="Q10" s="177">
        <v>12.83</v>
      </c>
      <c r="R10" s="177">
        <f t="shared" ref="R10:R73" si="6">P10+Q10</f>
        <v>18.14</v>
      </c>
      <c r="S10" s="178">
        <f t="shared" ref="S10:S42" si="7">O10+P10+Q10</f>
        <v>75.600000000000009</v>
      </c>
      <c r="T10" s="179">
        <f t="shared" ref="T10:T73" si="8">S10/S9-1</f>
        <v>-3.558718861209953E-3</v>
      </c>
      <c r="U10" s="190">
        <v>68.13</v>
      </c>
      <c r="V10" s="194">
        <v>-6.18</v>
      </c>
      <c r="W10" s="191">
        <v>15.28</v>
      </c>
      <c r="X10" s="191">
        <f>V10+W10</f>
        <v>9.1</v>
      </c>
      <c r="Y10" s="192">
        <f t="shared" ref="Y10:Y42" si="9">U10+V10+W10</f>
        <v>77.22999999999999</v>
      </c>
      <c r="Z10" s="187">
        <f t="shared" ref="Z10:Z73" si="10">Y10/Y9-1</f>
        <v>2.4950232249502102E-2</v>
      </c>
      <c r="AA10" s="176">
        <v>37.57</v>
      </c>
      <c r="AB10" s="177">
        <v>7.46</v>
      </c>
      <c r="AC10" s="178">
        <v>45.03</v>
      </c>
      <c r="AD10" s="179">
        <f t="shared" ref="AD10:AD73" si="11">AC10/AC9-1</f>
        <v>-1.0555828997327987E-2</v>
      </c>
      <c r="AE10" s="116"/>
      <c r="AF10" s="20"/>
      <c r="AJ10" s="245"/>
      <c r="AK10" s="240"/>
      <c r="AP10" s="245"/>
      <c r="AQ10" s="148"/>
      <c r="AR10" s="149"/>
      <c r="AS10" s="149"/>
      <c r="AT10" s="76"/>
      <c r="AU10" s="150"/>
      <c r="AV10" s="151"/>
    </row>
    <row r="11" spans="1:48" ht="15">
      <c r="A11" s="248">
        <v>39356</v>
      </c>
      <c r="B11" s="72">
        <v>93.51</v>
      </c>
      <c r="C11" s="73">
        <v>54.3322</v>
      </c>
      <c r="D11" s="80">
        <v>27.755600000000001</v>
      </c>
      <c r="E11" s="80">
        <v>11.83</v>
      </c>
      <c r="F11" s="80">
        <f t="shared" si="0"/>
        <v>39.585599999999999</v>
      </c>
      <c r="G11" s="80">
        <f t="shared" si="1"/>
        <v>93.9178</v>
      </c>
      <c r="H11" s="81">
        <f t="shared" si="2"/>
        <v>2.9800438596491174E-2</v>
      </c>
      <c r="I11" s="148">
        <v>61.060900000000004</v>
      </c>
      <c r="J11" s="149">
        <v>17.551300000000001</v>
      </c>
      <c r="K11" s="149">
        <v>11.83</v>
      </c>
      <c r="L11" s="76">
        <f t="shared" si="3"/>
        <v>29.381300000000003</v>
      </c>
      <c r="M11" s="150">
        <f t="shared" si="4"/>
        <v>90.4422</v>
      </c>
      <c r="N11" s="151">
        <f t="shared" si="5"/>
        <v>6.3900717562639819E-2</v>
      </c>
      <c r="O11" s="176">
        <v>61.260100000000001</v>
      </c>
      <c r="P11" s="177">
        <v>5.2926000000000002</v>
      </c>
      <c r="Q11" s="177">
        <v>12.83</v>
      </c>
      <c r="R11" s="177">
        <f t="shared" si="6"/>
        <v>18.122599999999998</v>
      </c>
      <c r="S11" s="178">
        <f t="shared" si="7"/>
        <v>79.3827</v>
      </c>
      <c r="T11" s="179">
        <f t="shared" si="8"/>
        <v>5.0035714285714183E-2</v>
      </c>
      <c r="U11" s="190">
        <v>72.002700000000004</v>
      </c>
      <c r="V11" s="194">
        <v>-6.1796000000000006</v>
      </c>
      <c r="W11" s="191">
        <v>15.28</v>
      </c>
      <c r="X11" s="191">
        <f t="shared" ref="X11:X74" si="12">V11+W11</f>
        <v>9.1003999999999987</v>
      </c>
      <c r="Y11" s="192">
        <f t="shared" si="9"/>
        <v>81.103100000000012</v>
      </c>
      <c r="Z11" s="187">
        <f t="shared" si="10"/>
        <v>5.0150200699210501E-2</v>
      </c>
      <c r="AA11" s="176">
        <v>38.973800000000004</v>
      </c>
      <c r="AB11" s="177">
        <v>7.4657000000000009</v>
      </c>
      <c r="AC11" s="178">
        <v>46.439500000000002</v>
      </c>
      <c r="AD11" s="179">
        <f t="shared" si="11"/>
        <v>3.1301354652453872E-2</v>
      </c>
      <c r="AE11" s="116"/>
      <c r="AF11" s="20"/>
      <c r="AJ11" s="245"/>
      <c r="AK11" s="240"/>
      <c r="AP11" s="245"/>
      <c r="AQ11" s="148"/>
      <c r="AR11" s="149"/>
      <c r="AS11" s="149"/>
      <c r="AT11" s="76"/>
      <c r="AU11" s="150"/>
      <c r="AV11" s="151"/>
    </row>
    <row r="12" spans="1:48" ht="15">
      <c r="A12" s="248">
        <v>39371</v>
      </c>
      <c r="B12" s="72">
        <v>93.52</v>
      </c>
      <c r="C12" s="73">
        <v>54.334399999999995</v>
      </c>
      <c r="D12" s="80">
        <v>27.755600000000001</v>
      </c>
      <c r="E12" s="80">
        <v>11.83</v>
      </c>
      <c r="F12" s="80">
        <f t="shared" si="0"/>
        <v>39.585599999999999</v>
      </c>
      <c r="G12" s="80">
        <f t="shared" si="1"/>
        <v>93.919999999999987</v>
      </c>
      <c r="H12" s="81">
        <f t="shared" si="2"/>
        <v>2.342473950611712E-5</v>
      </c>
      <c r="I12" s="148">
        <v>61.058700000000002</v>
      </c>
      <c r="J12" s="149">
        <v>17.551300000000001</v>
      </c>
      <c r="K12" s="149">
        <v>11.83</v>
      </c>
      <c r="L12" s="76">
        <f t="shared" si="3"/>
        <v>29.381300000000003</v>
      </c>
      <c r="M12" s="150">
        <f t="shared" si="4"/>
        <v>90.44</v>
      </c>
      <c r="N12" s="151">
        <f t="shared" si="5"/>
        <v>-2.4324927965113652E-5</v>
      </c>
      <c r="O12" s="176">
        <v>61.257399999999997</v>
      </c>
      <c r="P12" s="177">
        <v>5.2926000000000002</v>
      </c>
      <c r="Q12" s="177">
        <v>12.83</v>
      </c>
      <c r="R12" s="177">
        <f t="shared" si="6"/>
        <v>18.122599999999998</v>
      </c>
      <c r="S12" s="178">
        <f t="shared" si="7"/>
        <v>79.38</v>
      </c>
      <c r="T12" s="179">
        <f t="shared" si="8"/>
        <v>-3.4012448556275388E-5</v>
      </c>
      <c r="U12" s="190">
        <v>71.999600000000001</v>
      </c>
      <c r="V12" s="194">
        <v>-6.1796000000000006</v>
      </c>
      <c r="W12" s="191">
        <v>15.28</v>
      </c>
      <c r="X12" s="191">
        <f t="shared" si="12"/>
        <v>9.1003999999999987</v>
      </c>
      <c r="Y12" s="192">
        <f t="shared" si="9"/>
        <v>81.099999999999994</v>
      </c>
      <c r="Z12" s="187">
        <f t="shared" si="10"/>
        <v>-3.8222953253508329E-5</v>
      </c>
      <c r="AA12" s="176">
        <v>38.974299999999999</v>
      </c>
      <c r="AB12" s="177">
        <v>7.4657000000000009</v>
      </c>
      <c r="AC12" s="178">
        <v>46.44</v>
      </c>
      <c r="AD12" s="179">
        <f t="shared" si="11"/>
        <v>1.0766696454389546E-5</v>
      </c>
      <c r="AE12" s="116"/>
      <c r="AF12" s="20"/>
      <c r="AJ12" s="245"/>
      <c r="AK12" s="240"/>
      <c r="AP12" s="245"/>
      <c r="AQ12" s="148"/>
      <c r="AR12" s="149"/>
      <c r="AS12" s="149"/>
      <c r="AT12" s="76"/>
      <c r="AU12" s="150"/>
      <c r="AV12" s="151"/>
    </row>
    <row r="13" spans="1:48" ht="15">
      <c r="A13" s="248">
        <v>39387</v>
      </c>
      <c r="B13" s="72">
        <v>93.85</v>
      </c>
      <c r="C13" s="73">
        <v>57.024399999999993</v>
      </c>
      <c r="D13" s="80">
        <v>27.755600000000001</v>
      </c>
      <c r="E13" s="80">
        <v>13</v>
      </c>
      <c r="F13" s="80">
        <f t="shared" si="0"/>
        <v>40.755600000000001</v>
      </c>
      <c r="G13" s="80">
        <f t="shared" si="1"/>
        <v>97.78</v>
      </c>
      <c r="H13" s="81">
        <f t="shared" si="2"/>
        <v>4.1098807495741241E-2</v>
      </c>
      <c r="I13" s="148">
        <v>64.728700000000003</v>
      </c>
      <c r="J13" s="149">
        <v>17.551300000000001</v>
      </c>
      <c r="K13" s="149">
        <v>13</v>
      </c>
      <c r="L13" s="76">
        <f t="shared" si="3"/>
        <v>30.551300000000001</v>
      </c>
      <c r="M13" s="150">
        <f t="shared" si="4"/>
        <v>95.28</v>
      </c>
      <c r="N13" s="151">
        <f t="shared" si="5"/>
        <v>5.3516143299425112E-2</v>
      </c>
      <c r="O13" s="176">
        <v>66.957399999999993</v>
      </c>
      <c r="P13" s="177">
        <v>5.2926000000000002</v>
      </c>
      <c r="Q13" s="177">
        <v>14</v>
      </c>
      <c r="R13" s="177">
        <f t="shared" si="6"/>
        <v>19.2926</v>
      </c>
      <c r="S13" s="178">
        <f t="shared" si="7"/>
        <v>86.25</v>
      </c>
      <c r="T13" s="179">
        <f t="shared" si="8"/>
        <v>8.6545729402872418E-2</v>
      </c>
      <c r="U13" s="190">
        <v>87.799599999999998</v>
      </c>
      <c r="V13" s="194">
        <v>-6.1796000000000006</v>
      </c>
      <c r="W13" s="191">
        <v>16.28</v>
      </c>
      <c r="X13" s="191">
        <f t="shared" si="12"/>
        <v>10.1004</v>
      </c>
      <c r="Y13" s="192">
        <f t="shared" si="9"/>
        <v>97.9</v>
      </c>
      <c r="Z13" s="187">
        <f t="shared" si="10"/>
        <v>0.20715166461159074</v>
      </c>
      <c r="AA13" s="176">
        <v>43.474299999999999</v>
      </c>
      <c r="AB13" s="177">
        <v>7.4657000000000009</v>
      </c>
      <c r="AC13" s="178">
        <v>50.94</v>
      </c>
      <c r="AD13" s="179">
        <f t="shared" si="11"/>
        <v>9.68992248062015E-2</v>
      </c>
      <c r="AE13" s="116"/>
      <c r="AF13" s="20"/>
      <c r="AJ13" s="245"/>
      <c r="AK13" s="240"/>
      <c r="AP13" s="245"/>
      <c r="AQ13" s="148"/>
      <c r="AR13" s="149"/>
      <c r="AS13" s="149"/>
      <c r="AT13" s="76"/>
      <c r="AU13" s="150"/>
      <c r="AV13" s="151"/>
    </row>
    <row r="14" spans="1:48" ht="15">
      <c r="A14" s="248">
        <v>39409</v>
      </c>
      <c r="B14" s="72">
        <v>95.18</v>
      </c>
      <c r="C14" s="73">
        <v>63.164399999999993</v>
      </c>
      <c r="D14" s="80">
        <v>27.755600000000001</v>
      </c>
      <c r="E14" s="80">
        <v>13</v>
      </c>
      <c r="F14" s="80">
        <f t="shared" si="0"/>
        <v>40.755600000000001</v>
      </c>
      <c r="G14" s="80">
        <f t="shared" si="1"/>
        <v>103.91999999999999</v>
      </c>
      <c r="H14" s="81">
        <f t="shared" si="2"/>
        <v>6.2794027408467956E-2</v>
      </c>
      <c r="I14" s="148">
        <v>72.198700000000002</v>
      </c>
      <c r="J14" s="149">
        <v>17.551300000000001</v>
      </c>
      <c r="K14" s="149">
        <v>13</v>
      </c>
      <c r="L14" s="76">
        <f t="shared" si="3"/>
        <v>30.551300000000001</v>
      </c>
      <c r="M14" s="150">
        <f t="shared" si="4"/>
        <v>102.75</v>
      </c>
      <c r="N14" s="151">
        <f t="shared" si="5"/>
        <v>7.8400503778337516E-2</v>
      </c>
      <c r="O14" s="176">
        <v>74.997399999999999</v>
      </c>
      <c r="P14" s="177">
        <v>5.2926000000000002</v>
      </c>
      <c r="Q14" s="177">
        <v>14</v>
      </c>
      <c r="R14" s="177">
        <f t="shared" si="6"/>
        <v>19.2926</v>
      </c>
      <c r="S14" s="178">
        <f t="shared" si="7"/>
        <v>94.289999999999992</v>
      </c>
      <c r="T14" s="179">
        <f t="shared" si="8"/>
        <v>9.3217391304347696E-2</v>
      </c>
      <c r="U14" s="190">
        <v>90.859599999999986</v>
      </c>
      <c r="V14" s="194">
        <v>-6.1796000000000006</v>
      </c>
      <c r="W14" s="191">
        <v>16.28</v>
      </c>
      <c r="X14" s="191">
        <f t="shared" si="12"/>
        <v>10.1004</v>
      </c>
      <c r="Y14" s="192">
        <f t="shared" si="9"/>
        <v>100.95999999999998</v>
      </c>
      <c r="Z14" s="187">
        <f t="shared" si="10"/>
        <v>3.1256384065372567E-2</v>
      </c>
      <c r="AA14" s="176">
        <v>50.284300000000002</v>
      </c>
      <c r="AB14" s="177">
        <v>7.4657000000000009</v>
      </c>
      <c r="AC14" s="178">
        <v>57.75</v>
      </c>
      <c r="AD14" s="179">
        <f t="shared" si="11"/>
        <v>0.13368669022379276</v>
      </c>
      <c r="AE14" s="116"/>
      <c r="AF14" s="20"/>
      <c r="AJ14" s="245"/>
      <c r="AK14" s="240"/>
      <c r="AP14" s="245"/>
      <c r="AQ14" s="148"/>
      <c r="AR14" s="149"/>
      <c r="AS14" s="149"/>
      <c r="AT14" s="76"/>
      <c r="AU14" s="150"/>
      <c r="AV14" s="151"/>
    </row>
    <row r="15" spans="1:48" ht="15">
      <c r="A15" s="248">
        <v>39417</v>
      </c>
      <c r="B15" s="72">
        <v>95.18</v>
      </c>
      <c r="C15" s="73">
        <v>63.164399999999993</v>
      </c>
      <c r="D15" s="80">
        <v>27.755600000000001</v>
      </c>
      <c r="E15" s="80">
        <v>13</v>
      </c>
      <c r="F15" s="80">
        <f t="shared" si="0"/>
        <v>40.755600000000001</v>
      </c>
      <c r="G15" s="80">
        <f t="shared" si="1"/>
        <v>103.91999999999999</v>
      </c>
      <c r="H15" s="81">
        <f t="shared" si="2"/>
        <v>0</v>
      </c>
      <c r="I15" s="148">
        <v>72.198700000000002</v>
      </c>
      <c r="J15" s="149">
        <v>17.551300000000001</v>
      </c>
      <c r="K15" s="149">
        <v>13</v>
      </c>
      <c r="L15" s="76">
        <f t="shared" si="3"/>
        <v>30.551300000000001</v>
      </c>
      <c r="M15" s="150">
        <f t="shared" si="4"/>
        <v>102.75</v>
      </c>
      <c r="N15" s="151">
        <f t="shared" si="5"/>
        <v>0</v>
      </c>
      <c r="O15" s="176">
        <v>74.997399999999999</v>
      </c>
      <c r="P15" s="177">
        <v>5.2926000000000002</v>
      </c>
      <c r="Q15" s="177">
        <v>14</v>
      </c>
      <c r="R15" s="177">
        <f t="shared" si="6"/>
        <v>19.2926</v>
      </c>
      <c r="S15" s="178">
        <f t="shared" si="7"/>
        <v>94.289999999999992</v>
      </c>
      <c r="T15" s="179">
        <f t="shared" si="8"/>
        <v>0</v>
      </c>
      <c r="U15" s="190">
        <v>90.859599999999986</v>
      </c>
      <c r="V15" s="194">
        <v>-6.1796000000000006</v>
      </c>
      <c r="W15" s="191">
        <v>16.28</v>
      </c>
      <c r="X15" s="191">
        <f t="shared" si="12"/>
        <v>10.1004</v>
      </c>
      <c r="Y15" s="192">
        <f t="shared" si="9"/>
        <v>100.95999999999998</v>
      </c>
      <c r="Z15" s="187">
        <f t="shared" si="10"/>
        <v>0</v>
      </c>
      <c r="AA15" s="176">
        <v>50.284300000000002</v>
      </c>
      <c r="AB15" s="177">
        <v>7.4657000000000009</v>
      </c>
      <c r="AC15" s="178">
        <v>57.75</v>
      </c>
      <c r="AD15" s="179">
        <f t="shared" si="11"/>
        <v>0</v>
      </c>
      <c r="AE15" s="116"/>
      <c r="AF15" s="20"/>
      <c r="AJ15" s="245"/>
      <c r="AK15" s="240"/>
      <c r="AP15" s="245"/>
      <c r="AQ15" s="148"/>
      <c r="AR15" s="149"/>
      <c r="AS15" s="149"/>
      <c r="AT15" s="76"/>
      <c r="AU15" s="150"/>
      <c r="AV15" s="151"/>
    </row>
    <row r="16" spans="1:48" ht="15">
      <c r="A16" s="248">
        <v>39432</v>
      </c>
      <c r="B16" s="72">
        <v>96</v>
      </c>
      <c r="C16" s="73">
        <v>61.234399999999994</v>
      </c>
      <c r="D16" s="80">
        <v>27.755600000000001</v>
      </c>
      <c r="E16" s="80">
        <v>13</v>
      </c>
      <c r="F16" s="80">
        <f t="shared" si="0"/>
        <v>40.755600000000001</v>
      </c>
      <c r="G16" s="80">
        <f t="shared" si="1"/>
        <v>101.99</v>
      </c>
      <c r="H16" s="81">
        <f t="shared" si="2"/>
        <v>-1.8571978444957615E-2</v>
      </c>
      <c r="I16" s="148">
        <v>72.078699999999998</v>
      </c>
      <c r="J16" s="149">
        <v>17.551300000000001</v>
      </c>
      <c r="K16" s="149">
        <v>13</v>
      </c>
      <c r="L16" s="76">
        <f t="shared" si="3"/>
        <v>30.551300000000001</v>
      </c>
      <c r="M16" s="150">
        <f t="shared" si="4"/>
        <v>102.63</v>
      </c>
      <c r="N16" s="151">
        <f t="shared" si="5"/>
        <v>-1.1678832116788218E-3</v>
      </c>
      <c r="O16" s="176">
        <v>74.257400000000004</v>
      </c>
      <c r="P16" s="177">
        <v>5.2926000000000002</v>
      </c>
      <c r="Q16" s="177">
        <v>14</v>
      </c>
      <c r="R16" s="177">
        <f t="shared" si="6"/>
        <v>19.2926</v>
      </c>
      <c r="S16" s="178">
        <f t="shared" si="7"/>
        <v>93.550000000000011</v>
      </c>
      <c r="T16" s="179">
        <f>S16/S15-1</f>
        <v>-7.8481281153884863E-3</v>
      </c>
      <c r="U16" s="190">
        <v>96.039599999999993</v>
      </c>
      <c r="V16" s="194">
        <v>-6.1796000000000006</v>
      </c>
      <c r="W16" s="191">
        <v>16.28</v>
      </c>
      <c r="X16" s="191">
        <f t="shared" si="12"/>
        <v>10.1004</v>
      </c>
      <c r="Y16" s="192">
        <f t="shared" si="9"/>
        <v>106.13999999999999</v>
      </c>
      <c r="Z16" s="187">
        <f t="shared" si="10"/>
        <v>5.1307448494453345E-2</v>
      </c>
      <c r="AA16" s="176">
        <v>48.484300000000005</v>
      </c>
      <c r="AB16" s="177">
        <v>7.4657000000000009</v>
      </c>
      <c r="AC16" s="178">
        <v>55.95</v>
      </c>
      <c r="AD16" s="179">
        <f t="shared" si="11"/>
        <v>-3.1168831168831068E-2</v>
      </c>
      <c r="AE16" s="116"/>
      <c r="AF16" s="20"/>
      <c r="AJ16" s="245"/>
      <c r="AK16" s="240"/>
      <c r="AP16" s="245"/>
      <c r="AQ16" s="148"/>
      <c r="AR16" s="149"/>
      <c r="AS16" s="149"/>
      <c r="AT16" s="76"/>
      <c r="AU16" s="150"/>
      <c r="AV16" s="151"/>
    </row>
    <row r="17" spans="1:48" ht="15">
      <c r="A17" s="248">
        <v>39449</v>
      </c>
      <c r="B17" s="72">
        <f>0.967*100</f>
        <v>96.7</v>
      </c>
      <c r="C17" s="73">
        <v>61.944399999999995</v>
      </c>
      <c r="D17" s="80">
        <v>27.755600000000001</v>
      </c>
      <c r="E17" s="80">
        <v>13</v>
      </c>
      <c r="F17" s="80">
        <f t="shared" si="0"/>
        <v>40.755600000000001</v>
      </c>
      <c r="G17" s="80">
        <f t="shared" si="1"/>
        <v>102.69999999999999</v>
      </c>
      <c r="H17" s="81">
        <f t="shared" si="2"/>
        <v>6.961466810471606E-3</v>
      </c>
      <c r="I17" s="148">
        <v>71.348699999999994</v>
      </c>
      <c r="J17" s="149">
        <v>17.551300000000001</v>
      </c>
      <c r="K17" s="149">
        <v>13</v>
      </c>
      <c r="L17" s="76">
        <f t="shared" si="3"/>
        <v>30.551300000000001</v>
      </c>
      <c r="M17" s="150">
        <f t="shared" si="4"/>
        <v>101.89999999999999</v>
      </c>
      <c r="N17" s="151">
        <f t="shared" si="5"/>
        <v>-7.1129299425120029E-3</v>
      </c>
      <c r="O17" s="176">
        <v>73.207399999999993</v>
      </c>
      <c r="P17" s="177">
        <v>5.2926000000000002</v>
      </c>
      <c r="Q17" s="177">
        <v>14</v>
      </c>
      <c r="R17" s="177">
        <f t="shared" si="6"/>
        <v>19.2926</v>
      </c>
      <c r="S17" s="178">
        <f t="shared" si="7"/>
        <v>92.5</v>
      </c>
      <c r="T17" s="179">
        <f t="shared" si="8"/>
        <v>-1.1223944414751608E-2</v>
      </c>
      <c r="U17" s="190">
        <v>95.179599999999994</v>
      </c>
      <c r="V17" s="194">
        <v>-6.1796000000000006</v>
      </c>
      <c r="W17" s="191">
        <v>16.28</v>
      </c>
      <c r="X17" s="191">
        <f t="shared" si="12"/>
        <v>10.1004</v>
      </c>
      <c r="Y17" s="192">
        <f t="shared" si="9"/>
        <v>105.28</v>
      </c>
      <c r="Z17" s="187">
        <f t="shared" si="10"/>
        <v>-8.1025061239869967E-3</v>
      </c>
      <c r="AA17" s="176">
        <v>49.874300000000005</v>
      </c>
      <c r="AB17" s="177">
        <v>7.4657000000000009</v>
      </c>
      <c r="AC17" s="178">
        <v>57.34</v>
      </c>
      <c r="AD17" s="179">
        <f t="shared" si="11"/>
        <v>2.4843610366398483E-2</v>
      </c>
      <c r="AE17" s="116"/>
      <c r="AF17" s="20"/>
      <c r="AJ17" s="245"/>
      <c r="AK17" s="240"/>
      <c r="AP17" s="245"/>
      <c r="AQ17" s="148"/>
      <c r="AR17" s="149"/>
      <c r="AS17" s="149"/>
      <c r="AT17" s="76"/>
      <c r="AU17" s="150"/>
      <c r="AV17" s="151"/>
    </row>
    <row r="18" spans="1:48" ht="15">
      <c r="A18" s="248">
        <v>39463</v>
      </c>
      <c r="B18" s="72">
        <v>97.18</v>
      </c>
      <c r="C18" s="73">
        <v>65.844399999999993</v>
      </c>
      <c r="D18" s="80">
        <v>27.755600000000001</v>
      </c>
      <c r="E18" s="80">
        <v>13</v>
      </c>
      <c r="F18" s="80">
        <f t="shared" si="0"/>
        <v>40.755600000000001</v>
      </c>
      <c r="G18" s="80">
        <f t="shared" si="1"/>
        <v>106.6</v>
      </c>
      <c r="H18" s="81">
        <f t="shared" si="2"/>
        <v>3.7974683544303778E-2</v>
      </c>
      <c r="I18" s="148">
        <v>73.448700000000002</v>
      </c>
      <c r="J18" s="149">
        <v>17.551300000000001</v>
      </c>
      <c r="K18" s="149">
        <v>13</v>
      </c>
      <c r="L18" s="76">
        <f t="shared" si="3"/>
        <v>30.551300000000001</v>
      </c>
      <c r="M18" s="150">
        <f t="shared" si="4"/>
        <v>104</v>
      </c>
      <c r="N18" s="151">
        <f t="shared" si="5"/>
        <v>2.0608439646712551E-2</v>
      </c>
      <c r="O18" s="176">
        <v>74.907399999999996</v>
      </c>
      <c r="P18" s="177">
        <v>5.2926000000000002</v>
      </c>
      <c r="Q18" s="177">
        <v>14</v>
      </c>
      <c r="R18" s="177">
        <f t="shared" si="6"/>
        <v>19.2926</v>
      </c>
      <c r="S18" s="178">
        <f t="shared" si="7"/>
        <v>94.199999999999989</v>
      </c>
      <c r="T18" s="179">
        <f t="shared" si="8"/>
        <v>1.8378378378378191E-2</v>
      </c>
      <c r="U18" s="190">
        <v>91.499599999999987</v>
      </c>
      <c r="V18" s="194">
        <v>-6.1796000000000006</v>
      </c>
      <c r="W18" s="191">
        <v>16.28</v>
      </c>
      <c r="X18" s="191">
        <f t="shared" si="12"/>
        <v>10.1004</v>
      </c>
      <c r="Y18" s="192">
        <f t="shared" si="9"/>
        <v>101.6</v>
      </c>
      <c r="Z18" s="187">
        <f t="shared" si="10"/>
        <v>-3.4954407294832901E-2</v>
      </c>
      <c r="AA18" s="176">
        <v>52.834300000000006</v>
      </c>
      <c r="AB18" s="177">
        <v>7.4657000000000009</v>
      </c>
      <c r="AC18" s="178">
        <v>60.300000000000004</v>
      </c>
      <c r="AD18" s="179">
        <f t="shared" si="11"/>
        <v>5.162190442971748E-2</v>
      </c>
      <c r="AE18" s="116"/>
      <c r="AF18" s="20"/>
      <c r="AJ18" s="245"/>
      <c r="AK18" s="240"/>
      <c r="AP18" s="245"/>
      <c r="AQ18" s="148"/>
      <c r="AR18" s="149"/>
      <c r="AS18" s="149"/>
      <c r="AT18" s="76"/>
      <c r="AU18" s="150"/>
      <c r="AV18" s="151"/>
    </row>
    <row r="19" spans="1:48" ht="15">
      <c r="A19" s="248">
        <v>39479</v>
      </c>
      <c r="B19" s="72">
        <v>97.34</v>
      </c>
      <c r="C19" s="73">
        <v>61.344399999999993</v>
      </c>
      <c r="D19" s="80">
        <v>27.755600000000001</v>
      </c>
      <c r="E19" s="80">
        <v>13.4</v>
      </c>
      <c r="F19" s="80">
        <f t="shared" si="0"/>
        <v>41.1556</v>
      </c>
      <c r="G19" s="80">
        <f t="shared" si="1"/>
        <v>102.5</v>
      </c>
      <c r="H19" s="81">
        <f t="shared" si="2"/>
        <v>-3.8461538461538436E-2</v>
      </c>
      <c r="I19" s="148">
        <v>70.848699999999994</v>
      </c>
      <c r="J19" s="149">
        <v>17.551300000000001</v>
      </c>
      <c r="K19" s="149">
        <v>13.4</v>
      </c>
      <c r="L19" s="76">
        <f t="shared" si="3"/>
        <v>30.951300000000003</v>
      </c>
      <c r="M19" s="150">
        <f t="shared" si="4"/>
        <v>101.8</v>
      </c>
      <c r="N19" s="151">
        <f t="shared" si="5"/>
        <v>-2.115384615384619E-2</v>
      </c>
      <c r="O19" s="176">
        <v>73.107399999999998</v>
      </c>
      <c r="P19" s="177">
        <v>5.2926000000000002</v>
      </c>
      <c r="Q19" s="177">
        <v>14.4</v>
      </c>
      <c r="R19" s="177">
        <f t="shared" si="6"/>
        <v>19.692599999999999</v>
      </c>
      <c r="S19" s="178">
        <f t="shared" si="7"/>
        <v>92.800000000000011</v>
      </c>
      <c r="T19" s="179">
        <f t="shared" si="8"/>
        <v>-1.4861995753715274E-2</v>
      </c>
      <c r="U19" s="190">
        <v>91.499599999999987</v>
      </c>
      <c r="V19" s="194">
        <v>-6.1796000000000006</v>
      </c>
      <c r="W19" s="191">
        <v>16.28</v>
      </c>
      <c r="X19" s="191">
        <f t="shared" si="12"/>
        <v>10.1004</v>
      </c>
      <c r="Y19" s="192">
        <f t="shared" si="9"/>
        <v>101.6</v>
      </c>
      <c r="Z19" s="187">
        <f t="shared" si="10"/>
        <v>0</v>
      </c>
      <c r="AA19" s="176">
        <v>49.9343</v>
      </c>
      <c r="AB19" s="177">
        <v>7.4657000000000009</v>
      </c>
      <c r="AC19" s="178">
        <v>57.4</v>
      </c>
      <c r="AD19" s="179">
        <f t="shared" si="11"/>
        <v>-4.8092868988391491E-2</v>
      </c>
      <c r="AE19" s="116"/>
      <c r="AF19" s="20"/>
      <c r="AJ19" s="245"/>
      <c r="AK19" s="240"/>
      <c r="AP19" s="245"/>
      <c r="AQ19" s="148"/>
      <c r="AR19" s="149"/>
      <c r="AS19" s="149"/>
      <c r="AT19" s="76"/>
      <c r="AU19" s="150"/>
      <c r="AV19" s="151"/>
    </row>
    <row r="20" spans="1:48" ht="15">
      <c r="A20" s="248">
        <v>39494</v>
      </c>
      <c r="B20" s="72">
        <v>97.5</v>
      </c>
      <c r="C20" s="73">
        <v>62.844399999999993</v>
      </c>
      <c r="D20" s="80">
        <v>27.755600000000001</v>
      </c>
      <c r="E20" s="80">
        <v>13.4</v>
      </c>
      <c r="F20" s="80">
        <f t="shared" si="0"/>
        <v>41.1556</v>
      </c>
      <c r="G20" s="80">
        <f t="shared" si="1"/>
        <v>104</v>
      </c>
      <c r="H20" s="81">
        <f t="shared" si="2"/>
        <v>1.4634146341463428E-2</v>
      </c>
      <c r="I20" s="148">
        <v>73.048699999999997</v>
      </c>
      <c r="J20" s="149">
        <v>17.551300000000001</v>
      </c>
      <c r="K20" s="149">
        <v>13.4</v>
      </c>
      <c r="L20" s="76">
        <f t="shared" si="3"/>
        <v>30.951300000000003</v>
      </c>
      <c r="M20" s="150">
        <f t="shared" si="4"/>
        <v>104</v>
      </c>
      <c r="N20" s="151">
        <f t="shared" si="5"/>
        <v>2.16110019646365E-2</v>
      </c>
      <c r="O20" s="176">
        <v>74.607399999999998</v>
      </c>
      <c r="P20" s="177">
        <v>5.2926000000000002</v>
      </c>
      <c r="Q20" s="177">
        <v>14.4</v>
      </c>
      <c r="R20" s="177">
        <f t="shared" si="6"/>
        <v>19.692599999999999</v>
      </c>
      <c r="S20" s="178">
        <f t="shared" si="7"/>
        <v>94.300000000000011</v>
      </c>
      <c r="T20" s="179">
        <f t="shared" si="8"/>
        <v>1.6163793103448176E-2</v>
      </c>
      <c r="U20" s="190">
        <v>91.49969999999999</v>
      </c>
      <c r="V20" s="194">
        <v>-6.1796000000000006</v>
      </c>
      <c r="W20" s="191">
        <v>16.28</v>
      </c>
      <c r="X20" s="191">
        <f t="shared" si="12"/>
        <v>10.1004</v>
      </c>
      <c r="Y20" s="192">
        <f t="shared" si="9"/>
        <v>101.6001</v>
      </c>
      <c r="Z20" s="187">
        <f t="shared" si="10"/>
        <v>9.8425196859430741E-7</v>
      </c>
      <c r="AA20" s="176">
        <v>49.534300000000002</v>
      </c>
      <c r="AB20" s="177">
        <v>7.4657000000000009</v>
      </c>
      <c r="AC20" s="178">
        <v>57</v>
      </c>
      <c r="AD20" s="179">
        <f t="shared" si="11"/>
        <v>-6.9686411149825211E-3</v>
      </c>
      <c r="AE20" s="116"/>
      <c r="AF20" s="20"/>
      <c r="AJ20" s="245"/>
      <c r="AK20" s="112"/>
      <c r="AL20" s="74"/>
      <c r="AP20" s="245"/>
      <c r="AQ20" s="148"/>
      <c r="AR20" s="149"/>
      <c r="AS20" s="149"/>
      <c r="AT20" s="76"/>
      <c r="AU20" s="150"/>
      <c r="AV20" s="151"/>
    </row>
    <row r="21" spans="1:48" ht="15">
      <c r="A21" s="248">
        <v>39508</v>
      </c>
      <c r="B21" s="72">
        <v>97.69</v>
      </c>
      <c r="C21" s="73">
        <v>68.244399999999999</v>
      </c>
      <c r="D21" s="80">
        <v>27.755600000000001</v>
      </c>
      <c r="E21" s="80">
        <v>13.4</v>
      </c>
      <c r="F21" s="80">
        <f t="shared" si="0"/>
        <v>41.1556</v>
      </c>
      <c r="G21" s="80">
        <f t="shared" si="1"/>
        <v>109.4</v>
      </c>
      <c r="H21" s="81">
        <f t="shared" si="2"/>
        <v>5.1923076923076961E-2</v>
      </c>
      <c r="I21" s="148">
        <v>79.588700000000003</v>
      </c>
      <c r="J21" s="149">
        <v>17.551300000000001</v>
      </c>
      <c r="K21" s="149">
        <v>13.4</v>
      </c>
      <c r="L21" s="76">
        <f t="shared" si="3"/>
        <v>30.951300000000003</v>
      </c>
      <c r="M21" s="150">
        <f t="shared" si="4"/>
        <v>110.54</v>
      </c>
      <c r="N21" s="151">
        <f t="shared" si="5"/>
        <v>6.2884615384615428E-2</v>
      </c>
      <c r="O21" s="176">
        <v>81.757400000000004</v>
      </c>
      <c r="P21" s="177">
        <v>5.2926000000000002</v>
      </c>
      <c r="Q21" s="177">
        <v>14.4</v>
      </c>
      <c r="R21" s="177">
        <f t="shared" si="6"/>
        <v>19.692599999999999</v>
      </c>
      <c r="S21" s="178">
        <f t="shared" si="7"/>
        <v>101.45000000000002</v>
      </c>
      <c r="T21" s="179">
        <f t="shared" si="8"/>
        <v>7.5821845174973479E-2</v>
      </c>
      <c r="U21" s="190">
        <v>93.859599999999986</v>
      </c>
      <c r="V21" s="194">
        <v>-6.1796000000000006</v>
      </c>
      <c r="W21" s="191">
        <v>16.28</v>
      </c>
      <c r="X21" s="191">
        <f t="shared" si="12"/>
        <v>10.1004</v>
      </c>
      <c r="Y21" s="192">
        <f t="shared" si="9"/>
        <v>103.95999999999998</v>
      </c>
      <c r="Z21" s="187">
        <f t="shared" si="10"/>
        <v>2.3227339343169673E-2</v>
      </c>
      <c r="AA21" s="176">
        <v>51.1143</v>
      </c>
      <c r="AB21" s="177">
        <v>7.4657000000000009</v>
      </c>
      <c r="AC21" s="178">
        <v>58.58</v>
      </c>
      <c r="AD21" s="179">
        <f t="shared" si="11"/>
        <v>2.7719298245614032E-2</v>
      </c>
      <c r="AE21" s="116"/>
      <c r="AF21" s="20"/>
      <c r="AJ21" s="245"/>
      <c r="AK21" s="240"/>
      <c r="AP21" s="245"/>
      <c r="AQ21" s="148"/>
      <c r="AR21" s="149"/>
      <c r="AS21" s="149"/>
      <c r="AT21" s="76"/>
      <c r="AU21" s="150"/>
      <c r="AV21" s="151"/>
    </row>
    <row r="22" spans="1:48" ht="15">
      <c r="A22" s="248">
        <v>39523</v>
      </c>
      <c r="B22" s="72">
        <v>97.65</v>
      </c>
      <c r="C22" s="73">
        <v>69.344399999999993</v>
      </c>
      <c r="D22" s="80">
        <v>27.755600000000001</v>
      </c>
      <c r="E22" s="80">
        <v>13.4</v>
      </c>
      <c r="F22" s="80">
        <f t="shared" si="0"/>
        <v>41.1556</v>
      </c>
      <c r="G22" s="80">
        <f t="shared" si="1"/>
        <v>110.5</v>
      </c>
      <c r="H22" s="81">
        <f t="shared" si="2"/>
        <v>1.0054844606946833E-2</v>
      </c>
      <c r="I22" s="148">
        <v>85.348700000000008</v>
      </c>
      <c r="J22" s="149">
        <v>17.551300000000001</v>
      </c>
      <c r="K22" s="149">
        <v>13.4</v>
      </c>
      <c r="L22" s="76">
        <f t="shared" si="3"/>
        <v>30.951300000000003</v>
      </c>
      <c r="M22" s="150">
        <f t="shared" si="4"/>
        <v>116.30000000000001</v>
      </c>
      <c r="N22" s="151">
        <f t="shared" si="5"/>
        <v>5.2107834268138253E-2</v>
      </c>
      <c r="O22" s="176">
        <v>89.307400000000001</v>
      </c>
      <c r="P22" s="177">
        <v>5.2926000000000002</v>
      </c>
      <c r="Q22" s="177">
        <v>14.4</v>
      </c>
      <c r="R22" s="177">
        <f t="shared" si="6"/>
        <v>19.692599999999999</v>
      </c>
      <c r="S22" s="178">
        <f t="shared" si="7"/>
        <v>109</v>
      </c>
      <c r="T22" s="179">
        <f t="shared" si="8"/>
        <v>7.4420896993592667E-2</v>
      </c>
      <c r="U22" s="190">
        <v>94.899599999999992</v>
      </c>
      <c r="V22" s="194">
        <v>-6.1796000000000006</v>
      </c>
      <c r="W22" s="191">
        <v>16.28</v>
      </c>
      <c r="X22" s="191">
        <f t="shared" si="12"/>
        <v>10.1004</v>
      </c>
      <c r="Y22" s="192">
        <f t="shared" si="9"/>
        <v>105</v>
      </c>
      <c r="Z22" s="187">
        <f t="shared" si="10"/>
        <v>1.0003847633705432E-2</v>
      </c>
      <c r="AA22" s="176">
        <v>52.034300000000002</v>
      </c>
      <c r="AB22" s="177">
        <v>7.4657000000000009</v>
      </c>
      <c r="AC22" s="178">
        <v>59.5</v>
      </c>
      <c r="AD22" s="179">
        <f t="shared" si="11"/>
        <v>1.5705018777739888E-2</v>
      </c>
      <c r="AE22" s="116"/>
      <c r="AF22" s="20"/>
      <c r="AJ22" s="245"/>
      <c r="AK22" s="240"/>
      <c r="AP22" s="245"/>
      <c r="AQ22" s="148"/>
      <c r="AR22" s="149"/>
      <c r="AS22" s="149"/>
      <c r="AT22" s="76"/>
      <c r="AU22" s="150"/>
      <c r="AV22" s="151"/>
    </row>
    <row r="23" spans="1:48" ht="15">
      <c r="A23" s="248">
        <v>39539</v>
      </c>
      <c r="B23" s="72">
        <v>97.88</v>
      </c>
      <c r="C23" s="73">
        <v>70.194400000000002</v>
      </c>
      <c r="D23" s="80">
        <v>27.755600000000001</v>
      </c>
      <c r="E23" s="80">
        <v>13.4</v>
      </c>
      <c r="F23" s="80">
        <f t="shared" si="0"/>
        <v>41.1556</v>
      </c>
      <c r="G23" s="80">
        <f t="shared" si="1"/>
        <v>111.35</v>
      </c>
      <c r="H23" s="81">
        <f t="shared" si="2"/>
        <v>7.692307692307665E-3</v>
      </c>
      <c r="I23" s="148">
        <v>86.728700000000003</v>
      </c>
      <c r="J23" s="149">
        <v>17.551300000000001</v>
      </c>
      <c r="K23" s="149">
        <v>13.4</v>
      </c>
      <c r="L23" s="76">
        <f t="shared" si="3"/>
        <v>30.951300000000003</v>
      </c>
      <c r="M23" s="150">
        <f t="shared" si="4"/>
        <v>117.68</v>
      </c>
      <c r="N23" s="151">
        <f t="shared" si="5"/>
        <v>1.1865864144454008E-2</v>
      </c>
      <c r="O23" s="176">
        <v>91.617400000000004</v>
      </c>
      <c r="P23" s="177">
        <v>14.4</v>
      </c>
      <c r="Q23" s="177">
        <v>14.4</v>
      </c>
      <c r="R23" s="177">
        <f t="shared" si="6"/>
        <v>28.8</v>
      </c>
      <c r="S23" s="178">
        <f t="shared" si="7"/>
        <v>120.41740000000001</v>
      </c>
      <c r="T23" s="179">
        <f t="shared" si="8"/>
        <v>0.10474678899082579</v>
      </c>
      <c r="U23" s="190">
        <v>94.899599999999992</v>
      </c>
      <c r="V23" s="194">
        <v>-6.1796000000000006</v>
      </c>
      <c r="W23" s="191">
        <v>16.28</v>
      </c>
      <c r="X23" s="191">
        <f t="shared" si="12"/>
        <v>10.1004</v>
      </c>
      <c r="Y23" s="192">
        <f>U23+V23+W23</f>
        <v>105</v>
      </c>
      <c r="Z23" s="187">
        <f t="shared" si="10"/>
        <v>0</v>
      </c>
      <c r="AA23" s="176">
        <v>54.004300000000001</v>
      </c>
      <c r="AB23" s="177">
        <v>7.4657000000000009</v>
      </c>
      <c r="AC23" s="178">
        <v>61.47</v>
      </c>
      <c r="AD23" s="179">
        <f t="shared" si="11"/>
        <v>3.3109243697478918E-2</v>
      </c>
      <c r="AE23" s="116"/>
      <c r="AF23" s="20"/>
      <c r="AJ23" s="245"/>
      <c r="AK23" s="240"/>
      <c r="AP23" s="245"/>
      <c r="AQ23" s="148"/>
      <c r="AR23" s="149"/>
      <c r="AS23" s="149"/>
      <c r="AT23" s="76"/>
      <c r="AU23" s="150"/>
      <c r="AV23" s="151"/>
    </row>
    <row r="24" spans="1:48" ht="15">
      <c r="A24" s="248">
        <v>39554</v>
      </c>
      <c r="B24" s="72">
        <v>98.07</v>
      </c>
      <c r="C24" s="73">
        <v>72.704399999999993</v>
      </c>
      <c r="D24" s="80">
        <v>27.755600000000001</v>
      </c>
      <c r="E24" s="80">
        <v>13.4</v>
      </c>
      <c r="F24" s="80">
        <f t="shared" si="0"/>
        <v>41.1556</v>
      </c>
      <c r="G24" s="80">
        <f t="shared" si="1"/>
        <v>113.85999999999999</v>
      </c>
      <c r="H24" s="81">
        <f t="shared" si="2"/>
        <v>2.2541535698248794E-2</v>
      </c>
      <c r="I24" s="148">
        <v>90.418700000000001</v>
      </c>
      <c r="J24" s="149">
        <v>17.551300000000001</v>
      </c>
      <c r="K24" s="149">
        <v>13.4</v>
      </c>
      <c r="L24" s="76">
        <f t="shared" si="3"/>
        <v>30.951300000000003</v>
      </c>
      <c r="M24" s="150">
        <f t="shared" si="4"/>
        <v>121.37</v>
      </c>
      <c r="N24" s="151">
        <f t="shared" si="5"/>
        <v>3.1356220258327738E-2</v>
      </c>
      <c r="O24" s="176">
        <v>97.427399999999992</v>
      </c>
      <c r="P24" s="177">
        <v>5.2926000000000002</v>
      </c>
      <c r="Q24" s="177">
        <v>14.4</v>
      </c>
      <c r="R24" s="177">
        <f t="shared" si="6"/>
        <v>19.692599999999999</v>
      </c>
      <c r="S24" s="178">
        <f t="shared" si="7"/>
        <v>117.12</v>
      </c>
      <c r="T24" s="179">
        <f t="shared" si="8"/>
        <v>-2.7383085833110554E-2</v>
      </c>
      <c r="U24" s="190">
        <v>91.229599999999991</v>
      </c>
      <c r="V24" s="194">
        <v>-6.1796000000000006</v>
      </c>
      <c r="W24" s="191">
        <v>16.28</v>
      </c>
      <c r="X24" s="191">
        <f t="shared" si="12"/>
        <v>10.1004</v>
      </c>
      <c r="Y24" s="192">
        <f t="shared" si="9"/>
        <v>101.32999999999998</v>
      </c>
      <c r="Z24" s="187">
        <f t="shared" si="10"/>
        <v>-3.4952380952381068E-2</v>
      </c>
      <c r="AA24" s="176">
        <v>57.124300000000005</v>
      </c>
      <c r="AB24" s="177">
        <v>7.4657000000000009</v>
      </c>
      <c r="AC24" s="178">
        <v>64.59</v>
      </c>
      <c r="AD24" s="179">
        <f t="shared" si="11"/>
        <v>5.0756466569058079E-2</v>
      </c>
      <c r="AE24" s="116"/>
      <c r="AF24" s="20"/>
      <c r="AJ24" s="245"/>
      <c r="AK24" s="240"/>
      <c r="AP24" s="245"/>
      <c r="AQ24" s="148"/>
      <c r="AR24" s="149"/>
      <c r="AS24" s="149"/>
      <c r="AT24" s="76"/>
      <c r="AU24" s="150"/>
      <c r="AV24" s="151"/>
    </row>
    <row r="25" spans="1:48" ht="15">
      <c r="A25" s="248">
        <v>39571</v>
      </c>
      <c r="B25" s="72">
        <v>98.48</v>
      </c>
      <c r="C25" s="73">
        <v>77.374399999999994</v>
      </c>
      <c r="D25" s="80">
        <v>27.755600000000001</v>
      </c>
      <c r="E25" s="80">
        <v>13.4</v>
      </c>
      <c r="F25" s="80">
        <f t="shared" si="0"/>
        <v>41.1556</v>
      </c>
      <c r="G25" s="80">
        <f t="shared" si="1"/>
        <v>118.53</v>
      </c>
      <c r="H25" s="81">
        <f t="shared" si="2"/>
        <v>4.1015281925171454E-2</v>
      </c>
      <c r="I25" s="148">
        <v>94.448700000000002</v>
      </c>
      <c r="J25" s="149">
        <v>17.551300000000001</v>
      </c>
      <c r="K25" s="149">
        <v>13.4</v>
      </c>
      <c r="L25" s="76">
        <f t="shared" si="3"/>
        <v>30.951300000000003</v>
      </c>
      <c r="M25" s="150">
        <f t="shared" si="4"/>
        <v>125.4</v>
      </c>
      <c r="N25" s="151">
        <f t="shared" si="5"/>
        <v>3.3204251462470191E-2</v>
      </c>
      <c r="O25" s="176">
        <v>99.257400000000004</v>
      </c>
      <c r="P25" s="177">
        <v>5.2926000000000002</v>
      </c>
      <c r="Q25" s="177">
        <v>14.4</v>
      </c>
      <c r="R25" s="177">
        <f t="shared" si="6"/>
        <v>19.692599999999999</v>
      </c>
      <c r="S25" s="178">
        <f t="shared" si="7"/>
        <v>118.95000000000002</v>
      </c>
      <c r="T25" s="179">
        <f t="shared" si="8"/>
        <v>1.5625E-2</v>
      </c>
      <c r="U25" s="190">
        <v>90.33959999999999</v>
      </c>
      <c r="V25" s="194">
        <v>-6.1796000000000006</v>
      </c>
      <c r="W25" s="191">
        <v>16.28</v>
      </c>
      <c r="X25" s="191">
        <f t="shared" si="12"/>
        <v>10.1004</v>
      </c>
      <c r="Y25" s="192">
        <f t="shared" si="9"/>
        <v>100.44</v>
      </c>
      <c r="Z25" s="187">
        <f t="shared" si="10"/>
        <v>-8.7831836573569744E-3</v>
      </c>
      <c r="AA25" s="176">
        <v>59.1843</v>
      </c>
      <c r="AB25" s="177">
        <v>7.4657000000000009</v>
      </c>
      <c r="AC25" s="178">
        <v>66.650000000000006</v>
      </c>
      <c r="AD25" s="179">
        <f t="shared" si="11"/>
        <v>3.1893481963152226E-2</v>
      </c>
      <c r="AE25" s="116"/>
      <c r="AF25" s="20"/>
      <c r="AJ25" s="245"/>
      <c r="AK25" s="240"/>
      <c r="AP25" s="245"/>
      <c r="AQ25" s="148"/>
      <c r="AR25" s="149"/>
      <c r="AS25" s="149"/>
      <c r="AT25" s="76"/>
      <c r="AU25" s="150"/>
      <c r="AV25" s="151"/>
    </row>
    <row r="26" spans="1:48" ht="15">
      <c r="A26" s="248">
        <v>39594</v>
      </c>
      <c r="B26" s="72">
        <v>98.48</v>
      </c>
      <c r="C26" s="73">
        <v>77.374399999999994</v>
      </c>
      <c r="D26" s="80">
        <v>27.755600000000001</v>
      </c>
      <c r="E26" s="80">
        <v>13.4</v>
      </c>
      <c r="F26" s="80">
        <f t="shared" si="0"/>
        <v>41.1556</v>
      </c>
      <c r="G26" s="80">
        <f t="shared" si="1"/>
        <v>118.53</v>
      </c>
      <c r="H26" s="81">
        <f t="shared" si="2"/>
        <v>0</v>
      </c>
      <c r="I26" s="148">
        <v>94.448700000000002</v>
      </c>
      <c r="J26" s="149">
        <v>12.151300000000001</v>
      </c>
      <c r="K26" s="149">
        <v>13.4</v>
      </c>
      <c r="L26" s="76">
        <f t="shared" si="3"/>
        <v>25.551300000000001</v>
      </c>
      <c r="M26" s="150">
        <f t="shared" si="4"/>
        <v>120.00000000000001</v>
      </c>
      <c r="N26" s="151">
        <f t="shared" si="5"/>
        <v>-4.3062200956937691E-2</v>
      </c>
      <c r="O26" s="176">
        <v>99.257400000000004</v>
      </c>
      <c r="P26" s="177">
        <v>-0.1574000000000001</v>
      </c>
      <c r="Q26" s="177">
        <v>14.4</v>
      </c>
      <c r="R26" s="177">
        <f t="shared" si="6"/>
        <v>14.242599999999999</v>
      </c>
      <c r="S26" s="178">
        <f t="shared" si="7"/>
        <v>113.50000000000001</v>
      </c>
      <c r="T26" s="179">
        <f t="shared" si="8"/>
        <v>-4.5817570407734376E-2</v>
      </c>
      <c r="U26" s="190">
        <v>90.33959999999999</v>
      </c>
      <c r="V26" s="194">
        <v>-6.1796000000000006</v>
      </c>
      <c r="W26" s="191">
        <v>16.28</v>
      </c>
      <c r="X26" s="191">
        <f t="shared" si="12"/>
        <v>10.1004</v>
      </c>
      <c r="Y26" s="192">
        <f t="shared" si="9"/>
        <v>100.44</v>
      </c>
      <c r="Z26" s="187">
        <f t="shared" si="10"/>
        <v>0</v>
      </c>
      <c r="AA26" s="176">
        <v>59.1843</v>
      </c>
      <c r="AB26" s="177">
        <v>7.4657000000000009</v>
      </c>
      <c r="AC26" s="178">
        <v>66.650000000000006</v>
      </c>
      <c r="AD26" s="179">
        <f t="shared" si="11"/>
        <v>0</v>
      </c>
      <c r="AE26" s="116"/>
      <c r="AF26" s="20"/>
      <c r="AJ26" s="245"/>
      <c r="AK26" s="240"/>
      <c r="AP26" s="245"/>
      <c r="AQ26" s="148"/>
      <c r="AR26" s="149"/>
      <c r="AS26" s="149"/>
      <c r="AT26" s="76"/>
      <c r="AU26" s="150"/>
      <c r="AV26" s="151"/>
    </row>
    <row r="27" spans="1:48" ht="15">
      <c r="A27" s="248">
        <v>39737</v>
      </c>
      <c r="B27" s="72">
        <v>113.74</v>
      </c>
      <c r="C27" s="73">
        <v>77.374399999999994</v>
      </c>
      <c r="D27" s="80">
        <v>27.755600000000001</v>
      </c>
      <c r="E27" s="80">
        <v>13.4</v>
      </c>
      <c r="F27" s="80">
        <f t="shared" si="0"/>
        <v>41.1556</v>
      </c>
      <c r="G27" s="80">
        <f t="shared" si="1"/>
        <v>118.53</v>
      </c>
      <c r="H27" s="81">
        <f t="shared" si="2"/>
        <v>0</v>
      </c>
      <c r="I27" s="148">
        <v>94.448700000000002</v>
      </c>
      <c r="J27" s="149">
        <v>12.151300000000001</v>
      </c>
      <c r="K27" s="149">
        <v>13.4</v>
      </c>
      <c r="L27" s="76">
        <f t="shared" si="3"/>
        <v>25.551300000000001</v>
      </c>
      <c r="M27" s="150">
        <f t="shared" si="4"/>
        <v>120.00000000000001</v>
      </c>
      <c r="N27" s="151">
        <f t="shared" si="5"/>
        <v>0</v>
      </c>
      <c r="O27" s="176">
        <v>99.257400000000004</v>
      </c>
      <c r="P27" s="177">
        <v>-0.1574000000000001</v>
      </c>
      <c r="Q27" s="177">
        <v>14.4</v>
      </c>
      <c r="R27" s="177">
        <f t="shared" si="6"/>
        <v>14.242599999999999</v>
      </c>
      <c r="S27" s="178">
        <f t="shared" si="7"/>
        <v>113.50000000000001</v>
      </c>
      <c r="T27" s="179">
        <f t="shared" si="8"/>
        <v>0</v>
      </c>
      <c r="U27" s="190">
        <v>90.33959999999999</v>
      </c>
      <c r="V27" s="194">
        <v>-6.1796000000000006</v>
      </c>
      <c r="W27" s="191">
        <v>16.28</v>
      </c>
      <c r="X27" s="191">
        <f t="shared" si="12"/>
        <v>10.1004</v>
      </c>
      <c r="Y27" s="192">
        <f>U27+V27+W27</f>
        <v>100.44</v>
      </c>
      <c r="Z27" s="187">
        <f t="shared" si="10"/>
        <v>0</v>
      </c>
      <c r="AA27" s="176">
        <v>59.1843</v>
      </c>
      <c r="AB27" s="177">
        <v>7.4657000000000009</v>
      </c>
      <c r="AC27" s="178">
        <v>66.650000000000006</v>
      </c>
      <c r="AD27" s="179">
        <f t="shared" si="11"/>
        <v>0</v>
      </c>
      <c r="AE27" s="116"/>
      <c r="AF27" s="20"/>
      <c r="AJ27" s="245"/>
      <c r="AK27" s="240"/>
      <c r="AP27" s="245"/>
      <c r="AQ27" s="148"/>
      <c r="AR27" s="149"/>
      <c r="AS27" s="149"/>
      <c r="AT27" s="76"/>
      <c r="AU27" s="150"/>
      <c r="AV27" s="151"/>
    </row>
    <row r="28" spans="1:48" ht="15">
      <c r="A28" s="248">
        <v>39753</v>
      </c>
      <c r="B28" s="72">
        <v>114.74</v>
      </c>
      <c r="C28" s="73">
        <v>64.494399999999999</v>
      </c>
      <c r="D28" s="80">
        <v>27.755600000000001</v>
      </c>
      <c r="E28" s="80">
        <v>14.4</v>
      </c>
      <c r="F28" s="80">
        <f t="shared" si="0"/>
        <v>42.1556</v>
      </c>
      <c r="G28" s="80">
        <f t="shared" si="1"/>
        <v>106.65</v>
      </c>
      <c r="H28" s="81">
        <f t="shared" si="2"/>
        <v>-0.10022779043280183</v>
      </c>
      <c r="I28" s="148">
        <v>83.298700000000011</v>
      </c>
      <c r="J28" s="149">
        <v>12.151300000000001</v>
      </c>
      <c r="K28" s="149">
        <v>14.4</v>
      </c>
      <c r="L28" s="76">
        <f t="shared" si="3"/>
        <v>26.551300000000001</v>
      </c>
      <c r="M28" s="150">
        <f t="shared" si="4"/>
        <v>109.85000000000002</v>
      </c>
      <c r="N28" s="151">
        <f t="shared" si="5"/>
        <v>-8.4583333333333233E-2</v>
      </c>
      <c r="O28" s="176">
        <v>86.757400000000004</v>
      </c>
      <c r="P28" s="177">
        <v>-0.1574000000000001</v>
      </c>
      <c r="Q28" s="177">
        <v>15.4</v>
      </c>
      <c r="R28" s="177">
        <f t="shared" si="6"/>
        <v>15.242599999999999</v>
      </c>
      <c r="S28" s="178">
        <f t="shared" si="7"/>
        <v>102.00000000000001</v>
      </c>
      <c r="T28" s="179">
        <f t="shared" si="8"/>
        <v>-0.10132158590308371</v>
      </c>
      <c r="U28" s="190">
        <v>81.809600000000003</v>
      </c>
      <c r="V28" s="194">
        <v>-6.1796000000000006</v>
      </c>
      <c r="W28" s="191">
        <v>16.28</v>
      </c>
      <c r="X28" s="191">
        <f t="shared" si="12"/>
        <v>10.1004</v>
      </c>
      <c r="Y28" s="192">
        <f>U28+V28+W28</f>
        <v>91.91</v>
      </c>
      <c r="Z28" s="187">
        <f t="shared" si="10"/>
        <v>-8.4926324173635992E-2</v>
      </c>
      <c r="AA28" s="176">
        <v>50.594300000000004</v>
      </c>
      <c r="AB28" s="177">
        <v>7.4657000000000009</v>
      </c>
      <c r="AC28" s="178">
        <v>58.06</v>
      </c>
      <c r="AD28" s="179">
        <f t="shared" si="11"/>
        <v>-0.12888222055513887</v>
      </c>
      <c r="AE28" s="116"/>
      <c r="AF28" s="20"/>
      <c r="AJ28" s="245"/>
      <c r="AK28" s="240"/>
      <c r="AP28" s="245"/>
      <c r="AQ28" s="148"/>
      <c r="AR28" s="149"/>
      <c r="AS28" s="149"/>
      <c r="AT28" s="76"/>
      <c r="AU28" s="150"/>
      <c r="AV28" s="151"/>
    </row>
    <row r="29" spans="1:48" ht="15">
      <c r="A29" s="248">
        <v>39768</v>
      </c>
      <c r="B29" s="72">
        <v>115.66</v>
      </c>
      <c r="C29" s="73">
        <v>60.844399999999993</v>
      </c>
      <c r="D29" s="80">
        <v>27.755600000000001</v>
      </c>
      <c r="E29" s="80">
        <v>14.4</v>
      </c>
      <c r="F29" s="80">
        <f t="shared" si="0"/>
        <v>42.1556</v>
      </c>
      <c r="G29" s="80">
        <f t="shared" si="1"/>
        <v>103</v>
      </c>
      <c r="H29" s="81">
        <f t="shared" si="2"/>
        <v>-3.4224097515236807E-2</v>
      </c>
      <c r="I29" s="148">
        <v>80.948700000000002</v>
      </c>
      <c r="J29" s="149">
        <v>12.151300000000001</v>
      </c>
      <c r="K29" s="149">
        <v>14.4</v>
      </c>
      <c r="L29" s="76">
        <f t="shared" si="3"/>
        <v>26.551300000000001</v>
      </c>
      <c r="M29" s="150">
        <f t="shared" si="4"/>
        <v>107.50000000000001</v>
      </c>
      <c r="N29" s="151">
        <f t="shared" si="5"/>
        <v>-2.1392808375056971E-2</v>
      </c>
      <c r="O29" s="176">
        <v>84.857399999999998</v>
      </c>
      <c r="P29" s="177">
        <v>-0.1574000000000001</v>
      </c>
      <c r="Q29" s="177">
        <v>15.4</v>
      </c>
      <c r="R29" s="177">
        <f t="shared" si="6"/>
        <v>15.242599999999999</v>
      </c>
      <c r="S29" s="178">
        <f t="shared" si="7"/>
        <v>100.10000000000001</v>
      </c>
      <c r="T29" s="179">
        <f t="shared" si="8"/>
        <v>-1.8627450980392202E-2</v>
      </c>
      <c r="U29" s="190">
        <v>77.799599999999998</v>
      </c>
      <c r="V29" s="194">
        <v>-6.1796000000000006</v>
      </c>
      <c r="W29" s="191">
        <v>16.28</v>
      </c>
      <c r="X29" s="191">
        <f t="shared" si="12"/>
        <v>10.1004</v>
      </c>
      <c r="Y29" s="192">
        <f>U29+V29+W29</f>
        <v>87.9</v>
      </c>
      <c r="Z29" s="187">
        <f t="shared" si="10"/>
        <v>-4.3629637689043488E-2</v>
      </c>
      <c r="AA29" s="176">
        <v>47.234300000000005</v>
      </c>
      <c r="AB29" s="177">
        <v>7.4657000000000009</v>
      </c>
      <c r="AC29" s="178">
        <v>54.7</v>
      </c>
      <c r="AD29" s="179">
        <f t="shared" si="11"/>
        <v>-5.7871167757492237E-2</v>
      </c>
      <c r="AE29" s="116"/>
      <c r="AF29" s="20"/>
      <c r="AJ29" s="245"/>
      <c r="AK29" s="240"/>
      <c r="AP29" s="245"/>
      <c r="AQ29" s="148"/>
      <c r="AR29" s="149"/>
      <c r="AS29" s="149"/>
      <c r="AT29" s="76"/>
      <c r="AU29" s="150"/>
      <c r="AV29" s="151"/>
    </row>
    <row r="30" spans="1:48" ht="15">
      <c r="A30" s="248">
        <v>39783</v>
      </c>
      <c r="B30" s="72">
        <v>117.39</v>
      </c>
      <c r="C30" s="73">
        <v>56.644399999999997</v>
      </c>
      <c r="D30" s="80">
        <v>27.755600000000001</v>
      </c>
      <c r="E30" s="80">
        <v>14.6</v>
      </c>
      <c r="F30" s="80">
        <f t="shared" si="0"/>
        <v>42.355600000000003</v>
      </c>
      <c r="G30" s="80">
        <f t="shared" si="1"/>
        <v>99</v>
      </c>
      <c r="H30" s="81">
        <f t="shared" si="2"/>
        <v>-3.8834951456310662E-2</v>
      </c>
      <c r="I30" s="148">
        <v>77.248699999999999</v>
      </c>
      <c r="J30" s="149">
        <v>12.151300000000001</v>
      </c>
      <c r="K30" s="149">
        <v>14.6</v>
      </c>
      <c r="L30" s="76">
        <f t="shared" si="3"/>
        <v>26.751300000000001</v>
      </c>
      <c r="M30" s="150">
        <f t="shared" si="4"/>
        <v>104</v>
      </c>
      <c r="N30" s="151">
        <f t="shared" si="5"/>
        <v>-3.2558139534883845E-2</v>
      </c>
      <c r="O30" s="176">
        <v>81.557400000000001</v>
      </c>
      <c r="P30" s="177">
        <v>-0.1574000000000001</v>
      </c>
      <c r="Q30" s="177">
        <v>15.6</v>
      </c>
      <c r="R30" s="177">
        <f t="shared" si="6"/>
        <v>15.442599999999999</v>
      </c>
      <c r="S30" s="178">
        <f t="shared" si="7"/>
        <v>97</v>
      </c>
      <c r="T30" s="179">
        <f t="shared" si="8"/>
        <v>-3.0969030969031031E-2</v>
      </c>
      <c r="U30" s="190">
        <v>73.899600000000007</v>
      </c>
      <c r="V30" s="194">
        <v>-6.1796000000000006</v>
      </c>
      <c r="W30" s="191">
        <v>16.28</v>
      </c>
      <c r="X30" s="191">
        <f t="shared" si="12"/>
        <v>10.1004</v>
      </c>
      <c r="Y30" s="192">
        <f t="shared" si="9"/>
        <v>84</v>
      </c>
      <c r="Z30" s="187">
        <f t="shared" si="10"/>
        <v>-4.4368600682593962E-2</v>
      </c>
      <c r="AA30" s="176">
        <v>45.334300000000006</v>
      </c>
      <c r="AB30" s="177">
        <v>7.4657000000000009</v>
      </c>
      <c r="AC30" s="178">
        <v>52.800000000000004</v>
      </c>
      <c r="AD30" s="179">
        <f t="shared" si="11"/>
        <v>-3.4734917733089565E-2</v>
      </c>
      <c r="AE30" s="116"/>
      <c r="AF30" s="20"/>
      <c r="AJ30" s="245"/>
      <c r="AK30" s="240"/>
      <c r="AP30" s="245"/>
      <c r="AQ30" s="148"/>
      <c r="AR30" s="149"/>
      <c r="AS30" s="149"/>
      <c r="AT30" s="76"/>
      <c r="AU30" s="150"/>
      <c r="AV30" s="151"/>
    </row>
    <row r="31" spans="1:48" ht="15">
      <c r="A31" s="248">
        <v>39794</v>
      </c>
      <c r="B31" s="72">
        <v>119.5</v>
      </c>
      <c r="C31" s="73">
        <v>39.644399999999997</v>
      </c>
      <c r="D31" s="80">
        <v>27.755600000000001</v>
      </c>
      <c r="E31" s="80">
        <v>14.6</v>
      </c>
      <c r="F31" s="80">
        <f t="shared" si="0"/>
        <v>42.355600000000003</v>
      </c>
      <c r="G31" s="80">
        <f t="shared" si="1"/>
        <v>82</v>
      </c>
      <c r="H31" s="81">
        <f t="shared" si="2"/>
        <v>-0.17171717171717171</v>
      </c>
      <c r="I31" s="148">
        <v>62.248599999999996</v>
      </c>
      <c r="J31" s="149">
        <v>12.151300000000001</v>
      </c>
      <c r="K31" s="149">
        <v>14.6</v>
      </c>
      <c r="L31" s="76">
        <f t="shared" si="3"/>
        <v>26.751300000000001</v>
      </c>
      <c r="M31" s="150">
        <f t="shared" si="4"/>
        <v>88.999899999999997</v>
      </c>
      <c r="N31" s="151">
        <f t="shared" si="5"/>
        <v>-0.14423173076923079</v>
      </c>
      <c r="O31" s="176">
        <v>54.557400000000001</v>
      </c>
      <c r="P31" s="177">
        <v>-0.1574000000000001</v>
      </c>
      <c r="Q31" s="177">
        <v>15.6</v>
      </c>
      <c r="R31" s="177">
        <f t="shared" si="6"/>
        <v>15.442599999999999</v>
      </c>
      <c r="S31" s="178">
        <f t="shared" si="7"/>
        <v>70</v>
      </c>
      <c r="T31" s="179">
        <f t="shared" si="8"/>
        <v>-0.27835051546391754</v>
      </c>
      <c r="U31" s="190">
        <v>54.8996</v>
      </c>
      <c r="V31" s="194">
        <v>-6.1796000000000006</v>
      </c>
      <c r="W31" s="191">
        <v>16.28</v>
      </c>
      <c r="X31" s="191">
        <f t="shared" si="12"/>
        <v>10.1004</v>
      </c>
      <c r="Y31" s="192">
        <f t="shared" si="9"/>
        <v>65</v>
      </c>
      <c r="Z31" s="187">
        <f t="shared" si="10"/>
        <v>-0.22619047619047616</v>
      </c>
      <c r="AA31" s="176">
        <v>32.533899999999996</v>
      </c>
      <c r="AB31" s="177">
        <v>7.4657000000000009</v>
      </c>
      <c r="AC31" s="178">
        <v>39.999599999999994</v>
      </c>
      <c r="AD31" s="179">
        <f t="shared" si="11"/>
        <v>-0.24243181818181836</v>
      </c>
      <c r="AE31" s="116"/>
      <c r="AF31" s="20"/>
      <c r="AJ31" s="245"/>
      <c r="AK31" s="240"/>
      <c r="AP31" s="245"/>
      <c r="AQ31" s="148"/>
      <c r="AR31" s="149"/>
      <c r="AS31" s="149"/>
      <c r="AT31" s="76"/>
      <c r="AU31" s="150"/>
      <c r="AV31" s="151"/>
    </row>
    <row r="32" spans="1:48" ht="15">
      <c r="A32" s="248">
        <v>39815</v>
      </c>
      <c r="B32" s="72">
        <v>121.66</v>
      </c>
      <c r="C32" s="73">
        <v>39.3444</v>
      </c>
      <c r="D32" s="80">
        <v>27.755600000000001</v>
      </c>
      <c r="E32" s="80">
        <v>14.9</v>
      </c>
      <c r="F32" s="80">
        <f t="shared" si="0"/>
        <v>42.6556</v>
      </c>
      <c r="G32" s="80">
        <f t="shared" si="1"/>
        <v>82</v>
      </c>
      <c r="H32" s="81">
        <f t="shared" si="2"/>
        <v>0</v>
      </c>
      <c r="I32" s="148">
        <v>61.948700000000002</v>
      </c>
      <c r="J32" s="149">
        <v>12.151300000000001</v>
      </c>
      <c r="K32" s="149">
        <v>14.9</v>
      </c>
      <c r="L32" s="76">
        <f t="shared" si="3"/>
        <v>27.051300000000001</v>
      </c>
      <c r="M32" s="150">
        <f t="shared" si="4"/>
        <v>89.000000000000014</v>
      </c>
      <c r="N32" s="151">
        <f t="shared" si="5"/>
        <v>1.1235967682932113E-6</v>
      </c>
      <c r="O32" s="176">
        <v>54.257399999999997</v>
      </c>
      <c r="P32" s="177">
        <v>-0.1574000000000001</v>
      </c>
      <c r="Q32" s="177">
        <v>15.9</v>
      </c>
      <c r="R32" s="177">
        <f t="shared" si="6"/>
        <v>15.742599999999999</v>
      </c>
      <c r="S32" s="178">
        <f t="shared" si="7"/>
        <v>70</v>
      </c>
      <c r="T32" s="179">
        <f t="shared" si="8"/>
        <v>0</v>
      </c>
      <c r="U32" s="190">
        <v>54.599600000000002</v>
      </c>
      <c r="V32" s="194">
        <v>-6.1796000000000006</v>
      </c>
      <c r="W32" s="191">
        <v>16.28</v>
      </c>
      <c r="X32" s="191">
        <f t="shared" si="12"/>
        <v>10.1004</v>
      </c>
      <c r="Y32" s="192">
        <f t="shared" si="9"/>
        <v>64.7</v>
      </c>
      <c r="Z32" s="187">
        <f t="shared" si="10"/>
        <v>-4.6153846153845768E-3</v>
      </c>
      <c r="AA32" s="176">
        <v>32.534300000000002</v>
      </c>
      <c r="AB32" s="177">
        <v>7.4657000000000009</v>
      </c>
      <c r="AC32" s="178">
        <v>40</v>
      </c>
      <c r="AD32" s="179">
        <f>AC32/AC31-1</f>
        <v>1.0000100001184009E-5</v>
      </c>
      <c r="AE32" s="116">
        <f>59.1009+2.033</f>
        <v>61.133900000000004</v>
      </c>
      <c r="AF32" s="20">
        <f>3.9945+2.5+0.1-6.2287</f>
        <v>0.36580000000000013</v>
      </c>
      <c r="AG32" s="235">
        <f t="shared" ref="AG32:AG54" si="13">5.3+7.2</f>
        <v>12.5</v>
      </c>
      <c r="AH32" s="235">
        <f t="shared" ref="AH32:AH95" si="14">AF32+AG32</f>
        <v>12.8658</v>
      </c>
      <c r="AI32" s="255">
        <f t="shared" ref="AI32:AI95" si="15">AE32+AH32</f>
        <v>73.999700000000004</v>
      </c>
      <c r="AJ32" s="256" t="e">
        <f t="shared" ref="AJ32:AJ82" si="16">AI32/AI31-1</f>
        <v>#DIV/0!</v>
      </c>
      <c r="AK32" s="240">
        <f>29.5625+2.198</f>
        <v>31.7605</v>
      </c>
      <c r="AL32" s="235">
        <f>0.1-0.3608</f>
        <v>-0.26080000000000003</v>
      </c>
      <c r="AM32" s="235">
        <f t="shared" ref="AM32:AM53" si="17">5.3+7.2</f>
        <v>12.5</v>
      </c>
      <c r="AN32" s="235">
        <f t="shared" ref="AN32:AN95" si="18">AL32+AM32</f>
        <v>12.2392</v>
      </c>
      <c r="AO32" s="257">
        <f t="shared" ref="AO32:AO95" si="19">AK32+AN32</f>
        <v>43.999700000000004</v>
      </c>
      <c r="AP32" s="256" t="e">
        <f t="shared" ref="AP32:AP82" si="20">AO32/AO31-1</f>
        <v>#DIV/0!</v>
      </c>
      <c r="AQ32" s="148"/>
      <c r="AR32" s="149"/>
      <c r="AS32" s="149"/>
      <c r="AT32" s="76"/>
      <c r="AU32" s="150"/>
      <c r="AV32" s="151"/>
    </row>
    <row r="33" spans="1:48" ht="15">
      <c r="A33" s="248">
        <v>39829</v>
      </c>
      <c r="B33" s="72">
        <v>123.5</v>
      </c>
      <c r="C33" s="73">
        <v>39.3444</v>
      </c>
      <c r="D33" s="80">
        <v>27.755600000000001</v>
      </c>
      <c r="E33" s="80">
        <v>14.9</v>
      </c>
      <c r="F33" s="80">
        <f t="shared" si="0"/>
        <v>42.6556</v>
      </c>
      <c r="G33" s="80">
        <f t="shared" si="1"/>
        <v>82</v>
      </c>
      <c r="H33" s="81">
        <f t="shared" si="2"/>
        <v>0</v>
      </c>
      <c r="I33" s="148">
        <v>61.948700000000002</v>
      </c>
      <c r="J33" s="149">
        <v>12.151300000000001</v>
      </c>
      <c r="K33" s="149">
        <v>14.9</v>
      </c>
      <c r="L33" s="76">
        <f t="shared" si="3"/>
        <v>27.051300000000001</v>
      </c>
      <c r="M33" s="150">
        <f t="shared" si="4"/>
        <v>89.000000000000014</v>
      </c>
      <c r="N33" s="151">
        <f t="shared" si="5"/>
        <v>0</v>
      </c>
      <c r="O33" s="176">
        <v>54.257399999999997</v>
      </c>
      <c r="P33" s="177">
        <v>-0.1574000000000001</v>
      </c>
      <c r="Q33" s="177">
        <v>15.9</v>
      </c>
      <c r="R33" s="177">
        <f t="shared" si="6"/>
        <v>15.742599999999999</v>
      </c>
      <c r="S33" s="178">
        <f t="shared" si="7"/>
        <v>70</v>
      </c>
      <c r="T33" s="179">
        <f t="shared" si="8"/>
        <v>0</v>
      </c>
      <c r="U33" s="190">
        <v>54.599600000000002</v>
      </c>
      <c r="V33" s="194">
        <v>-6.1796000000000006</v>
      </c>
      <c r="W33" s="191">
        <v>16.579999999999998</v>
      </c>
      <c r="X33" s="191">
        <f t="shared" si="12"/>
        <v>10.400399999999998</v>
      </c>
      <c r="Y33" s="192">
        <f t="shared" si="9"/>
        <v>65</v>
      </c>
      <c r="Z33" s="187">
        <f t="shared" si="10"/>
        <v>4.6367851622874934E-3</v>
      </c>
      <c r="AA33" s="176">
        <v>32.534199999999998</v>
      </c>
      <c r="AB33" s="177">
        <v>7.4657000000000009</v>
      </c>
      <c r="AC33" s="178">
        <v>39.999899999999997</v>
      </c>
      <c r="AD33" s="179">
        <f t="shared" si="11"/>
        <v>-2.5000000001274003E-6</v>
      </c>
      <c r="AE33" s="116">
        <f>57.8459+3.288</f>
        <v>61.133899999999997</v>
      </c>
      <c r="AF33" s="20">
        <f>3.9945+2.5+0.1-6.2287</f>
        <v>0.36580000000000013</v>
      </c>
      <c r="AG33" s="235">
        <f t="shared" si="13"/>
        <v>12.5</v>
      </c>
      <c r="AH33" s="235">
        <f t="shared" si="14"/>
        <v>12.8658</v>
      </c>
      <c r="AI33" s="255">
        <f t="shared" si="15"/>
        <v>73.99969999999999</v>
      </c>
      <c r="AJ33" s="256">
        <f t="shared" si="16"/>
        <v>0</v>
      </c>
      <c r="AK33" s="240">
        <f>30.5162+1.245</f>
        <v>31.761200000000002</v>
      </c>
      <c r="AL33" s="235">
        <f>-0.3608+0.1</f>
        <v>-0.26080000000000003</v>
      </c>
      <c r="AM33" s="235">
        <f t="shared" si="17"/>
        <v>12.5</v>
      </c>
      <c r="AN33" s="235">
        <f t="shared" si="18"/>
        <v>12.2392</v>
      </c>
      <c r="AO33" s="257">
        <f t="shared" si="19"/>
        <v>44.000399999999999</v>
      </c>
      <c r="AP33" s="256">
        <f t="shared" si="20"/>
        <v>1.5909199380770289E-5</v>
      </c>
      <c r="AQ33" s="148"/>
      <c r="AR33" s="149"/>
      <c r="AS33" s="149"/>
      <c r="AT33" s="76"/>
      <c r="AU33" s="150"/>
      <c r="AV33" s="151"/>
    </row>
    <row r="34" spans="1:48" ht="15">
      <c r="A34" s="248">
        <v>39845</v>
      </c>
      <c r="B34" s="72">
        <v>126.84</v>
      </c>
      <c r="C34" s="73">
        <v>39.3444</v>
      </c>
      <c r="D34" s="80">
        <v>27.755600000000001</v>
      </c>
      <c r="E34" s="80">
        <v>14.9</v>
      </c>
      <c r="F34" s="80">
        <f t="shared" si="0"/>
        <v>42.6556</v>
      </c>
      <c r="G34" s="80">
        <f t="shared" si="1"/>
        <v>82</v>
      </c>
      <c r="H34" s="81">
        <f t="shared" si="2"/>
        <v>0</v>
      </c>
      <c r="I34" s="148">
        <v>61.948700000000002</v>
      </c>
      <c r="J34" s="149">
        <v>12.151300000000001</v>
      </c>
      <c r="K34" s="149">
        <v>14.9</v>
      </c>
      <c r="L34" s="76">
        <f t="shared" si="3"/>
        <v>27.051300000000001</v>
      </c>
      <c r="M34" s="150">
        <f t="shared" si="4"/>
        <v>89.000000000000014</v>
      </c>
      <c r="N34" s="151">
        <f t="shared" si="5"/>
        <v>0</v>
      </c>
      <c r="O34" s="176">
        <v>54.257399999999997</v>
      </c>
      <c r="P34" s="177">
        <v>-0.1574000000000001</v>
      </c>
      <c r="Q34" s="177">
        <v>15.9</v>
      </c>
      <c r="R34" s="177">
        <f t="shared" si="6"/>
        <v>15.742599999999999</v>
      </c>
      <c r="S34" s="178">
        <f t="shared" si="7"/>
        <v>70</v>
      </c>
      <c r="T34" s="179">
        <f t="shared" si="8"/>
        <v>0</v>
      </c>
      <c r="U34" s="190">
        <v>54.599600000000002</v>
      </c>
      <c r="V34" s="194">
        <v>-6.1796000000000006</v>
      </c>
      <c r="W34" s="191">
        <v>16.579999999999998</v>
      </c>
      <c r="X34" s="191">
        <f t="shared" si="12"/>
        <v>10.400399999999998</v>
      </c>
      <c r="Y34" s="192">
        <f t="shared" si="9"/>
        <v>65</v>
      </c>
      <c r="Z34" s="187">
        <f t="shared" si="10"/>
        <v>0</v>
      </c>
      <c r="AA34" s="176">
        <v>32.534300000000002</v>
      </c>
      <c r="AB34" s="177">
        <v>7.4657000000000009</v>
      </c>
      <c r="AC34" s="178">
        <v>40</v>
      </c>
      <c r="AD34" s="179">
        <f t="shared" si="11"/>
        <v>2.5000062500168951E-6</v>
      </c>
      <c r="AE34" s="116">
        <f>57.5282+3.606</f>
        <v>61.1342</v>
      </c>
      <c r="AF34" s="20">
        <f>3.9945+2.5+0.1-6.2287</f>
        <v>0.36580000000000013</v>
      </c>
      <c r="AG34" s="235">
        <f t="shared" si="13"/>
        <v>12.5</v>
      </c>
      <c r="AH34" s="255">
        <f t="shared" si="14"/>
        <v>12.8658</v>
      </c>
      <c r="AI34" s="255">
        <f t="shared" si="15"/>
        <v>74</v>
      </c>
      <c r="AJ34" s="256">
        <f t="shared" si="16"/>
        <v>4.0540704895342117E-6</v>
      </c>
      <c r="AK34" s="240">
        <f>34.9789-3.218</f>
        <v>31.760900000000003</v>
      </c>
      <c r="AL34" s="235">
        <f t="shared" ref="AL34:AL97" si="21">0.1-0.3608</f>
        <v>-0.26080000000000003</v>
      </c>
      <c r="AM34" s="235">
        <f t="shared" si="17"/>
        <v>12.5</v>
      </c>
      <c r="AN34" s="235">
        <f t="shared" si="18"/>
        <v>12.2392</v>
      </c>
      <c r="AO34" s="257">
        <f t="shared" si="19"/>
        <v>44.000100000000003</v>
      </c>
      <c r="AP34" s="256">
        <f t="shared" si="20"/>
        <v>-6.8181198351613403E-6</v>
      </c>
      <c r="AQ34" s="148"/>
      <c r="AR34" s="149"/>
      <c r="AS34" s="149"/>
      <c r="AT34" s="76"/>
      <c r="AU34" s="150"/>
      <c r="AV34" s="151"/>
    </row>
    <row r="35" spans="1:48" ht="15">
      <c r="A35" s="248">
        <v>39860</v>
      </c>
      <c r="B35" s="72">
        <v>130.51</v>
      </c>
      <c r="C35" s="73">
        <v>39.3444</v>
      </c>
      <c r="D35" s="80">
        <v>27.755600000000001</v>
      </c>
      <c r="E35" s="80">
        <v>14.9</v>
      </c>
      <c r="F35" s="80">
        <f t="shared" si="0"/>
        <v>42.6556</v>
      </c>
      <c r="G35" s="80">
        <f t="shared" si="1"/>
        <v>82</v>
      </c>
      <c r="H35" s="81">
        <f t="shared" si="2"/>
        <v>0</v>
      </c>
      <c r="I35" s="148">
        <v>61.948700000000002</v>
      </c>
      <c r="J35" s="149">
        <v>12.151300000000001</v>
      </c>
      <c r="K35" s="149">
        <v>14.9</v>
      </c>
      <c r="L35" s="76">
        <f t="shared" si="3"/>
        <v>27.051300000000001</v>
      </c>
      <c r="M35" s="150">
        <f t="shared" si="4"/>
        <v>89.000000000000014</v>
      </c>
      <c r="N35" s="151">
        <f t="shared" si="5"/>
        <v>0</v>
      </c>
      <c r="O35" s="176">
        <v>54.257399999999997</v>
      </c>
      <c r="P35" s="177">
        <v>-0.1574000000000001</v>
      </c>
      <c r="Q35" s="177">
        <v>15.9</v>
      </c>
      <c r="R35" s="177">
        <f t="shared" si="6"/>
        <v>15.742599999999999</v>
      </c>
      <c r="S35" s="178">
        <f t="shared" si="7"/>
        <v>70</v>
      </c>
      <c r="T35" s="179">
        <f t="shared" si="8"/>
        <v>0</v>
      </c>
      <c r="U35" s="190">
        <v>54.599600000000002</v>
      </c>
      <c r="V35" s="194">
        <v>-6.1796000000000006</v>
      </c>
      <c r="W35" s="191">
        <v>16.579999999999998</v>
      </c>
      <c r="X35" s="191">
        <f t="shared" si="12"/>
        <v>10.400399999999998</v>
      </c>
      <c r="Y35" s="192">
        <f t="shared" si="9"/>
        <v>65</v>
      </c>
      <c r="Z35" s="187">
        <f t="shared" si="10"/>
        <v>0</v>
      </c>
      <c r="AA35" s="176">
        <v>32.534300000000002</v>
      </c>
      <c r="AB35" s="177">
        <v>7.4657000000000009</v>
      </c>
      <c r="AC35" s="178">
        <v>40</v>
      </c>
      <c r="AD35" s="179">
        <f t="shared" si="11"/>
        <v>0</v>
      </c>
      <c r="AE35" s="116">
        <f>57.4345+3.7</f>
        <v>61.134500000000003</v>
      </c>
      <c r="AF35" s="20">
        <f>3.9945+2.5+0.1-6.2287</f>
        <v>0.36580000000000013</v>
      </c>
      <c r="AG35" s="235">
        <f t="shared" si="13"/>
        <v>12.5</v>
      </c>
      <c r="AH35" s="235">
        <f t="shared" si="14"/>
        <v>12.8658</v>
      </c>
      <c r="AI35" s="255">
        <f t="shared" si="15"/>
        <v>74.00030000000001</v>
      </c>
      <c r="AJ35" s="256">
        <f t="shared" si="16"/>
        <v>4.0540540542366443E-6</v>
      </c>
      <c r="AK35" s="240">
        <f>38.6996-6.939</f>
        <v>31.760599999999997</v>
      </c>
      <c r="AL35" s="235">
        <f t="shared" si="21"/>
        <v>-0.26080000000000003</v>
      </c>
      <c r="AM35" s="235">
        <f t="shared" si="17"/>
        <v>12.5</v>
      </c>
      <c r="AN35" s="235">
        <f t="shared" si="18"/>
        <v>12.2392</v>
      </c>
      <c r="AO35" s="257">
        <f t="shared" si="19"/>
        <v>43.999799999999993</v>
      </c>
      <c r="AP35" s="256">
        <f t="shared" si="20"/>
        <v>-6.8181663225308498E-6</v>
      </c>
      <c r="AQ35" s="148"/>
      <c r="AR35" s="149"/>
      <c r="AS35" s="149"/>
      <c r="AT35" s="76"/>
      <c r="AU35" s="150"/>
      <c r="AV35" s="151"/>
    </row>
    <row r="36" spans="1:48" ht="15">
      <c r="A36" s="248">
        <v>39873</v>
      </c>
      <c r="B36" s="72">
        <v>133.38999999999999</v>
      </c>
      <c r="C36" s="73">
        <v>39.3444</v>
      </c>
      <c r="D36" s="80">
        <v>27.755600000000001</v>
      </c>
      <c r="E36" s="80">
        <v>14.9</v>
      </c>
      <c r="F36" s="80">
        <f t="shared" si="0"/>
        <v>42.6556</v>
      </c>
      <c r="G36" s="80">
        <f t="shared" si="1"/>
        <v>82</v>
      </c>
      <c r="H36" s="81">
        <f t="shared" si="2"/>
        <v>0</v>
      </c>
      <c r="I36" s="148">
        <v>61.948700000000002</v>
      </c>
      <c r="J36" s="149">
        <v>12.151300000000001</v>
      </c>
      <c r="K36" s="149">
        <v>14.9</v>
      </c>
      <c r="L36" s="76">
        <f t="shared" si="3"/>
        <v>27.051300000000001</v>
      </c>
      <c r="M36" s="150">
        <f t="shared" si="4"/>
        <v>89.000000000000014</v>
      </c>
      <c r="N36" s="151">
        <f t="shared" si="5"/>
        <v>0</v>
      </c>
      <c r="O36" s="176">
        <v>54.257399999999997</v>
      </c>
      <c r="P36" s="177">
        <v>-0.1574000000000001</v>
      </c>
      <c r="Q36" s="177">
        <v>15.9</v>
      </c>
      <c r="R36" s="177">
        <f t="shared" si="6"/>
        <v>15.742599999999999</v>
      </c>
      <c r="S36" s="178">
        <f t="shared" si="7"/>
        <v>70</v>
      </c>
      <c r="T36" s="179">
        <f t="shared" si="8"/>
        <v>0</v>
      </c>
      <c r="U36" s="190">
        <v>54.599600000000002</v>
      </c>
      <c r="V36" s="194">
        <v>-6.1796000000000006</v>
      </c>
      <c r="W36" s="191">
        <v>16.579999999999998</v>
      </c>
      <c r="X36" s="191">
        <f t="shared" si="12"/>
        <v>10.400399999999998</v>
      </c>
      <c r="Y36" s="192">
        <f t="shared" si="9"/>
        <v>65</v>
      </c>
      <c r="Z36" s="187">
        <f t="shared" si="10"/>
        <v>0</v>
      </c>
      <c r="AA36" s="176">
        <v>32.534300000000002</v>
      </c>
      <c r="AB36" s="177">
        <v>7.4657000000000009</v>
      </c>
      <c r="AC36" s="178">
        <v>40</v>
      </c>
      <c r="AD36" s="179">
        <f t="shared" si="11"/>
        <v>0</v>
      </c>
      <c r="AE36" s="116">
        <f>52.9531+8.181</f>
        <v>61.134099999999997</v>
      </c>
      <c r="AF36" s="20">
        <f>3.9945+2.5+0.1-6.2287</f>
        <v>0.36580000000000013</v>
      </c>
      <c r="AG36" s="235">
        <f t="shared" si="13"/>
        <v>12.5</v>
      </c>
      <c r="AH36" s="235">
        <f t="shared" si="14"/>
        <v>12.8658</v>
      </c>
      <c r="AI36" s="255">
        <f t="shared" si="15"/>
        <v>73.999899999999997</v>
      </c>
      <c r="AJ36" s="256">
        <f t="shared" si="16"/>
        <v>-5.4053834919187693E-6</v>
      </c>
      <c r="AK36" s="240">
        <f>37.6448-5.884</f>
        <v>31.760799999999996</v>
      </c>
      <c r="AL36" s="235">
        <f t="shared" si="21"/>
        <v>-0.26080000000000003</v>
      </c>
      <c r="AM36" s="235">
        <f t="shared" si="17"/>
        <v>12.5</v>
      </c>
      <c r="AN36" s="235">
        <f t="shared" si="18"/>
        <v>12.2392</v>
      </c>
      <c r="AO36" s="257">
        <f t="shared" si="19"/>
        <v>44</v>
      </c>
      <c r="AP36" s="256">
        <f t="shared" si="20"/>
        <v>4.5454752068962989E-6</v>
      </c>
      <c r="AQ36" s="148"/>
      <c r="AR36" s="149"/>
      <c r="AS36" s="149"/>
      <c r="AT36" s="76"/>
      <c r="AU36" s="150"/>
      <c r="AV36" s="151"/>
    </row>
    <row r="37" spans="1:48" ht="15">
      <c r="A37" s="248">
        <v>39881</v>
      </c>
      <c r="B37" s="72">
        <v>133.38999999999999</v>
      </c>
      <c r="C37" s="73">
        <v>47.07</v>
      </c>
      <c r="D37" s="80">
        <v>15.93</v>
      </c>
      <c r="E37" s="80">
        <v>14.9</v>
      </c>
      <c r="F37" s="80">
        <f t="shared" si="0"/>
        <v>30.83</v>
      </c>
      <c r="G37" s="80">
        <f t="shared" si="1"/>
        <v>77.900000000000006</v>
      </c>
      <c r="H37" s="81">
        <f t="shared" si="2"/>
        <v>-4.9999999999999933E-2</v>
      </c>
      <c r="I37" s="148">
        <v>61.948700000000002</v>
      </c>
      <c r="J37" s="149">
        <v>7.7512999999999996</v>
      </c>
      <c r="K37" s="149">
        <v>14.9</v>
      </c>
      <c r="L37" s="76">
        <f t="shared" si="3"/>
        <v>22.651299999999999</v>
      </c>
      <c r="M37" s="150">
        <f t="shared" si="4"/>
        <v>84.600000000000009</v>
      </c>
      <c r="N37" s="151">
        <f t="shared" si="5"/>
        <v>-4.9438202247191088E-2</v>
      </c>
      <c r="O37" s="176">
        <v>54.257399999999997</v>
      </c>
      <c r="P37" s="177">
        <v>-3.6574</v>
      </c>
      <c r="Q37" s="177">
        <v>15.9</v>
      </c>
      <c r="R37" s="177">
        <f t="shared" si="6"/>
        <v>12.242599999999999</v>
      </c>
      <c r="S37" s="178">
        <f t="shared" si="7"/>
        <v>66.5</v>
      </c>
      <c r="T37" s="179">
        <f t="shared" si="8"/>
        <v>-5.0000000000000044E-2</v>
      </c>
      <c r="U37" s="190">
        <v>54.599600000000002</v>
      </c>
      <c r="V37" s="194">
        <v>-12.679600000000001</v>
      </c>
      <c r="W37" s="191">
        <v>16.579999999999998</v>
      </c>
      <c r="X37" s="191">
        <f t="shared" si="12"/>
        <v>3.9003999999999976</v>
      </c>
      <c r="Y37" s="192">
        <f t="shared" si="9"/>
        <v>58.5</v>
      </c>
      <c r="Z37" s="187">
        <f t="shared" si="10"/>
        <v>-9.9999999999999978E-2</v>
      </c>
      <c r="AA37" s="176">
        <v>32.534199999999998</v>
      </c>
      <c r="AB37" s="177">
        <v>5.4657000000000009</v>
      </c>
      <c r="AC37" s="178">
        <v>37.999899999999997</v>
      </c>
      <c r="AD37" s="179">
        <f t="shared" si="11"/>
        <v>-5.0002500000000061E-2</v>
      </c>
      <c r="AE37" s="116">
        <f>52.9531+7.881</f>
        <v>60.834099999999999</v>
      </c>
      <c r="AF37" s="20">
        <f>0.2945+2.5+0.1-6.2287</f>
        <v>-3.3341999999999996</v>
      </c>
      <c r="AG37" s="235">
        <f t="shared" si="13"/>
        <v>12.5</v>
      </c>
      <c r="AH37" s="235">
        <f t="shared" si="14"/>
        <v>9.1658000000000008</v>
      </c>
      <c r="AI37" s="255">
        <f t="shared" si="15"/>
        <v>69.999899999999997</v>
      </c>
      <c r="AJ37" s="256">
        <f t="shared" si="16"/>
        <v>-5.4054127100171767E-2</v>
      </c>
      <c r="AK37" s="240">
        <f>37.6448-10.284</f>
        <v>27.360799999999998</v>
      </c>
      <c r="AL37" s="235">
        <f t="shared" si="21"/>
        <v>-0.26080000000000003</v>
      </c>
      <c r="AM37" s="235">
        <f t="shared" si="17"/>
        <v>12.5</v>
      </c>
      <c r="AN37" s="235">
        <f t="shared" si="18"/>
        <v>12.2392</v>
      </c>
      <c r="AO37" s="257">
        <f t="shared" si="19"/>
        <v>39.599999999999994</v>
      </c>
      <c r="AP37" s="256">
        <f t="shared" si="20"/>
        <v>-0.10000000000000009</v>
      </c>
      <c r="AQ37" s="148"/>
      <c r="AR37" s="149"/>
      <c r="AS37" s="149"/>
      <c r="AT37" s="76"/>
      <c r="AU37" s="150"/>
      <c r="AV37" s="151"/>
    </row>
    <row r="38" spans="1:48" ht="15">
      <c r="A38" s="248">
        <v>39888</v>
      </c>
      <c r="B38" s="75">
        <v>136.05000000000001</v>
      </c>
      <c r="C38" s="73">
        <v>47.07</v>
      </c>
      <c r="D38" s="80">
        <v>15.93</v>
      </c>
      <c r="E38" s="80">
        <v>14.9</v>
      </c>
      <c r="F38" s="80">
        <f t="shared" si="0"/>
        <v>30.83</v>
      </c>
      <c r="G38" s="80">
        <f t="shared" si="1"/>
        <v>77.900000000000006</v>
      </c>
      <c r="H38" s="81">
        <f t="shared" si="2"/>
        <v>0</v>
      </c>
      <c r="I38" s="148">
        <v>61.948700000000002</v>
      </c>
      <c r="J38" s="149">
        <v>7.7512999999999996</v>
      </c>
      <c r="K38" s="149">
        <v>14.9</v>
      </c>
      <c r="L38" s="76">
        <f t="shared" si="3"/>
        <v>22.651299999999999</v>
      </c>
      <c r="M38" s="150">
        <f t="shared" si="4"/>
        <v>84.600000000000009</v>
      </c>
      <c r="N38" s="151">
        <f t="shared" si="5"/>
        <v>0</v>
      </c>
      <c r="O38" s="176">
        <v>54.257399999999997</v>
      </c>
      <c r="P38" s="177">
        <v>-3.6574</v>
      </c>
      <c r="Q38" s="177">
        <v>15.9</v>
      </c>
      <c r="R38" s="177">
        <f t="shared" si="6"/>
        <v>12.242599999999999</v>
      </c>
      <c r="S38" s="178">
        <f t="shared" si="7"/>
        <v>66.5</v>
      </c>
      <c r="T38" s="179">
        <f t="shared" si="8"/>
        <v>0</v>
      </c>
      <c r="U38" s="190">
        <v>54.599600000000002</v>
      </c>
      <c r="V38" s="194">
        <v>-12.679600000000001</v>
      </c>
      <c r="W38" s="191">
        <v>16.579999999999998</v>
      </c>
      <c r="X38" s="191">
        <f t="shared" si="12"/>
        <v>3.9003999999999976</v>
      </c>
      <c r="Y38" s="192">
        <f t="shared" si="9"/>
        <v>58.5</v>
      </c>
      <c r="Z38" s="187">
        <f t="shared" si="10"/>
        <v>0</v>
      </c>
      <c r="AA38" s="176">
        <v>32.534300000000002</v>
      </c>
      <c r="AB38" s="177">
        <v>5.4657000000000009</v>
      </c>
      <c r="AC38" s="178">
        <v>38</v>
      </c>
      <c r="AD38" s="179">
        <f t="shared" si="11"/>
        <v>2.6315858727699037E-6</v>
      </c>
      <c r="AE38" s="116">
        <f>52.9531+7.881</f>
        <v>60.834099999999999</v>
      </c>
      <c r="AF38" s="20">
        <f>0.2945+2.5+0.1-6.2287</f>
        <v>-3.3341999999999996</v>
      </c>
      <c r="AG38" s="235">
        <f t="shared" si="13"/>
        <v>12.5</v>
      </c>
      <c r="AH38" s="235">
        <f t="shared" si="14"/>
        <v>9.1658000000000008</v>
      </c>
      <c r="AI38" s="255">
        <f t="shared" si="15"/>
        <v>69.999899999999997</v>
      </c>
      <c r="AJ38" s="256">
        <f t="shared" si="16"/>
        <v>0</v>
      </c>
      <c r="AK38" s="240">
        <f>41.5553-14.195</f>
        <v>27.360300000000002</v>
      </c>
      <c r="AL38" s="235">
        <f t="shared" si="21"/>
        <v>-0.26080000000000003</v>
      </c>
      <c r="AM38" s="235">
        <f t="shared" si="17"/>
        <v>12.5</v>
      </c>
      <c r="AN38" s="235">
        <f t="shared" si="18"/>
        <v>12.2392</v>
      </c>
      <c r="AO38" s="257">
        <f t="shared" si="19"/>
        <v>39.599500000000006</v>
      </c>
      <c r="AP38" s="256">
        <f t="shared" si="20"/>
        <v>-1.2626262625992091E-5</v>
      </c>
      <c r="AQ38" s="148"/>
      <c r="AR38" s="149"/>
      <c r="AS38" s="149"/>
      <c r="AT38" s="76"/>
      <c r="AU38" s="150"/>
      <c r="AV38" s="151"/>
    </row>
    <row r="39" spans="1:48" ht="15">
      <c r="A39" s="248">
        <v>39904</v>
      </c>
      <c r="B39" s="75">
        <v>137.91999999999999</v>
      </c>
      <c r="C39" s="73">
        <v>54.87</v>
      </c>
      <c r="D39" s="80">
        <v>15.93</v>
      </c>
      <c r="E39" s="80">
        <v>14.9</v>
      </c>
      <c r="F39" s="80">
        <f t="shared" si="0"/>
        <v>30.83</v>
      </c>
      <c r="G39" s="80">
        <f t="shared" si="1"/>
        <v>85.699999999999989</v>
      </c>
      <c r="H39" s="81">
        <f t="shared" si="2"/>
        <v>0.10012836970474948</v>
      </c>
      <c r="I39" s="148">
        <v>63.548699999999997</v>
      </c>
      <c r="J39" s="149">
        <v>7.7512999999999996</v>
      </c>
      <c r="K39" s="149">
        <v>14.9</v>
      </c>
      <c r="L39" s="76">
        <f t="shared" si="3"/>
        <v>22.651299999999999</v>
      </c>
      <c r="M39" s="150">
        <f t="shared" si="4"/>
        <v>86.2</v>
      </c>
      <c r="N39" s="151">
        <f t="shared" si="5"/>
        <v>1.891252955082745E-2</v>
      </c>
      <c r="O39" s="176">
        <v>54.157399999999996</v>
      </c>
      <c r="P39" s="177">
        <v>-3.6574</v>
      </c>
      <c r="Q39" s="177">
        <v>16</v>
      </c>
      <c r="R39" s="177">
        <f t="shared" si="6"/>
        <v>12.342600000000001</v>
      </c>
      <c r="S39" s="178">
        <f t="shared" si="7"/>
        <v>66.5</v>
      </c>
      <c r="T39" s="179">
        <f t="shared" si="8"/>
        <v>0</v>
      </c>
      <c r="U39" s="190">
        <v>57.499600000000001</v>
      </c>
      <c r="V39" s="194">
        <v>-12.679600000000001</v>
      </c>
      <c r="W39" s="191">
        <v>16.579999999999998</v>
      </c>
      <c r="X39" s="191">
        <f t="shared" si="12"/>
        <v>3.9003999999999976</v>
      </c>
      <c r="Y39" s="192">
        <f t="shared" si="9"/>
        <v>61.4</v>
      </c>
      <c r="Z39" s="187">
        <f t="shared" si="10"/>
        <v>4.9572649572649619E-2</v>
      </c>
      <c r="AA39" s="176">
        <v>16</v>
      </c>
      <c r="AB39" s="177">
        <v>5.4657000000000009</v>
      </c>
      <c r="AC39" s="178">
        <v>21.465700000000002</v>
      </c>
      <c r="AD39" s="179">
        <f t="shared" si="11"/>
        <v>-0.43511315789473681</v>
      </c>
      <c r="AE39" s="116">
        <f>60.3492+1.885</f>
        <v>62.234200000000001</v>
      </c>
      <c r="AF39" s="20">
        <f>0.2945+2.5+0.1-6.2287</f>
        <v>-3.3341999999999996</v>
      </c>
      <c r="AG39" s="235">
        <f t="shared" si="13"/>
        <v>12.5</v>
      </c>
      <c r="AH39" s="235">
        <f t="shared" si="14"/>
        <v>9.1658000000000008</v>
      </c>
      <c r="AI39" s="258">
        <f t="shared" si="15"/>
        <v>71.400000000000006</v>
      </c>
      <c r="AJ39" s="256">
        <f t="shared" si="16"/>
        <v>2.000145714493895E-2</v>
      </c>
      <c r="AK39" s="240">
        <f>41.5553-14.195</f>
        <v>27.360300000000002</v>
      </c>
      <c r="AL39" s="235">
        <f t="shared" si="21"/>
        <v>-0.26080000000000003</v>
      </c>
      <c r="AM39" s="235">
        <f t="shared" si="17"/>
        <v>12.5</v>
      </c>
      <c r="AN39" s="235">
        <f t="shared" si="18"/>
        <v>12.2392</v>
      </c>
      <c r="AO39" s="257">
        <f t="shared" si="19"/>
        <v>39.599500000000006</v>
      </c>
      <c r="AP39" s="256">
        <f t="shared" si="20"/>
        <v>0</v>
      </c>
      <c r="AQ39" s="148"/>
      <c r="AR39" s="149"/>
      <c r="AS39" s="149"/>
      <c r="AT39" s="76"/>
      <c r="AU39" s="150"/>
      <c r="AV39" s="151"/>
    </row>
    <row r="40" spans="1:48" ht="15">
      <c r="A40" s="248">
        <v>39919</v>
      </c>
      <c r="B40" s="75">
        <v>140.13</v>
      </c>
      <c r="C40" s="73">
        <v>54.77</v>
      </c>
      <c r="D40" s="80">
        <v>15.93</v>
      </c>
      <c r="E40" s="80">
        <v>15</v>
      </c>
      <c r="F40" s="80">
        <f t="shared" si="0"/>
        <v>30.93</v>
      </c>
      <c r="G40" s="80">
        <f t="shared" si="1"/>
        <v>85.7</v>
      </c>
      <c r="H40" s="81">
        <f t="shared" si="2"/>
        <v>0</v>
      </c>
      <c r="I40" s="148">
        <v>63.448700000000002</v>
      </c>
      <c r="J40" s="149">
        <v>7.7512999999999996</v>
      </c>
      <c r="K40" s="149">
        <v>15</v>
      </c>
      <c r="L40" s="76">
        <f t="shared" si="3"/>
        <v>22.751300000000001</v>
      </c>
      <c r="M40" s="150">
        <f t="shared" si="4"/>
        <v>86.2</v>
      </c>
      <c r="N40" s="151">
        <f t="shared" si="5"/>
        <v>0</v>
      </c>
      <c r="O40" s="176">
        <v>54.157399999999996</v>
      </c>
      <c r="P40" s="177">
        <v>-3.6574</v>
      </c>
      <c r="Q40" s="177">
        <v>16</v>
      </c>
      <c r="R40" s="177">
        <f t="shared" si="6"/>
        <v>12.342600000000001</v>
      </c>
      <c r="S40" s="178">
        <f t="shared" si="7"/>
        <v>66.5</v>
      </c>
      <c r="T40" s="179">
        <f t="shared" si="8"/>
        <v>0</v>
      </c>
      <c r="U40" s="190">
        <v>57.499600000000001</v>
      </c>
      <c r="V40" s="194">
        <v>-12.679600000000001</v>
      </c>
      <c r="W40" s="191">
        <v>16.579999999999998</v>
      </c>
      <c r="X40" s="191">
        <f t="shared" si="12"/>
        <v>3.9003999999999976</v>
      </c>
      <c r="Y40" s="192">
        <f t="shared" si="9"/>
        <v>61.4</v>
      </c>
      <c r="Z40" s="187">
        <f t="shared" si="10"/>
        <v>0</v>
      </c>
      <c r="AA40" s="176">
        <v>37.734299999999998</v>
      </c>
      <c r="AB40" s="177">
        <v>5.4657000000000009</v>
      </c>
      <c r="AC40" s="178">
        <v>43.199999999999996</v>
      </c>
      <c r="AD40" s="179">
        <f t="shared" si="11"/>
        <v>1.0125129858332125</v>
      </c>
      <c r="AE40" s="116">
        <f>60.3492+1.885</f>
        <v>62.234200000000001</v>
      </c>
      <c r="AF40" s="20">
        <f>0.2945+2.5+0.1-6.2287</f>
        <v>-3.3341999999999996</v>
      </c>
      <c r="AG40" s="235">
        <f t="shared" si="13"/>
        <v>12.5</v>
      </c>
      <c r="AH40" s="235">
        <f t="shared" si="14"/>
        <v>9.1658000000000008</v>
      </c>
      <c r="AI40" s="258">
        <f t="shared" si="15"/>
        <v>71.400000000000006</v>
      </c>
      <c r="AJ40" s="256">
        <f t="shared" si="16"/>
        <v>0</v>
      </c>
      <c r="AK40" s="240">
        <f>41.5553-14.195</f>
        <v>27.360300000000002</v>
      </c>
      <c r="AL40" s="235">
        <f t="shared" si="21"/>
        <v>-0.26080000000000003</v>
      </c>
      <c r="AM40" s="235">
        <f t="shared" si="17"/>
        <v>12.5</v>
      </c>
      <c r="AN40" s="235">
        <f t="shared" si="18"/>
        <v>12.2392</v>
      </c>
      <c r="AO40" s="257">
        <f t="shared" si="19"/>
        <v>39.599500000000006</v>
      </c>
      <c r="AP40" s="256">
        <f t="shared" si="20"/>
        <v>0</v>
      </c>
      <c r="AQ40" s="148"/>
      <c r="AR40" s="149"/>
      <c r="AS40" s="149"/>
      <c r="AT40" s="76"/>
      <c r="AU40" s="150"/>
      <c r="AV40" s="151"/>
    </row>
    <row r="41" spans="1:48" ht="15">
      <c r="A41" s="248">
        <v>39934</v>
      </c>
      <c r="B41" s="75">
        <v>140.72999999999999</v>
      </c>
      <c r="C41" s="73">
        <v>54.77</v>
      </c>
      <c r="D41" s="80">
        <v>15.93</v>
      </c>
      <c r="E41" s="80">
        <v>15</v>
      </c>
      <c r="F41" s="80">
        <f t="shared" si="0"/>
        <v>30.93</v>
      </c>
      <c r="G41" s="80">
        <f t="shared" si="1"/>
        <v>85.7</v>
      </c>
      <c r="H41" s="81">
        <f t="shared" si="2"/>
        <v>0</v>
      </c>
      <c r="I41" s="148">
        <v>63.448700000000002</v>
      </c>
      <c r="J41" s="149">
        <v>7.7512999999999996</v>
      </c>
      <c r="K41" s="149">
        <v>15</v>
      </c>
      <c r="L41" s="76">
        <f t="shared" si="3"/>
        <v>22.751300000000001</v>
      </c>
      <c r="M41" s="150">
        <f t="shared" si="4"/>
        <v>86.2</v>
      </c>
      <c r="N41" s="151">
        <f t="shared" si="5"/>
        <v>0</v>
      </c>
      <c r="O41" s="176">
        <v>54.157399999999996</v>
      </c>
      <c r="P41" s="177">
        <v>-3.6574</v>
      </c>
      <c r="Q41" s="177">
        <v>16</v>
      </c>
      <c r="R41" s="177">
        <f t="shared" si="6"/>
        <v>12.342600000000001</v>
      </c>
      <c r="S41" s="178">
        <f t="shared" si="7"/>
        <v>66.5</v>
      </c>
      <c r="T41" s="179">
        <f t="shared" si="8"/>
        <v>0</v>
      </c>
      <c r="U41" s="190">
        <v>57.499600000000001</v>
      </c>
      <c r="V41" s="194">
        <v>-12.679600000000001</v>
      </c>
      <c r="W41" s="191">
        <v>16.579999999999998</v>
      </c>
      <c r="X41" s="191">
        <f t="shared" si="12"/>
        <v>3.9003999999999976</v>
      </c>
      <c r="Y41" s="192">
        <f t="shared" si="9"/>
        <v>61.4</v>
      </c>
      <c r="Z41" s="187">
        <f t="shared" si="10"/>
        <v>0</v>
      </c>
      <c r="AA41" s="176">
        <v>37.734299999999998</v>
      </c>
      <c r="AB41" s="177">
        <v>5.4657000000000009</v>
      </c>
      <c r="AC41" s="178">
        <v>43.199999999999996</v>
      </c>
      <c r="AD41" s="179">
        <f t="shared" si="11"/>
        <v>0</v>
      </c>
      <c r="AE41" s="116">
        <f>60.3492+1.885</f>
        <v>62.234200000000001</v>
      </c>
      <c r="AF41" s="20">
        <f>0.2945+2.5+0.1-6.2287</f>
        <v>-3.3341999999999996</v>
      </c>
      <c r="AG41" s="235">
        <f t="shared" si="13"/>
        <v>12.5</v>
      </c>
      <c r="AH41" s="235">
        <f t="shared" si="14"/>
        <v>9.1658000000000008</v>
      </c>
      <c r="AI41" s="258">
        <f t="shared" si="15"/>
        <v>71.400000000000006</v>
      </c>
      <c r="AJ41" s="256">
        <f t="shared" si="16"/>
        <v>0</v>
      </c>
      <c r="AK41" s="240">
        <f>41.5553-14.195</f>
        <v>27.360300000000002</v>
      </c>
      <c r="AL41" s="235">
        <f t="shared" si="21"/>
        <v>-0.26080000000000003</v>
      </c>
      <c r="AM41" s="235">
        <f t="shared" si="17"/>
        <v>12.5</v>
      </c>
      <c r="AN41" s="235">
        <f t="shared" si="18"/>
        <v>12.2392</v>
      </c>
      <c r="AO41" s="257">
        <f t="shared" si="19"/>
        <v>39.599500000000006</v>
      </c>
      <c r="AP41" s="256">
        <f t="shared" si="20"/>
        <v>0</v>
      </c>
      <c r="AQ41" s="148"/>
      <c r="AR41" s="149"/>
      <c r="AS41" s="149"/>
      <c r="AT41" s="76"/>
      <c r="AU41" s="150"/>
      <c r="AV41" s="151"/>
    </row>
    <row r="42" spans="1:48" ht="15">
      <c r="A42" s="248">
        <v>39949</v>
      </c>
      <c r="B42" s="75">
        <v>142.32</v>
      </c>
      <c r="C42" s="73">
        <v>54.77</v>
      </c>
      <c r="D42" s="80">
        <v>15.93</v>
      </c>
      <c r="E42" s="80">
        <v>15</v>
      </c>
      <c r="F42" s="80">
        <f t="shared" si="0"/>
        <v>30.93</v>
      </c>
      <c r="G42" s="80">
        <f t="shared" si="1"/>
        <v>85.7</v>
      </c>
      <c r="H42" s="81">
        <f t="shared" si="2"/>
        <v>0</v>
      </c>
      <c r="I42" s="148">
        <v>63.448700000000002</v>
      </c>
      <c r="J42" s="149">
        <v>7.7512999999999996</v>
      </c>
      <c r="K42" s="149">
        <v>15</v>
      </c>
      <c r="L42" s="76">
        <f>J42+K42</f>
        <v>22.751300000000001</v>
      </c>
      <c r="M42" s="150">
        <f t="shared" si="4"/>
        <v>86.2</v>
      </c>
      <c r="N42" s="151">
        <f t="shared" si="5"/>
        <v>0</v>
      </c>
      <c r="O42" s="176">
        <v>54.157399999999996</v>
      </c>
      <c r="P42" s="177">
        <v>-3.6574</v>
      </c>
      <c r="Q42" s="177">
        <v>16</v>
      </c>
      <c r="R42" s="177">
        <f t="shared" si="6"/>
        <v>12.342600000000001</v>
      </c>
      <c r="S42" s="178">
        <f t="shared" si="7"/>
        <v>66.5</v>
      </c>
      <c r="T42" s="179">
        <f t="shared" si="8"/>
        <v>0</v>
      </c>
      <c r="U42" s="190">
        <v>57.499600000000001</v>
      </c>
      <c r="V42" s="194">
        <v>-12.679600000000001</v>
      </c>
      <c r="W42" s="191">
        <v>16.579999999999998</v>
      </c>
      <c r="X42" s="191">
        <f t="shared" si="12"/>
        <v>3.9003999999999976</v>
      </c>
      <c r="Y42" s="192">
        <f t="shared" si="9"/>
        <v>61.4</v>
      </c>
      <c r="Z42" s="187">
        <f t="shared" si="10"/>
        <v>0</v>
      </c>
      <c r="AA42" s="176">
        <v>37.734299999999998</v>
      </c>
      <c r="AB42" s="177">
        <v>5.4657000000000009</v>
      </c>
      <c r="AC42" s="178">
        <v>43.199999999999996</v>
      </c>
      <c r="AD42" s="179">
        <f t="shared" si="11"/>
        <v>0</v>
      </c>
      <c r="AE42" s="116">
        <f>60.3492+1.885</f>
        <v>62.234200000000001</v>
      </c>
      <c r="AF42" s="20">
        <f t="shared" ref="AF42:AF81" si="22">0.2945+2.5+0.1-6.2287</f>
        <v>-3.3341999999999996</v>
      </c>
      <c r="AG42" s="235">
        <f t="shared" si="13"/>
        <v>12.5</v>
      </c>
      <c r="AH42" s="235">
        <f t="shared" si="14"/>
        <v>9.1658000000000008</v>
      </c>
      <c r="AI42" s="258">
        <f t="shared" si="15"/>
        <v>71.400000000000006</v>
      </c>
      <c r="AJ42" s="256">
        <f t="shared" si="16"/>
        <v>0</v>
      </c>
      <c r="AK42" s="240">
        <f>41.5553-14.195</f>
        <v>27.360300000000002</v>
      </c>
      <c r="AL42" s="235">
        <f t="shared" si="21"/>
        <v>-0.26080000000000003</v>
      </c>
      <c r="AM42" s="235">
        <f t="shared" si="17"/>
        <v>12.5</v>
      </c>
      <c r="AN42" s="235">
        <f t="shared" si="18"/>
        <v>12.2392</v>
      </c>
      <c r="AO42" s="257">
        <f t="shared" si="19"/>
        <v>39.599500000000006</v>
      </c>
      <c r="AP42" s="256">
        <f t="shared" si="20"/>
        <v>0</v>
      </c>
      <c r="AQ42" s="148"/>
      <c r="AR42" s="149"/>
      <c r="AS42" s="149"/>
      <c r="AT42" s="76"/>
      <c r="AU42" s="150"/>
      <c r="AV42" s="151"/>
    </row>
    <row r="43" spans="1:48" ht="15">
      <c r="A43" s="248">
        <v>39970</v>
      </c>
      <c r="B43" s="75">
        <v>144.30000000000001</v>
      </c>
      <c r="C43" s="57">
        <v>80.48</v>
      </c>
      <c r="D43" s="61">
        <f>2.78+2+6+0.05+0.1+5</f>
        <v>15.93</v>
      </c>
      <c r="E43" s="61">
        <f t="shared" ref="E43:E54" si="23">1+1.5+5.3+7.2</f>
        <v>15</v>
      </c>
      <c r="F43" s="80">
        <f t="shared" si="0"/>
        <v>30.93</v>
      </c>
      <c r="G43" s="61">
        <f t="shared" ref="G43:G75" si="24">SUM(C43:E43)</f>
        <v>111.41</v>
      </c>
      <c r="H43" s="81">
        <f t="shared" si="2"/>
        <v>0.29999999999999982</v>
      </c>
      <c r="I43" s="152">
        <v>89.308700000000002</v>
      </c>
      <c r="J43" s="103">
        <f>1.8+2.5+6+0.05+0.1+-2.6987</f>
        <v>7.7513000000000005</v>
      </c>
      <c r="K43" s="103">
        <f t="shared" ref="K43:K57" si="25">1+1.5+5.3+7.2</f>
        <v>15</v>
      </c>
      <c r="L43" s="76">
        <f t="shared" ref="L43:L106" si="26">J43+K43</f>
        <v>22.751300000000001</v>
      </c>
      <c r="M43" s="153">
        <f t="shared" ref="M43:M93" si="27">SUM(I43:K43)</f>
        <v>112.06</v>
      </c>
      <c r="N43" s="151">
        <f t="shared" si="5"/>
        <v>0.30000000000000004</v>
      </c>
      <c r="O43" s="180">
        <v>74.107399999999998</v>
      </c>
      <c r="P43" s="181">
        <f>1.0375+0.05+0.1-4.8449</f>
        <v>-3.6574</v>
      </c>
      <c r="Q43" s="181">
        <f t="shared" ref="Q43:Q59" si="28">1+1.5+6.3+7.2</f>
        <v>16</v>
      </c>
      <c r="R43" s="177">
        <f t="shared" si="6"/>
        <v>12.342600000000001</v>
      </c>
      <c r="S43" s="182">
        <f t="shared" ref="S43:S68" si="29">SUM(O43:Q43)</f>
        <v>86.45</v>
      </c>
      <c r="T43" s="179">
        <f t="shared" si="8"/>
        <v>0.30000000000000004</v>
      </c>
      <c r="U43" s="193">
        <v>75.919600000000003</v>
      </c>
      <c r="V43" s="194">
        <f t="shared" ref="V43:V81" si="30">0.7246+5-18.4042</f>
        <v>-12.679600000000001</v>
      </c>
      <c r="W43" s="194">
        <f t="shared" ref="W43:W81" si="31">6.3+6.21+3.77+0.3</f>
        <v>16.580000000000002</v>
      </c>
      <c r="X43" s="191">
        <f t="shared" si="12"/>
        <v>3.9004000000000012</v>
      </c>
      <c r="Y43" s="194">
        <f t="shared" ref="Y43:Y48" si="32">SUM(U43:W43)</f>
        <v>79.820000000000007</v>
      </c>
      <c r="Z43" s="187">
        <f t="shared" si="10"/>
        <v>0.30000000000000004</v>
      </c>
      <c r="AA43" s="250">
        <v>50.694299999999998</v>
      </c>
      <c r="AB43" s="251">
        <f t="shared" ref="AB43:AB81" si="33">3.2094+3.5+0.05+0.1-1.3937</f>
        <v>5.4657</v>
      </c>
      <c r="AC43" s="252">
        <f t="shared" ref="AC43:AC59" si="34">SUM(AA43:AB43)</f>
        <v>56.16</v>
      </c>
      <c r="AD43" s="179">
        <f>AC43/AC42-1</f>
        <v>0.30000000000000004</v>
      </c>
      <c r="AE43" s="116">
        <f t="shared" ref="AE43:AE53" si="35">68.5393+15.1149</f>
        <v>83.654200000000003</v>
      </c>
      <c r="AF43" s="20">
        <f t="shared" si="22"/>
        <v>-3.3341999999999996</v>
      </c>
      <c r="AG43" s="258">
        <f t="shared" si="13"/>
        <v>12.5</v>
      </c>
      <c r="AH43" s="259">
        <f t="shared" si="14"/>
        <v>9.1658000000000008</v>
      </c>
      <c r="AI43" s="258">
        <f t="shared" si="15"/>
        <v>92.820000000000007</v>
      </c>
      <c r="AJ43" s="260">
        <f t="shared" si="16"/>
        <v>0.30000000000000004</v>
      </c>
      <c r="AK43" s="240">
        <f t="shared" ref="AK43:AK53" si="36">59.1941-19.9533</f>
        <v>39.2408</v>
      </c>
      <c r="AL43" s="235">
        <f t="shared" si="21"/>
        <v>-0.26080000000000003</v>
      </c>
      <c r="AM43" s="235">
        <f t="shared" si="17"/>
        <v>12.5</v>
      </c>
      <c r="AN43" s="235">
        <f t="shared" si="18"/>
        <v>12.2392</v>
      </c>
      <c r="AO43" s="257">
        <f t="shared" si="19"/>
        <v>51.480000000000004</v>
      </c>
      <c r="AP43" s="256">
        <f t="shared" si="20"/>
        <v>0.30001641434866588</v>
      </c>
      <c r="AQ43" s="152"/>
      <c r="AR43" s="103"/>
      <c r="AS43" s="103"/>
      <c r="AT43" s="76"/>
      <c r="AU43" s="153"/>
      <c r="AV43" s="151"/>
    </row>
    <row r="44" spans="1:48" ht="15">
      <c r="A44" s="248">
        <v>39980</v>
      </c>
      <c r="B44" s="83">
        <v>145.60999999999999</v>
      </c>
      <c r="C44" s="57">
        <f>82.3248-1.8448</f>
        <v>80.47999999999999</v>
      </c>
      <c r="D44" s="61">
        <f>2.78+2+6+0.05+0.1+5</f>
        <v>15.93</v>
      </c>
      <c r="E44" s="61">
        <f t="shared" si="23"/>
        <v>15</v>
      </c>
      <c r="F44" s="80">
        <f t="shared" si="0"/>
        <v>30.93</v>
      </c>
      <c r="G44" s="77">
        <f t="shared" si="24"/>
        <v>111.41</v>
      </c>
      <c r="H44" s="81">
        <f t="shared" si="2"/>
        <v>0</v>
      </c>
      <c r="I44" s="152">
        <f>77.6595+11.6492</f>
        <v>89.308699999999988</v>
      </c>
      <c r="J44" s="103">
        <f>1.8+2.5+6+0.05+0.1-2.6987</f>
        <v>7.7513000000000005</v>
      </c>
      <c r="K44" s="103">
        <f t="shared" si="25"/>
        <v>15</v>
      </c>
      <c r="L44" s="76">
        <f t="shared" si="26"/>
        <v>22.751300000000001</v>
      </c>
      <c r="M44" s="153">
        <f t="shared" si="27"/>
        <v>112.05999999999999</v>
      </c>
      <c r="N44" s="151">
        <f t="shared" si="5"/>
        <v>0</v>
      </c>
      <c r="O44" s="180">
        <f>75.5605-1.4531</f>
        <v>74.107399999999998</v>
      </c>
      <c r="P44" s="181">
        <f>1.0375+0.05+0.1-4.8449</f>
        <v>-3.6574</v>
      </c>
      <c r="Q44" s="181">
        <f t="shared" si="28"/>
        <v>16</v>
      </c>
      <c r="R44" s="177">
        <f t="shared" si="6"/>
        <v>12.342600000000001</v>
      </c>
      <c r="S44" s="182">
        <f t="shared" si="29"/>
        <v>86.45</v>
      </c>
      <c r="T44" s="179">
        <f t="shared" si="8"/>
        <v>0</v>
      </c>
      <c r="U44" s="193">
        <f>86.0805-10.1609</f>
        <v>75.919600000000003</v>
      </c>
      <c r="V44" s="194">
        <f t="shared" si="30"/>
        <v>-12.679600000000001</v>
      </c>
      <c r="W44" s="194">
        <f t="shared" si="31"/>
        <v>16.580000000000002</v>
      </c>
      <c r="X44" s="191">
        <f t="shared" si="12"/>
        <v>3.9004000000000012</v>
      </c>
      <c r="Y44" s="195">
        <f t="shared" si="32"/>
        <v>79.820000000000007</v>
      </c>
      <c r="Z44" s="187">
        <f t="shared" si="10"/>
        <v>0</v>
      </c>
      <c r="AA44" s="119">
        <f>58.2472-7.5529</f>
        <v>50.694299999999998</v>
      </c>
      <c r="AB44" s="78">
        <f t="shared" si="33"/>
        <v>5.4657</v>
      </c>
      <c r="AC44" s="79">
        <f t="shared" si="34"/>
        <v>56.16</v>
      </c>
      <c r="AD44" s="43">
        <f t="shared" si="11"/>
        <v>0</v>
      </c>
      <c r="AE44" s="116">
        <f t="shared" si="35"/>
        <v>83.654200000000003</v>
      </c>
      <c r="AF44" s="20">
        <f t="shared" si="22"/>
        <v>-3.3341999999999996</v>
      </c>
      <c r="AG44" s="258">
        <f t="shared" si="13"/>
        <v>12.5</v>
      </c>
      <c r="AH44" s="259">
        <f t="shared" si="14"/>
        <v>9.1658000000000008</v>
      </c>
      <c r="AI44" s="258">
        <f t="shared" si="15"/>
        <v>92.820000000000007</v>
      </c>
      <c r="AJ44" s="260">
        <f t="shared" si="16"/>
        <v>0</v>
      </c>
      <c r="AK44" s="240">
        <f t="shared" si="36"/>
        <v>39.2408</v>
      </c>
      <c r="AL44" s="235">
        <f t="shared" si="21"/>
        <v>-0.26080000000000003</v>
      </c>
      <c r="AM44" s="235">
        <f t="shared" si="17"/>
        <v>12.5</v>
      </c>
      <c r="AN44" s="235">
        <f t="shared" si="18"/>
        <v>12.2392</v>
      </c>
      <c r="AO44" s="257">
        <f t="shared" si="19"/>
        <v>51.480000000000004</v>
      </c>
      <c r="AP44" s="256">
        <f t="shared" si="20"/>
        <v>0</v>
      </c>
      <c r="AQ44" s="152"/>
      <c r="AR44" s="103"/>
      <c r="AS44" s="103"/>
      <c r="AT44" s="76"/>
      <c r="AU44" s="153"/>
      <c r="AV44" s="151"/>
    </row>
    <row r="45" spans="1:48" ht="15">
      <c r="A45" s="248">
        <v>39995</v>
      </c>
      <c r="B45" s="83">
        <v>147.58000000000001</v>
      </c>
      <c r="C45" s="57">
        <f>84.112-3.632</f>
        <v>80.47999999999999</v>
      </c>
      <c r="D45" s="61">
        <f>2.78+2+6+0.05+0.1+5</f>
        <v>15.93</v>
      </c>
      <c r="E45" s="61">
        <f t="shared" si="23"/>
        <v>15</v>
      </c>
      <c r="F45" s="80">
        <f t="shared" si="0"/>
        <v>30.93</v>
      </c>
      <c r="G45" s="77">
        <f t="shared" si="24"/>
        <v>111.41</v>
      </c>
      <c r="H45" s="81">
        <f t="shared" si="2"/>
        <v>0</v>
      </c>
      <c r="I45" s="152">
        <f>82.311+6.9977</f>
        <v>89.308700000000002</v>
      </c>
      <c r="J45" s="103">
        <f>1.8+2.5+6+0.05+0.1-2.6987</f>
        <v>7.7513000000000005</v>
      </c>
      <c r="K45" s="103">
        <f t="shared" si="25"/>
        <v>15</v>
      </c>
      <c r="L45" s="76">
        <f t="shared" si="26"/>
        <v>22.751300000000001</v>
      </c>
      <c r="M45" s="153">
        <f t="shared" si="27"/>
        <v>112.06</v>
      </c>
      <c r="N45" s="151">
        <f t="shared" si="5"/>
        <v>0</v>
      </c>
      <c r="O45" s="180">
        <f>84.8986-10.7912</f>
        <v>74.107399999999998</v>
      </c>
      <c r="P45" s="181">
        <f>1.0375+0.05+0.1-4.8449</f>
        <v>-3.6574</v>
      </c>
      <c r="Q45" s="181">
        <f t="shared" si="28"/>
        <v>16</v>
      </c>
      <c r="R45" s="177">
        <f t="shared" si="6"/>
        <v>12.342600000000001</v>
      </c>
      <c r="S45" s="182">
        <f t="shared" si="29"/>
        <v>86.45</v>
      </c>
      <c r="T45" s="179">
        <f t="shared" si="8"/>
        <v>0</v>
      </c>
      <c r="U45" s="193">
        <f>89.6091-13.6895</f>
        <v>75.919600000000003</v>
      </c>
      <c r="V45" s="194">
        <f t="shared" si="30"/>
        <v>-12.679600000000001</v>
      </c>
      <c r="W45" s="194">
        <f t="shared" si="31"/>
        <v>16.580000000000002</v>
      </c>
      <c r="X45" s="191">
        <f t="shared" si="12"/>
        <v>3.9004000000000012</v>
      </c>
      <c r="Y45" s="195">
        <f t="shared" si="32"/>
        <v>79.820000000000007</v>
      </c>
      <c r="Z45" s="187">
        <f t="shared" si="10"/>
        <v>0</v>
      </c>
      <c r="AA45" s="119">
        <f>59.0908-8.3965</f>
        <v>50.694299999999998</v>
      </c>
      <c r="AB45" s="78">
        <f t="shared" si="33"/>
        <v>5.4657</v>
      </c>
      <c r="AC45" s="79">
        <f t="shared" si="34"/>
        <v>56.16</v>
      </c>
      <c r="AD45" s="43">
        <f t="shared" si="11"/>
        <v>0</v>
      </c>
      <c r="AE45" s="116">
        <f t="shared" si="35"/>
        <v>83.654200000000003</v>
      </c>
      <c r="AF45" s="20">
        <f t="shared" si="22"/>
        <v>-3.3341999999999996</v>
      </c>
      <c r="AG45" s="258">
        <f t="shared" si="13"/>
        <v>12.5</v>
      </c>
      <c r="AH45" s="259">
        <f t="shared" si="14"/>
        <v>9.1658000000000008</v>
      </c>
      <c r="AI45" s="258">
        <f t="shared" si="15"/>
        <v>92.820000000000007</v>
      </c>
      <c r="AJ45" s="260">
        <f t="shared" si="16"/>
        <v>0</v>
      </c>
      <c r="AK45" s="240">
        <f t="shared" si="36"/>
        <v>39.2408</v>
      </c>
      <c r="AL45" s="235">
        <f t="shared" si="21"/>
        <v>-0.26080000000000003</v>
      </c>
      <c r="AM45" s="235">
        <f t="shared" si="17"/>
        <v>12.5</v>
      </c>
      <c r="AN45" s="235">
        <f t="shared" si="18"/>
        <v>12.2392</v>
      </c>
      <c r="AO45" s="257">
        <f t="shared" si="19"/>
        <v>51.480000000000004</v>
      </c>
      <c r="AP45" s="256">
        <f t="shared" si="20"/>
        <v>0</v>
      </c>
      <c r="AQ45" s="152"/>
      <c r="AR45" s="103"/>
      <c r="AS45" s="103"/>
      <c r="AT45" s="76"/>
      <c r="AU45" s="153"/>
      <c r="AV45" s="151"/>
    </row>
    <row r="46" spans="1:48" ht="15">
      <c r="A46" s="248">
        <v>40010</v>
      </c>
      <c r="B46" s="83">
        <v>148.9</v>
      </c>
      <c r="C46" s="57">
        <v>80.48</v>
      </c>
      <c r="D46" s="61">
        <f>2.78+2+6+0.05+0.1+5</f>
        <v>15.93</v>
      </c>
      <c r="E46" s="61">
        <f t="shared" si="23"/>
        <v>15</v>
      </c>
      <c r="F46" s="80">
        <f t="shared" si="0"/>
        <v>30.93</v>
      </c>
      <c r="G46" s="77">
        <f t="shared" si="24"/>
        <v>111.41</v>
      </c>
      <c r="H46" s="81">
        <f t="shared" si="2"/>
        <v>0</v>
      </c>
      <c r="I46" s="152">
        <v>89.308700000000002</v>
      </c>
      <c r="J46" s="103">
        <f>1.8+2.5+6+0.05+0.1+-2.6987</f>
        <v>7.7513000000000005</v>
      </c>
      <c r="K46" s="103">
        <f t="shared" si="25"/>
        <v>15</v>
      </c>
      <c r="L46" s="76">
        <f t="shared" si="26"/>
        <v>22.751300000000001</v>
      </c>
      <c r="M46" s="153">
        <f t="shared" si="27"/>
        <v>112.06</v>
      </c>
      <c r="N46" s="151">
        <f t="shared" si="5"/>
        <v>0</v>
      </c>
      <c r="O46" s="57">
        <v>74.107399999999998</v>
      </c>
      <c r="P46" s="61">
        <f>1.0375+0.05+0.1-4.8449</f>
        <v>-3.6574</v>
      </c>
      <c r="Q46" s="61">
        <f t="shared" si="28"/>
        <v>16</v>
      </c>
      <c r="R46" s="177">
        <f t="shared" si="6"/>
        <v>12.342600000000001</v>
      </c>
      <c r="S46" s="77">
        <f t="shared" si="29"/>
        <v>86.45</v>
      </c>
      <c r="T46" s="43">
        <f t="shared" si="8"/>
        <v>0</v>
      </c>
      <c r="U46" s="193">
        <v>75.919600000000003</v>
      </c>
      <c r="V46" s="194">
        <f t="shared" si="30"/>
        <v>-12.679600000000001</v>
      </c>
      <c r="W46" s="194">
        <f t="shared" si="31"/>
        <v>16.580000000000002</v>
      </c>
      <c r="X46" s="191">
        <f t="shared" si="12"/>
        <v>3.9004000000000012</v>
      </c>
      <c r="Y46" s="195">
        <f t="shared" si="32"/>
        <v>79.820000000000007</v>
      </c>
      <c r="Z46" s="187">
        <f t="shared" si="10"/>
        <v>0</v>
      </c>
      <c r="AA46" s="119">
        <v>58.494300000000003</v>
      </c>
      <c r="AB46" s="78">
        <f t="shared" si="33"/>
        <v>5.4657</v>
      </c>
      <c r="AC46" s="79">
        <f t="shared" si="34"/>
        <v>63.96</v>
      </c>
      <c r="AD46" s="43">
        <f t="shared" si="11"/>
        <v>0.13888888888888906</v>
      </c>
      <c r="AE46" s="116">
        <f t="shared" si="35"/>
        <v>83.654200000000003</v>
      </c>
      <c r="AF46" s="20">
        <f t="shared" si="22"/>
        <v>-3.3341999999999996</v>
      </c>
      <c r="AG46" s="258">
        <f t="shared" si="13"/>
        <v>12.5</v>
      </c>
      <c r="AH46" s="259">
        <f t="shared" si="14"/>
        <v>9.1658000000000008</v>
      </c>
      <c r="AI46" s="258">
        <f t="shared" si="15"/>
        <v>92.820000000000007</v>
      </c>
      <c r="AJ46" s="260">
        <f t="shared" si="16"/>
        <v>0</v>
      </c>
      <c r="AK46" s="240">
        <f t="shared" si="36"/>
        <v>39.2408</v>
      </c>
      <c r="AL46" s="235">
        <f t="shared" si="21"/>
        <v>-0.26080000000000003</v>
      </c>
      <c r="AM46" s="235">
        <f t="shared" si="17"/>
        <v>12.5</v>
      </c>
      <c r="AN46" s="235">
        <f t="shared" si="18"/>
        <v>12.2392</v>
      </c>
      <c r="AO46" s="257">
        <f t="shared" si="19"/>
        <v>51.480000000000004</v>
      </c>
      <c r="AP46" s="256">
        <f t="shared" si="20"/>
        <v>0</v>
      </c>
      <c r="AQ46" s="152"/>
      <c r="AR46" s="103"/>
      <c r="AS46" s="103"/>
      <c r="AT46" s="76"/>
      <c r="AU46" s="153"/>
      <c r="AV46" s="151"/>
    </row>
    <row r="47" spans="1:48" ht="15">
      <c r="A47" s="248">
        <v>40026</v>
      </c>
      <c r="B47" s="83">
        <v>149.36000000000001</v>
      </c>
      <c r="C47" s="57">
        <f>78.7326+1.7474</f>
        <v>80.48</v>
      </c>
      <c r="D47" s="61">
        <f>2.78+2+6+0.05+0.1+0+5</f>
        <v>15.93</v>
      </c>
      <c r="E47" s="61">
        <f t="shared" si="23"/>
        <v>15</v>
      </c>
      <c r="F47" s="80">
        <f t="shared" si="0"/>
        <v>30.93</v>
      </c>
      <c r="G47" s="77">
        <f t="shared" si="24"/>
        <v>111.41</v>
      </c>
      <c r="H47" s="81">
        <f t="shared" si="2"/>
        <v>0</v>
      </c>
      <c r="I47" s="154">
        <f>78.8855+10.4232</f>
        <v>89.308699999999988</v>
      </c>
      <c r="J47" s="102">
        <f t="shared" ref="J47:J53" si="37">1.8+2.5+6+0.05+0.1-2.6987</f>
        <v>7.7513000000000005</v>
      </c>
      <c r="K47" s="102">
        <f t="shared" si="25"/>
        <v>15</v>
      </c>
      <c r="L47" s="76">
        <f t="shared" si="26"/>
        <v>22.751300000000001</v>
      </c>
      <c r="M47" s="155">
        <f t="shared" si="27"/>
        <v>112.05999999999999</v>
      </c>
      <c r="N47" s="151">
        <f t="shared" si="5"/>
        <v>0</v>
      </c>
      <c r="O47" s="119">
        <f>79.768-5.6606</f>
        <v>74.107399999999998</v>
      </c>
      <c r="P47" s="78">
        <f t="shared" ref="P47:P66" si="38">1.0375+0+0.05+0.1-4.8449</f>
        <v>-3.6574</v>
      </c>
      <c r="Q47" s="78">
        <f t="shared" si="28"/>
        <v>16</v>
      </c>
      <c r="R47" s="177">
        <f t="shared" si="6"/>
        <v>12.342600000000001</v>
      </c>
      <c r="S47" s="77">
        <f t="shared" si="29"/>
        <v>86.45</v>
      </c>
      <c r="T47" s="43">
        <f t="shared" si="8"/>
        <v>0</v>
      </c>
      <c r="U47" s="193">
        <f t="shared" ref="U47:U53" si="39">87.2827-11.3631</f>
        <v>75.919600000000003</v>
      </c>
      <c r="V47" s="194">
        <f t="shared" si="30"/>
        <v>-12.679600000000001</v>
      </c>
      <c r="W47" s="194">
        <f t="shared" si="31"/>
        <v>16.580000000000002</v>
      </c>
      <c r="X47" s="191">
        <f t="shared" si="12"/>
        <v>3.9004000000000012</v>
      </c>
      <c r="Y47" s="196">
        <f t="shared" si="32"/>
        <v>79.820000000000007</v>
      </c>
      <c r="Z47" s="187">
        <f t="shared" si="10"/>
        <v>0</v>
      </c>
      <c r="AA47" s="119">
        <f t="shared" ref="AA47:AA53" si="40">67.3183-8.824</f>
        <v>58.494299999999996</v>
      </c>
      <c r="AB47" s="78">
        <f t="shared" si="33"/>
        <v>5.4657</v>
      </c>
      <c r="AC47" s="79">
        <f t="shared" si="34"/>
        <v>63.959999999999994</v>
      </c>
      <c r="AD47" s="43">
        <f t="shared" si="11"/>
        <v>0</v>
      </c>
      <c r="AE47" s="116">
        <f t="shared" si="35"/>
        <v>83.654200000000003</v>
      </c>
      <c r="AF47" s="20">
        <f t="shared" si="22"/>
        <v>-3.3341999999999996</v>
      </c>
      <c r="AG47" s="258">
        <f t="shared" si="13"/>
        <v>12.5</v>
      </c>
      <c r="AH47" s="259">
        <f t="shared" si="14"/>
        <v>9.1658000000000008</v>
      </c>
      <c r="AI47" s="258">
        <f t="shared" si="15"/>
        <v>92.820000000000007</v>
      </c>
      <c r="AJ47" s="260">
        <f t="shared" si="16"/>
        <v>0</v>
      </c>
      <c r="AK47" s="240">
        <f t="shared" si="36"/>
        <v>39.2408</v>
      </c>
      <c r="AL47" s="235">
        <f t="shared" si="21"/>
        <v>-0.26080000000000003</v>
      </c>
      <c r="AM47" s="235">
        <f t="shared" si="17"/>
        <v>12.5</v>
      </c>
      <c r="AN47" s="235">
        <f t="shared" si="18"/>
        <v>12.2392</v>
      </c>
      <c r="AO47" s="257">
        <f t="shared" si="19"/>
        <v>51.480000000000004</v>
      </c>
      <c r="AP47" s="256">
        <f t="shared" si="20"/>
        <v>0</v>
      </c>
      <c r="AQ47" s="154"/>
      <c r="AR47" s="102"/>
      <c r="AS47" s="102"/>
      <c r="AT47" s="76"/>
      <c r="AU47" s="155"/>
      <c r="AV47" s="151"/>
    </row>
    <row r="48" spans="1:48" ht="15">
      <c r="A48" s="248">
        <v>40041</v>
      </c>
      <c r="B48" s="83">
        <v>149.30000000000001</v>
      </c>
      <c r="C48" s="57">
        <f>87.9988-7.5188</f>
        <v>80.48</v>
      </c>
      <c r="D48" s="61">
        <f>2.78+2+6+0.05+0.1+0+5</f>
        <v>15.93</v>
      </c>
      <c r="E48" s="61">
        <f t="shared" si="23"/>
        <v>15</v>
      </c>
      <c r="F48" s="80">
        <f t="shared" si="0"/>
        <v>30.93</v>
      </c>
      <c r="G48" s="77">
        <f t="shared" si="24"/>
        <v>111.41</v>
      </c>
      <c r="H48" s="81">
        <f t="shared" si="2"/>
        <v>0</v>
      </c>
      <c r="I48" s="154">
        <f>78.8855+10.4232</f>
        <v>89.308699999999988</v>
      </c>
      <c r="J48" s="102">
        <f t="shared" si="37"/>
        <v>7.7513000000000005</v>
      </c>
      <c r="K48" s="102">
        <f t="shared" si="25"/>
        <v>15</v>
      </c>
      <c r="L48" s="76">
        <f t="shared" si="26"/>
        <v>22.751300000000001</v>
      </c>
      <c r="M48" s="155">
        <f t="shared" si="27"/>
        <v>112.05999999999999</v>
      </c>
      <c r="N48" s="151">
        <f t="shared" si="5"/>
        <v>0</v>
      </c>
      <c r="O48" s="119">
        <f>79.768-5.6606</f>
        <v>74.107399999999998</v>
      </c>
      <c r="P48" s="78">
        <f t="shared" si="38"/>
        <v>-3.6574</v>
      </c>
      <c r="Q48" s="78">
        <f t="shared" si="28"/>
        <v>16</v>
      </c>
      <c r="R48" s="177">
        <f t="shared" si="6"/>
        <v>12.342600000000001</v>
      </c>
      <c r="S48" s="77">
        <f t="shared" si="29"/>
        <v>86.45</v>
      </c>
      <c r="T48" s="43">
        <f t="shared" si="8"/>
        <v>0</v>
      </c>
      <c r="U48" s="193">
        <f t="shared" si="39"/>
        <v>75.919600000000003</v>
      </c>
      <c r="V48" s="194">
        <f t="shared" si="30"/>
        <v>-12.679600000000001</v>
      </c>
      <c r="W48" s="194">
        <f t="shared" si="31"/>
        <v>16.580000000000002</v>
      </c>
      <c r="X48" s="191">
        <f t="shared" si="12"/>
        <v>3.9004000000000012</v>
      </c>
      <c r="Y48" s="196">
        <f t="shared" si="32"/>
        <v>79.820000000000007</v>
      </c>
      <c r="Z48" s="187">
        <f t="shared" si="10"/>
        <v>0</v>
      </c>
      <c r="AA48" s="119">
        <f t="shared" si="40"/>
        <v>58.494299999999996</v>
      </c>
      <c r="AB48" s="78">
        <f t="shared" si="33"/>
        <v>5.4657</v>
      </c>
      <c r="AC48" s="79">
        <f t="shared" si="34"/>
        <v>63.959999999999994</v>
      </c>
      <c r="AD48" s="43">
        <f t="shared" si="11"/>
        <v>0</v>
      </c>
      <c r="AE48" s="116">
        <f t="shared" si="35"/>
        <v>83.654200000000003</v>
      </c>
      <c r="AF48" s="20">
        <f t="shared" si="22"/>
        <v>-3.3341999999999996</v>
      </c>
      <c r="AG48" s="258">
        <f t="shared" si="13"/>
        <v>12.5</v>
      </c>
      <c r="AH48" s="259">
        <f t="shared" si="14"/>
        <v>9.1658000000000008</v>
      </c>
      <c r="AI48" s="258">
        <f t="shared" si="15"/>
        <v>92.820000000000007</v>
      </c>
      <c r="AJ48" s="260">
        <f t="shared" si="16"/>
        <v>0</v>
      </c>
      <c r="AK48" s="240">
        <f t="shared" si="36"/>
        <v>39.2408</v>
      </c>
      <c r="AL48" s="235">
        <f t="shared" si="21"/>
        <v>-0.26080000000000003</v>
      </c>
      <c r="AM48" s="235">
        <f t="shared" si="17"/>
        <v>12.5</v>
      </c>
      <c r="AN48" s="235">
        <f t="shared" si="18"/>
        <v>12.2392</v>
      </c>
      <c r="AO48" s="257">
        <f t="shared" si="19"/>
        <v>51.480000000000004</v>
      </c>
      <c r="AP48" s="256">
        <f t="shared" si="20"/>
        <v>0</v>
      </c>
      <c r="AQ48" s="154"/>
      <c r="AR48" s="102"/>
      <c r="AS48" s="102"/>
      <c r="AT48" s="76"/>
      <c r="AU48" s="155"/>
      <c r="AV48" s="151"/>
    </row>
    <row r="49" spans="1:48" ht="15">
      <c r="A49" s="248">
        <v>40057</v>
      </c>
      <c r="B49" s="83">
        <v>147.82999999999998</v>
      </c>
      <c r="C49" s="57">
        <f>85.0571-4.5771</f>
        <v>80.48</v>
      </c>
      <c r="D49" s="61">
        <f t="shared" ref="D49:D54" si="41">2.78+2+6+0.05+0.1+5</f>
        <v>15.93</v>
      </c>
      <c r="E49" s="61">
        <f t="shared" si="23"/>
        <v>15</v>
      </c>
      <c r="F49" s="80">
        <f t="shared" si="0"/>
        <v>30.93</v>
      </c>
      <c r="G49" s="77">
        <f t="shared" si="24"/>
        <v>111.41</v>
      </c>
      <c r="H49" s="81">
        <f t="shared" si="2"/>
        <v>0</v>
      </c>
      <c r="I49" s="152">
        <f>85.8409+3.4678</f>
        <v>89.308700000000002</v>
      </c>
      <c r="J49" s="103">
        <f t="shared" si="37"/>
        <v>7.7513000000000005</v>
      </c>
      <c r="K49" s="103">
        <f t="shared" si="25"/>
        <v>15</v>
      </c>
      <c r="L49" s="76">
        <f t="shared" si="26"/>
        <v>22.751300000000001</v>
      </c>
      <c r="M49" s="153">
        <f t="shared" si="27"/>
        <v>112.06</v>
      </c>
      <c r="N49" s="151">
        <f t="shared" si="5"/>
        <v>0</v>
      </c>
      <c r="O49" s="57">
        <f>85.6963-11.5889</f>
        <v>74.107399999999998</v>
      </c>
      <c r="P49" s="78">
        <f t="shared" si="38"/>
        <v>-3.6574</v>
      </c>
      <c r="Q49" s="78">
        <f t="shared" si="28"/>
        <v>16</v>
      </c>
      <c r="R49" s="177">
        <f t="shared" si="6"/>
        <v>12.342600000000001</v>
      </c>
      <c r="S49" s="77">
        <f t="shared" si="29"/>
        <v>86.45</v>
      </c>
      <c r="T49" s="43">
        <f t="shared" si="8"/>
        <v>0</v>
      </c>
      <c r="U49" s="193">
        <f t="shared" si="39"/>
        <v>75.919600000000003</v>
      </c>
      <c r="V49" s="194">
        <f t="shared" si="30"/>
        <v>-12.679600000000001</v>
      </c>
      <c r="W49" s="194">
        <f t="shared" si="31"/>
        <v>16.580000000000002</v>
      </c>
      <c r="X49" s="191">
        <f t="shared" si="12"/>
        <v>3.9004000000000012</v>
      </c>
      <c r="Y49" s="196">
        <f t="shared" ref="Y49:Y85" si="42">SUM(U49:W49)</f>
        <v>79.820000000000007</v>
      </c>
      <c r="Z49" s="187">
        <f t="shared" si="10"/>
        <v>0</v>
      </c>
      <c r="AA49" s="119">
        <f t="shared" si="40"/>
        <v>58.494299999999996</v>
      </c>
      <c r="AB49" s="78">
        <f t="shared" si="33"/>
        <v>5.4657</v>
      </c>
      <c r="AC49" s="79">
        <f t="shared" si="34"/>
        <v>63.959999999999994</v>
      </c>
      <c r="AD49" s="43">
        <f t="shared" si="11"/>
        <v>0</v>
      </c>
      <c r="AE49" s="116">
        <f t="shared" si="35"/>
        <v>83.654200000000003</v>
      </c>
      <c r="AF49" s="20">
        <f t="shared" si="22"/>
        <v>-3.3341999999999996</v>
      </c>
      <c r="AG49" s="258">
        <f t="shared" si="13"/>
        <v>12.5</v>
      </c>
      <c r="AH49" s="259">
        <f t="shared" si="14"/>
        <v>9.1658000000000008</v>
      </c>
      <c r="AI49" s="258">
        <f t="shared" si="15"/>
        <v>92.820000000000007</v>
      </c>
      <c r="AJ49" s="260">
        <f t="shared" si="16"/>
        <v>0</v>
      </c>
      <c r="AK49" s="240">
        <f t="shared" si="36"/>
        <v>39.2408</v>
      </c>
      <c r="AL49" s="235">
        <f t="shared" si="21"/>
        <v>-0.26080000000000003</v>
      </c>
      <c r="AM49" s="235">
        <f t="shared" si="17"/>
        <v>12.5</v>
      </c>
      <c r="AN49" s="235">
        <f t="shared" si="18"/>
        <v>12.2392</v>
      </c>
      <c r="AO49" s="257">
        <f t="shared" si="19"/>
        <v>51.480000000000004</v>
      </c>
      <c r="AP49" s="256">
        <f t="shared" si="20"/>
        <v>0</v>
      </c>
      <c r="AQ49" s="152"/>
      <c r="AR49" s="103"/>
      <c r="AS49" s="103"/>
      <c r="AT49" s="76"/>
      <c r="AU49" s="153"/>
      <c r="AV49" s="151"/>
    </row>
    <row r="50" spans="1:48" ht="15">
      <c r="A50" s="248">
        <v>40061</v>
      </c>
      <c r="B50" s="83">
        <v>147.70000000000002</v>
      </c>
      <c r="C50" s="57">
        <f>85.0571-4.5771</f>
        <v>80.48</v>
      </c>
      <c r="D50" s="61">
        <f t="shared" si="41"/>
        <v>15.93</v>
      </c>
      <c r="E50" s="61">
        <f t="shared" si="23"/>
        <v>15</v>
      </c>
      <c r="F50" s="80">
        <f t="shared" si="0"/>
        <v>30.93</v>
      </c>
      <c r="G50" s="77">
        <f t="shared" si="24"/>
        <v>111.41</v>
      </c>
      <c r="H50" s="81">
        <f t="shared" si="2"/>
        <v>0</v>
      </c>
      <c r="I50" s="152">
        <f>85.8409+3.4678</f>
        <v>89.308700000000002</v>
      </c>
      <c r="J50" s="103">
        <f t="shared" si="37"/>
        <v>7.7513000000000005</v>
      </c>
      <c r="K50" s="103">
        <f t="shared" si="25"/>
        <v>15</v>
      </c>
      <c r="L50" s="76">
        <f t="shared" si="26"/>
        <v>22.751300000000001</v>
      </c>
      <c r="M50" s="153">
        <f t="shared" si="27"/>
        <v>112.06</v>
      </c>
      <c r="N50" s="151">
        <f t="shared" si="5"/>
        <v>0</v>
      </c>
      <c r="O50" s="57">
        <f>85.6963-11.5889</f>
        <v>74.107399999999998</v>
      </c>
      <c r="P50" s="78">
        <f t="shared" si="38"/>
        <v>-3.6574</v>
      </c>
      <c r="Q50" s="78">
        <f t="shared" si="28"/>
        <v>16</v>
      </c>
      <c r="R50" s="177">
        <f t="shared" si="6"/>
        <v>12.342600000000001</v>
      </c>
      <c r="S50" s="77">
        <f t="shared" si="29"/>
        <v>86.45</v>
      </c>
      <c r="T50" s="43">
        <f t="shared" si="8"/>
        <v>0</v>
      </c>
      <c r="U50" s="193">
        <f t="shared" si="39"/>
        <v>75.919600000000003</v>
      </c>
      <c r="V50" s="194">
        <f t="shared" si="30"/>
        <v>-12.679600000000001</v>
      </c>
      <c r="W50" s="194">
        <f t="shared" si="31"/>
        <v>16.580000000000002</v>
      </c>
      <c r="X50" s="191">
        <f t="shared" si="12"/>
        <v>3.9004000000000012</v>
      </c>
      <c r="Y50" s="196">
        <f t="shared" si="42"/>
        <v>79.820000000000007</v>
      </c>
      <c r="Z50" s="187">
        <f t="shared" si="10"/>
        <v>0</v>
      </c>
      <c r="AA50" s="119">
        <f t="shared" si="40"/>
        <v>58.494299999999996</v>
      </c>
      <c r="AB50" s="78">
        <f t="shared" si="33"/>
        <v>5.4657</v>
      </c>
      <c r="AC50" s="79">
        <f t="shared" si="34"/>
        <v>63.959999999999994</v>
      </c>
      <c r="AD50" s="43">
        <f t="shared" si="11"/>
        <v>0</v>
      </c>
      <c r="AE50" s="116">
        <f t="shared" si="35"/>
        <v>83.654200000000003</v>
      </c>
      <c r="AF50" s="20">
        <f t="shared" si="22"/>
        <v>-3.3341999999999996</v>
      </c>
      <c r="AG50" s="258">
        <f t="shared" si="13"/>
        <v>12.5</v>
      </c>
      <c r="AH50" s="259">
        <f t="shared" si="14"/>
        <v>9.1658000000000008</v>
      </c>
      <c r="AI50" s="258">
        <f t="shared" si="15"/>
        <v>92.820000000000007</v>
      </c>
      <c r="AJ50" s="260">
        <f t="shared" si="16"/>
        <v>0</v>
      </c>
      <c r="AK50" s="240">
        <f t="shared" si="36"/>
        <v>39.2408</v>
      </c>
      <c r="AL50" s="235">
        <f t="shared" si="21"/>
        <v>-0.26080000000000003</v>
      </c>
      <c r="AM50" s="235">
        <f t="shared" si="17"/>
        <v>12.5</v>
      </c>
      <c r="AN50" s="235">
        <f t="shared" si="18"/>
        <v>12.2392</v>
      </c>
      <c r="AO50" s="257">
        <f t="shared" si="19"/>
        <v>51.480000000000004</v>
      </c>
      <c r="AP50" s="256">
        <f t="shared" si="20"/>
        <v>0</v>
      </c>
      <c r="AQ50" s="152"/>
      <c r="AR50" s="103"/>
      <c r="AS50" s="103"/>
      <c r="AT50" s="76"/>
      <c r="AU50" s="153"/>
      <c r="AV50" s="151"/>
    </row>
    <row r="51" spans="1:48" ht="15">
      <c r="A51" s="248">
        <v>40072</v>
      </c>
      <c r="B51" s="83">
        <v>146.73000000000002</v>
      </c>
      <c r="C51" s="57">
        <f>80.4053+0.0747</f>
        <v>80.48</v>
      </c>
      <c r="D51" s="61">
        <f t="shared" si="41"/>
        <v>15.93</v>
      </c>
      <c r="E51" s="61">
        <f t="shared" si="23"/>
        <v>15</v>
      </c>
      <c r="F51" s="80">
        <f t="shared" si="0"/>
        <v>30.93</v>
      </c>
      <c r="G51" s="77">
        <f t="shared" si="24"/>
        <v>111.41</v>
      </c>
      <c r="H51" s="81">
        <f t="shared" si="2"/>
        <v>0</v>
      </c>
      <c r="I51" s="152">
        <f>85.8409+3.4678</f>
        <v>89.308700000000002</v>
      </c>
      <c r="J51" s="103">
        <f t="shared" si="37"/>
        <v>7.7513000000000005</v>
      </c>
      <c r="K51" s="103">
        <f t="shared" si="25"/>
        <v>15</v>
      </c>
      <c r="L51" s="76">
        <f t="shared" si="26"/>
        <v>22.751300000000001</v>
      </c>
      <c r="M51" s="153">
        <f t="shared" si="27"/>
        <v>112.06</v>
      </c>
      <c r="N51" s="151">
        <f t="shared" si="5"/>
        <v>0</v>
      </c>
      <c r="O51" s="57">
        <f>85.6963-11.5889</f>
        <v>74.107399999999998</v>
      </c>
      <c r="P51" s="78">
        <f t="shared" si="38"/>
        <v>-3.6574</v>
      </c>
      <c r="Q51" s="78">
        <f t="shared" si="28"/>
        <v>16</v>
      </c>
      <c r="R51" s="177">
        <f t="shared" si="6"/>
        <v>12.342600000000001</v>
      </c>
      <c r="S51" s="77">
        <f t="shared" si="29"/>
        <v>86.45</v>
      </c>
      <c r="T51" s="43">
        <f t="shared" si="8"/>
        <v>0</v>
      </c>
      <c r="U51" s="193">
        <f t="shared" si="39"/>
        <v>75.919600000000003</v>
      </c>
      <c r="V51" s="194">
        <f t="shared" si="30"/>
        <v>-12.679600000000001</v>
      </c>
      <c r="W51" s="194">
        <f t="shared" si="31"/>
        <v>16.580000000000002</v>
      </c>
      <c r="X51" s="191">
        <f t="shared" si="12"/>
        <v>3.9004000000000012</v>
      </c>
      <c r="Y51" s="196">
        <f t="shared" si="42"/>
        <v>79.820000000000007</v>
      </c>
      <c r="Z51" s="187">
        <f t="shared" si="10"/>
        <v>0</v>
      </c>
      <c r="AA51" s="119">
        <f t="shared" si="40"/>
        <v>58.494299999999996</v>
      </c>
      <c r="AB51" s="78">
        <f t="shared" si="33"/>
        <v>5.4657</v>
      </c>
      <c r="AC51" s="79">
        <f t="shared" si="34"/>
        <v>63.959999999999994</v>
      </c>
      <c r="AD51" s="43">
        <f t="shared" si="11"/>
        <v>0</v>
      </c>
      <c r="AE51" s="116">
        <f t="shared" si="35"/>
        <v>83.654200000000003</v>
      </c>
      <c r="AF51" s="20">
        <f t="shared" si="22"/>
        <v>-3.3341999999999996</v>
      </c>
      <c r="AG51" s="258">
        <f t="shared" si="13"/>
        <v>12.5</v>
      </c>
      <c r="AH51" s="259">
        <f t="shared" si="14"/>
        <v>9.1658000000000008</v>
      </c>
      <c r="AI51" s="258">
        <f t="shared" si="15"/>
        <v>92.820000000000007</v>
      </c>
      <c r="AJ51" s="260">
        <f t="shared" si="16"/>
        <v>0</v>
      </c>
      <c r="AK51" s="240">
        <f t="shared" si="36"/>
        <v>39.2408</v>
      </c>
      <c r="AL51" s="235">
        <f t="shared" si="21"/>
        <v>-0.26080000000000003</v>
      </c>
      <c r="AM51" s="235">
        <f t="shared" si="17"/>
        <v>12.5</v>
      </c>
      <c r="AN51" s="235">
        <f t="shared" si="18"/>
        <v>12.2392</v>
      </c>
      <c r="AO51" s="257">
        <f t="shared" si="19"/>
        <v>51.480000000000004</v>
      </c>
      <c r="AP51" s="256">
        <f t="shared" si="20"/>
        <v>0</v>
      </c>
      <c r="AQ51" s="152"/>
      <c r="AR51" s="103"/>
      <c r="AS51" s="103"/>
      <c r="AT51" s="76"/>
      <c r="AU51" s="153"/>
      <c r="AV51" s="151"/>
    </row>
    <row r="52" spans="1:48" ht="15">
      <c r="A52" s="248">
        <v>40087</v>
      </c>
      <c r="B52" s="83">
        <v>146.1</v>
      </c>
      <c r="C52" s="57">
        <f>80.4053+0.0747</f>
        <v>80.48</v>
      </c>
      <c r="D52" s="61">
        <f t="shared" si="41"/>
        <v>15.93</v>
      </c>
      <c r="E52" s="61">
        <f t="shared" si="23"/>
        <v>15</v>
      </c>
      <c r="F52" s="80">
        <f t="shared" si="0"/>
        <v>30.93</v>
      </c>
      <c r="G52" s="77">
        <f t="shared" si="24"/>
        <v>111.41</v>
      </c>
      <c r="H52" s="81">
        <f t="shared" si="2"/>
        <v>0</v>
      </c>
      <c r="I52" s="152">
        <f>85.8409+3.4678</f>
        <v>89.308700000000002</v>
      </c>
      <c r="J52" s="103">
        <f t="shared" si="37"/>
        <v>7.7513000000000005</v>
      </c>
      <c r="K52" s="103">
        <f t="shared" si="25"/>
        <v>15</v>
      </c>
      <c r="L52" s="76">
        <f t="shared" si="26"/>
        <v>22.751300000000001</v>
      </c>
      <c r="M52" s="153">
        <f t="shared" si="27"/>
        <v>112.06</v>
      </c>
      <c r="N52" s="151">
        <f t="shared" si="5"/>
        <v>0</v>
      </c>
      <c r="O52" s="57">
        <f>85.6963-11.5889</f>
        <v>74.107399999999998</v>
      </c>
      <c r="P52" s="78">
        <f t="shared" si="38"/>
        <v>-3.6574</v>
      </c>
      <c r="Q52" s="78">
        <f t="shared" si="28"/>
        <v>16</v>
      </c>
      <c r="R52" s="177">
        <f t="shared" si="6"/>
        <v>12.342600000000001</v>
      </c>
      <c r="S52" s="77">
        <f t="shared" si="29"/>
        <v>86.45</v>
      </c>
      <c r="T52" s="43">
        <f t="shared" si="8"/>
        <v>0</v>
      </c>
      <c r="U52" s="193">
        <f t="shared" si="39"/>
        <v>75.919600000000003</v>
      </c>
      <c r="V52" s="194">
        <f t="shared" si="30"/>
        <v>-12.679600000000001</v>
      </c>
      <c r="W52" s="194">
        <f t="shared" si="31"/>
        <v>16.580000000000002</v>
      </c>
      <c r="X52" s="191">
        <f t="shared" si="12"/>
        <v>3.9004000000000012</v>
      </c>
      <c r="Y52" s="196">
        <f t="shared" si="42"/>
        <v>79.820000000000007</v>
      </c>
      <c r="Z52" s="187">
        <f t="shared" si="10"/>
        <v>0</v>
      </c>
      <c r="AA52" s="119">
        <f t="shared" si="40"/>
        <v>58.494299999999996</v>
      </c>
      <c r="AB52" s="78">
        <f t="shared" si="33"/>
        <v>5.4657</v>
      </c>
      <c r="AC52" s="79">
        <f t="shared" si="34"/>
        <v>63.959999999999994</v>
      </c>
      <c r="AD52" s="43">
        <f t="shared" si="11"/>
        <v>0</v>
      </c>
      <c r="AE52" s="116">
        <f t="shared" si="35"/>
        <v>83.654200000000003</v>
      </c>
      <c r="AF52" s="20">
        <f t="shared" si="22"/>
        <v>-3.3341999999999996</v>
      </c>
      <c r="AG52" s="258">
        <f t="shared" si="13"/>
        <v>12.5</v>
      </c>
      <c r="AH52" s="259">
        <f t="shared" si="14"/>
        <v>9.1658000000000008</v>
      </c>
      <c r="AI52" s="258">
        <f t="shared" si="15"/>
        <v>92.820000000000007</v>
      </c>
      <c r="AJ52" s="260">
        <f t="shared" si="16"/>
        <v>0</v>
      </c>
      <c r="AK52" s="240">
        <f t="shared" si="36"/>
        <v>39.2408</v>
      </c>
      <c r="AL52" s="235">
        <f t="shared" si="21"/>
        <v>-0.26080000000000003</v>
      </c>
      <c r="AM52" s="235">
        <f t="shared" si="17"/>
        <v>12.5</v>
      </c>
      <c r="AN52" s="235">
        <f t="shared" si="18"/>
        <v>12.2392</v>
      </c>
      <c r="AO52" s="257">
        <f t="shared" si="19"/>
        <v>51.480000000000004</v>
      </c>
      <c r="AP52" s="256">
        <f t="shared" si="20"/>
        <v>0</v>
      </c>
      <c r="AQ52" s="152"/>
      <c r="AR52" s="103"/>
      <c r="AS52" s="103"/>
      <c r="AT52" s="76"/>
      <c r="AU52" s="153"/>
      <c r="AV52" s="151"/>
    </row>
    <row r="53" spans="1:48" ht="15">
      <c r="A53" s="248">
        <v>40102</v>
      </c>
      <c r="B53" s="83">
        <v>145.45999999999998</v>
      </c>
      <c r="C53" s="57">
        <f>80.4053+0.0747</f>
        <v>80.48</v>
      </c>
      <c r="D53" s="61">
        <f t="shared" si="41"/>
        <v>15.93</v>
      </c>
      <c r="E53" s="61">
        <f t="shared" si="23"/>
        <v>15</v>
      </c>
      <c r="F53" s="80">
        <f t="shared" si="0"/>
        <v>30.93</v>
      </c>
      <c r="G53" s="77">
        <f t="shared" si="24"/>
        <v>111.41</v>
      </c>
      <c r="H53" s="81">
        <f t="shared" si="2"/>
        <v>0</v>
      </c>
      <c r="I53" s="152">
        <f>85.8409+3.4678</f>
        <v>89.308700000000002</v>
      </c>
      <c r="J53" s="103">
        <f t="shared" si="37"/>
        <v>7.7513000000000005</v>
      </c>
      <c r="K53" s="103">
        <f t="shared" si="25"/>
        <v>15</v>
      </c>
      <c r="L53" s="76">
        <f t="shared" si="26"/>
        <v>22.751300000000001</v>
      </c>
      <c r="M53" s="153">
        <f t="shared" si="27"/>
        <v>112.06</v>
      </c>
      <c r="N53" s="151">
        <f t="shared" si="5"/>
        <v>0</v>
      </c>
      <c r="O53" s="57">
        <f>85.6963-11.5889</f>
        <v>74.107399999999998</v>
      </c>
      <c r="P53" s="78">
        <f t="shared" si="38"/>
        <v>-3.6574</v>
      </c>
      <c r="Q53" s="78">
        <f t="shared" si="28"/>
        <v>16</v>
      </c>
      <c r="R53" s="177">
        <f t="shared" si="6"/>
        <v>12.342600000000001</v>
      </c>
      <c r="S53" s="77">
        <f t="shared" si="29"/>
        <v>86.45</v>
      </c>
      <c r="T53" s="43">
        <f t="shared" si="8"/>
        <v>0</v>
      </c>
      <c r="U53" s="193">
        <f t="shared" si="39"/>
        <v>75.919600000000003</v>
      </c>
      <c r="V53" s="194">
        <f t="shared" si="30"/>
        <v>-12.679600000000001</v>
      </c>
      <c r="W53" s="194">
        <f t="shared" si="31"/>
        <v>16.580000000000002</v>
      </c>
      <c r="X53" s="191">
        <f t="shared" si="12"/>
        <v>3.9004000000000012</v>
      </c>
      <c r="Y53" s="196">
        <f t="shared" si="42"/>
        <v>79.820000000000007</v>
      </c>
      <c r="Z53" s="187">
        <f t="shared" si="10"/>
        <v>0</v>
      </c>
      <c r="AA53" s="119">
        <f t="shared" si="40"/>
        <v>58.494299999999996</v>
      </c>
      <c r="AB53" s="78">
        <f t="shared" si="33"/>
        <v>5.4657</v>
      </c>
      <c r="AC53" s="79">
        <f t="shared" si="34"/>
        <v>63.959999999999994</v>
      </c>
      <c r="AD53" s="43">
        <f t="shared" si="11"/>
        <v>0</v>
      </c>
      <c r="AE53" s="116">
        <f t="shared" si="35"/>
        <v>83.654200000000003</v>
      </c>
      <c r="AF53" s="20">
        <f t="shared" si="22"/>
        <v>-3.3341999999999996</v>
      </c>
      <c r="AG53" s="258">
        <f t="shared" si="13"/>
        <v>12.5</v>
      </c>
      <c r="AH53" s="259">
        <f t="shared" si="14"/>
        <v>9.1658000000000008</v>
      </c>
      <c r="AI53" s="258">
        <f t="shared" si="15"/>
        <v>92.820000000000007</v>
      </c>
      <c r="AJ53" s="260">
        <f t="shared" si="16"/>
        <v>0</v>
      </c>
      <c r="AK53" s="240">
        <f t="shared" si="36"/>
        <v>39.2408</v>
      </c>
      <c r="AL53" s="235">
        <f t="shared" si="21"/>
        <v>-0.26080000000000003</v>
      </c>
      <c r="AM53" s="235">
        <f t="shared" si="17"/>
        <v>12.5</v>
      </c>
      <c r="AN53" s="235">
        <f t="shared" si="18"/>
        <v>12.2392</v>
      </c>
      <c r="AO53" s="257">
        <f t="shared" si="19"/>
        <v>51.480000000000004</v>
      </c>
      <c r="AP53" s="256">
        <f t="shared" si="20"/>
        <v>0</v>
      </c>
      <c r="AQ53" s="152"/>
      <c r="AR53" s="103"/>
      <c r="AS53" s="103"/>
      <c r="AT53" s="76"/>
      <c r="AU53" s="153"/>
      <c r="AV53" s="151"/>
    </row>
    <row r="54" spans="1:48" ht="15">
      <c r="A54" s="248">
        <v>40117</v>
      </c>
      <c r="B54" s="83">
        <v>145.19999999999999</v>
      </c>
      <c r="C54" s="73">
        <v>86.05</v>
      </c>
      <c r="D54" s="61">
        <f t="shared" si="41"/>
        <v>15.93</v>
      </c>
      <c r="E54" s="61">
        <f t="shared" si="23"/>
        <v>15</v>
      </c>
      <c r="F54" s="80">
        <f t="shared" si="0"/>
        <v>30.93</v>
      </c>
      <c r="G54" s="77">
        <f t="shared" si="24"/>
        <v>116.97999999999999</v>
      </c>
      <c r="H54" s="81">
        <f t="shared" si="2"/>
        <v>4.9995512072524839E-2</v>
      </c>
      <c r="I54" s="156">
        <v>95.298699999999997</v>
      </c>
      <c r="J54" s="103">
        <f>1.8+2.5+6+0.05+0.1-2.6987</f>
        <v>7.7513000000000005</v>
      </c>
      <c r="K54" s="103">
        <f t="shared" si="25"/>
        <v>15</v>
      </c>
      <c r="L54" s="76">
        <f t="shared" si="26"/>
        <v>22.751300000000001</v>
      </c>
      <c r="M54" s="153">
        <f t="shared" si="27"/>
        <v>118.05</v>
      </c>
      <c r="N54" s="157">
        <f t="shared" si="5"/>
        <v>5.3453507049794791E-2</v>
      </c>
      <c r="O54" s="73">
        <v>78.657399999999996</v>
      </c>
      <c r="P54" s="78">
        <f t="shared" si="38"/>
        <v>-3.6574</v>
      </c>
      <c r="Q54" s="78">
        <f t="shared" si="28"/>
        <v>16</v>
      </c>
      <c r="R54" s="177">
        <f t="shared" si="6"/>
        <v>12.342600000000001</v>
      </c>
      <c r="S54" s="77">
        <f t="shared" si="29"/>
        <v>91</v>
      </c>
      <c r="T54" s="81">
        <f t="shared" si="8"/>
        <v>5.2631578947368363E-2</v>
      </c>
      <c r="U54" s="190">
        <v>79.909599999999998</v>
      </c>
      <c r="V54" s="194">
        <f t="shared" si="30"/>
        <v>-12.679600000000001</v>
      </c>
      <c r="W54" s="194">
        <f t="shared" si="31"/>
        <v>16.580000000000002</v>
      </c>
      <c r="X54" s="191">
        <f t="shared" si="12"/>
        <v>3.9004000000000012</v>
      </c>
      <c r="Y54" s="196">
        <f t="shared" si="42"/>
        <v>83.809999999999988</v>
      </c>
      <c r="Z54" s="187">
        <f t="shared" si="10"/>
        <v>4.9987471811575812E-2</v>
      </c>
      <c r="AA54" s="73">
        <v>61.694299999999998</v>
      </c>
      <c r="AB54" s="78">
        <f t="shared" si="33"/>
        <v>5.4657</v>
      </c>
      <c r="AC54" s="79">
        <f t="shared" si="34"/>
        <v>67.16</v>
      </c>
      <c r="AD54" s="43">
        <f t="shared" si="11"/>
        <v>5.0031269543464818E-2</v>
      </c>
      <c r="AE54" s="116">
        <f>88.8338-0.2596</f>
        <v>88.57419999999999</v>
      </c>
      <c r="AF54" s="20">
        <f t="shared" si="22"/>
        <v>-3.3341999999999996</v>
      </c>
      <c r="AG54" s="235">
        <f t="shared" si="13"/>
        <v>12.5</v>
      </c>
      <c r="AH54" s="235">
        <f t="shared" si="14"/>
        <v>9.1658000000000008</v>
      </c>
      <c r="AI54" s="235">
        <f t="shared" si="15"/>
        <v>97.74</v>
      </c>
      <c r="AJ54" s="256">
        <f t="shared" si="16"/>
        <v>5.3005817711699876E-2</v>
      </c>
      <c r="AK54" s="240">
        <f>76.7541-35.0233</f>
        <v>41.730799999999995</v>
      </c>
      <c r="AL54" s="235">
        <f t="shared" si="21"/>
        <v>-0.26080000000000003</v>
      </c>
      <c r="AM54" s="235">
        <f>5.3+4.32+2.88+0.3</f>
        <v>12.8</v>
      </c>
      <c r="AN54" s="235">
        <f t="shared" si="18"/>
        <v>12.539200000000001</v>
      </c>
      <c r="AO54" s="235">
        <f t="shared" si="19"/>
        <v>54.269999999999996</v>
      </c>
      <c r="AP54" s="256">
        <f t="shared" si="20"/>
        <v>5.4195804195803943E-2</v>
      </c>
      <c r="AQ54" s="156"/>
      <c r="AR54" s="103"/>
      <c r="AS54" s="103"/>
      <c r="AT54" s="76"/>
      <c r="AU54" s="153"/>
      <c r="AV54" s="157"/>
    </row>
    <row r="55" spans="1:48" ht="15">
      <c r="A55" s="248">
        <v>40133</v>
      </c>
      <c r="B55" s="83">
        <v>143.99</v>
      </c>
      <c r="C55" s="73">
        <f>85.7805+0.2695</f>
        <v>86.05</v>
      </c>
      <c r="D55" s="61">
        <f t="shared" ref="D55:D66" si="43">2.78+2+6+0.05+0.1+0+5</f>
        <v>15.93</v>
      </c>
      <c r="E55" s="61">
        <f>1+1.5+5.3+7.2</f>
        <v>15</v>
      </c>
      <c r="F55" s="80">
        <f t="shared" si="0"/>
        <v>30.93</v>
      </c>
      <c r="G55" s="77">
        <f t="shared" si="24"/>
        <v>116.97999999999999</v>
      </c>
      <c r="H55" s="81">
        <f t="shared" si="2"/>
        <v>0</v>
      </c>
      <c r="I55" s="156">
        <v>95.298699999999997</v>
      </c>
      <c r="J55" s="103">
        <f>1.8+2.5+6+0.05+0.1-2.6987</f>
        <v>7.7513000000000005</v>
      </c>
      <c r="K55" s="103">
        <f t="shared" si="25"/>
        <v>15</v>
      </c>
      <c r="L55" s="76">
        <f t="shared" si="26"/>
        <v>22.751300000000001</v>
      </c>
      <c r="M55" s="153">
        <f t="shared" si="27"/>
        <v>118.05</v>
      </c>
      <c r="N55" s="157">
        <f t="shared" si="5"/>
        <v>0</v>
      </c>
      <c r="O55" s="73">
        <v>78.657399999999996</v>
      </c>
      <c r="P55" s="78">
        <f t="shared" si="38"/>
        <v>-3.6574</v>
      </c>
      <c r="Q55" s="78">
        <f t="shared" si="28"/>
        <v>16</v>
      </c>
      <c r="R55" s="177">
        <f t="shared" si="6"/>
        <v>12.342600000000001</v>
      </c>
      <c r="S55" s="77">
        <f t="shared" si="29"/>
        <v>91</v>
      </c>
      <c r="T55" s="81">
        <f t="shared" si="8"/>
        <v>0</v>
      </c>
      <c r="U55" s="190">
        <v>79.909599999999998</v>
      </c>
      <c r="V55" s="194">
        <f t="shared" si="30"/>
        <v>-12.679600000000001</v>
      </c>
      <c r="W55" s="194">
        <f t="shared" si="31"/>
        <v>16.580000000000002</v>
      </c>
      <c r="X55" s="191">
        <f t="shared" si="12"/>
        <v>3.9004000000000012</v>
      </c>
      <c r="Y55" s="196">
        <f t="shared" si="42"/>
        <v>83.809999999999988</v>
      </c>
      <c r="Z55" s="187">
        <f t="shared" si="10"/>
        <v>0</v>
      </c>
      <c r="AA55" s="73">
        <v>61.694299999999998</v>
      </c>
      <c r="AB55" s="78">
        <f t="shared" si="33"/>
        <v>5.4657</v>
      </c>
      <c r="AC55" s="79">
        <f t="shared" si="34"/>
        <v>67.16</v>
      </c>
      <c r="AD55" s="43">
        <f t="shared" si="11"/>
        <v>0</v>
      </c>
      <c r="AE55" s="116">
        <f>88.7751-0.2009</f>
        <v>88.57419999999999</v>
      </c>
      <c r="AF55" s="20">
        <f t="shared" si="22"/>
        <v>-3.3341999999999996</v>
      </c>
      <c r="AG55" s="235">
        <f>5.3+7.2</f>
        <v>12.5</v>
      </c>
      <c r="AH55" s="235">
        <f t="shared" si="14"/>
        <v>9.1658000000000008</v>
      </c>
      <c r="AI55" s="235">
        <f t="shared" si="15"/>
        <v>97.74</v>
      </c>
      <c r="AJ55" s="256">
        <f t="shared" si="16"/>
        <v>0</v>
      </c>
      <c r="AK55" s="240">
        <f>78.1644-36.4336</f>
        <v>41.730800000000002</v>
      </c>
      <c r="AL55" s="235">
        <f t="shared" si="21"/>
        <v>-0.26080000000000003</v>
      </c>
      <c r="AM55" s="235">
        <f t="shared" ref="AM55:AM82" si="44">5.3+4.32+2.88+0.3</f>
        <v>12.8</v>
      </c>
      <c r="AN55" s="235">
        <f t="shared" si="18"/>
        <v>12.539200000000001</v>
      </c>
      <c r="AO55" s="235">
        <f t="shared" si="19"/>
        <v>54.27</v>
      </c>
      <c r="AP55" s="256">
        <f t="shared" si="20"/>
        <v>0</v>
      </c>
      <c r="AQ55" s="156"/>
      <c r="AR55" s="103"/>
      <c r="AS55" s="103"/>
      <c r="AT55" s="76"/>
      <c r="AU55" s="153"/>
      <c r="AV55" s="157"/>
    </row>
    <row r="56" spans="1:48" ht="15">
      <c r="A56" s="248">
        <v>40148</v>
      </c>
      <c r="B56" s="83">
        <v>143.57999999999998</v>
      </c>
      <c r="C56" s="73">
        <f>85.7805+0.2695</f>
        <v>86.05</v>
      </c>
      <c r="D56" s="61">
        <f t="shared" si="43"/>
        <v>15.93</v>
      </c>
      <c r="E56" s="61">
        <f>1+1.5+5.3+7.2</f>
        <v>15</v>
      </c>
      <c r="F56" s="80">
        <f t="shared" si="0"/>
        <v>30.93</v>
      </c>
      <c r="G56" s="77">
        <f t="shared" si="24"/>
        <v>116.97999999999999</v>
      </c>
      <c r="H56" s="81">
        <f t="shared" si="2"/>
        <v>0</v>
      </c>
      <c r="I56" s="156">
        <v>95.298699999999997</v>
      </c>
      <c r="J56" s="103">
        <f>1.8+2.5+6+0.05+0.1-2.6987</f>
        <v>7.7513000000000005</v>
      </c>
      <c r="K56" s="103">
        <f t="shared" si="25"/>
        <v>15</v>
      </c>
      <c r="L56" s="76">
        <f t="shared" si="26"/>
        <v>22.751300000000001</v>
      </c>
      <c r="M56" s="153">
        <f t="shared" si="27"/>
        <v>118.05</v>
      </c>
      <c r="N56" s="157">
        <f t="shared" si="5"/>
        <v>0</v>
      </c>
      <c r="O56" s="73">
        <v>78.657399999999996</v>
      </c>
      <c r="P56" s="78">
        <f t="shared" si="38"/>
        <v>-3.6574</v>
      </c>
      <c r="Q56" s="78">
        <f t="shared" si="28"/>
        <v>16</v>
      </c>
      <c r="R56" s="177">
        <f t="shared" si="6"/>
        <v>12.342600000000001</v>
      </c>
      <c r="S56" s="77">
        <f t="shared" si="29"/>
        <v>91</v>
      </c>
      <c r="T56" s="81">
        <f t="shared" si="8"/>
        <v>0</v>
      </c>
      <c r="U56" s="190">
        <v>79.909599999999998</v>
      </c>
      <c r="V56" s="194">
        <f t="shared" si="30"/>
        <v>-12.679600000000001</v>
      </c>
      <c r="W56" s="194">
        <f t="shared" si="31"/>
        <v>16.580000000000002</v>
      </c>
      <c r="X56" s="191">
        <f t="shared" si="12"/>
        <v>3.9004000000000012</v>
      </c>
      <c r="Y56" s="196">
        <f t="shared" si="42"/>
        <v>83.809999999999988</v>
      </c>
      <c r="Z56" s="187">
        <f t="shared" si="10"/>
        <v>0</v>
      </c>
      <c r="AA56" s="73">
        <v>61.694299999999998</v>
      </c>
      <c r="AB56" s="78">
        <f t="shared" si="33"/>
        <v>5.4657</v>
      </c>
      <c r="AC56" s="79">
        <f t="shared" si="34"/>
        <v>67.16</v>
      </c>
      <c r="AD56" s="43">
        <f t="shared" si="11"/>
        <v>0</v>
      </c>
      <c r="AE56" s="116">
        <f>86.5164+2.0578</f>
        <v>88.574200000000005</v>
      </c>
      <c r="AF56" s="20">
        <f t="shared" si="22"/>
        <v>-3.3341999999999996</v>
      </c>
      <c r="AG56" s="235">
        <f>5.3+7.2</f>
        <v>12.5</v>
      </c>
      <c r="AH56" s="235">
        <f t="shared" si="14"/>
        <v>9.1658000000000008</v>
      </c>
      <c r="AI56" s="235">
        <f t="shared" si="15"/>
        <v>97.740000000000009</v>
      </c>
      <c r="AJ56" s="256">
        <f t="shared" si="16"/>
        <v>0</v>
      </c>
      <c r="AK56" s="240">
        <f>74.595-32.8642</f>
        <v>41.730800000000002</v>
      </c>
      <c r="AL56" s="235">
        <f t="shared" si="21"/>
        <v>-0.26080000000000003</v>
      </c>
      <c r="AM56" s="235">
        <f t="shared" si="44"/>
        <v>12.8</v>
      </c>
      <c r="AN56" s="235">
        <f t="shared" si="18"/>
        <v>12.539200000000001</v>
      </c>
      <c r="AO56" s="235">
        <f t="shared" si="19"/>
        <v>54.27</v>
      </c>
      <c r="AP56" s="256">
        <f t="shared" si="20"/>
        <v>0</v>
      </c>
      <c r="AQ56" s="156"/>
      <c r="AR56" s="103"/>
      <c r="AS56" s="103"/>
      <c r="AT56" s="76"/>
      <c r="AU56" s="153"/>
      <c r="AV56" s="157"/>
    </row>
    <row r="57" spans="1:48" ht="15">
      <c r="A57" s="248">
        <v>40163</v>
      </c>
      <c r="B57" s="83">
        <v>143.54</v>
      </c>
      <c r="C57" s="73">
        <f>85.7805+0.2695</f>
        <v>86.05</v>
      </c>
      <c r="D57" s="61">
        <f t="shared" si="43"/>
        <v>15.93</v>
      </c>
      <c r="E57" s="61">
        <f>1+1.5+5.3+7.2</f>
        <v>15</v>
      </c>
      <c r="F57" s="80">
        <f t="shared" si="0"/>
        <v>30.93</v>
      </c>
      <c r="G57" s="77">
        <f t="shared" si="24"/>
        <v>116.97999999999999</v>
      </c>
      <c r="H57" s="81">
        <f t="shared" si="2"/>
        <v>0</v>
      </c>
      <c r="I57" s="156">
        <v>95.298699999999997</v>
      </c>
      <c r="J57" s="103">
        <f>1.8+2.5+6+0.05+0.1-2.6987</f>
        <v>7.7513000000000005</v>
      </c>
      <c r="K57" s="103">
        <f t="shared" si="25"/>
        <v>15</v>
      </c>
      <c r="L57" s="76">
        <f t="shared" si="26"/>
        <v>22.751300000000001</v>
      </c>
      <c r="M57" s="153">
        <f t="shared" si="27"/>
        <v>118.05</v>
      </c>
      <c r="N57" s="157">
        <f t="shared" si="5"/>
        <v>0</v>
      </c>
      <c r="O57" s="73">
        <v>78.657399999999996</v>
      </c>
      <c r="P57" s="78">
        <f t="shared" si="38"/>
        <v>-3.6574</v>
      </c>
      <c r="Q57" s="78">
        <f t="shared" si="28"/>
        <v>16</v>
      </c>
      <c r="R57" s="177">
        <f t="shared" si="6"/>
        <v>12.342600000000001</v>
      </c>
      <c r="S57" s="77">
        <f t="shared" si="29"/>
        <v>91</v>
      </c>
      <c r="T57" s="81">
        <f t="shared" si="8"/>
        <v>0</v>
      </c>
      <c r="U57" s="190">
        <v>79.909599999999998</v>
      </c>
      <c r="V57" s="194">
        <f t="shared" si="30"/>
        <v>-12.679600000000001</v>
      </c>
      <c r="W57" s="194">
        <f t="shared" si="31"/>
        <v>16.580000000000002</v>
      </c>
      <c r="X57" s="191">
        <f t="shared" si="12"/>
        <v>3.9004000000000012</v>
      </c>
      <c r="Y57" s="196">
        <f t="shared" si="42"/>
        <v>83.809999999999988</v>
      </c>
      <c r="Z57" s="187">
        <f t="shared" si="10"/>
        <v>0</v>
      </c>
      <c r="AA57" s="73">
        <v>61.694299999999998</v>
      </c>
      <c r="AB57" s="78">
        <f t="shared" si="33"/>
        <v>5.4657</v>
      </c>
      <c r="AC57" s="79">
        <f t="shared" si="34"/>
        <v>67.16</v>
      </c>
      <c r="AD57" s="43">
        <f t="shared" si="11"/>
        <v>0</v>
      </c>
      <c r="AE57" s="116">
        <f>85.6482+2.926</f>
        <v>88.574200000000005</v>
      </c>
      <c r="AF57" s="20">
        <f t="shared" si="22"/>
        <v>-3.3341999999999996</v>
      </c>
      <c r="AG57" s="235">
        <f>5.3+7.2</f>
        <v>12.5</v>
      </c>
      <c r="AH57" s="235">
        <f t="shared" si="14"/>
        <v>9.1658000000000008</v>
      </c>
      <c r="AI57" s="235">
        <f t="shared" si="15"/>
        <v>97.740000000000009</v>
      </c>
      <c r="AJ57" s="256">
        <f t="shared" si="16"/>
        <v>0</v>
      </c>
      <c r="AK57" s="240">
        <f>73.5352-31.8044</f>
        <v>41.730800000000002</v>
      </c>
      <c r="AL57" s="235">
        <f t="shared" si="21"/>
        <v>-0.26080000000000003</v>
      </c>
      <c r="AM57" s="235">
        <f t="shared" si="44"/>
        <v>12.8</v>
      </c>
      <c r="AN57" s="235">
        <f t="shared" si="18"/>
        <v>12.539200000000001</v>
      </c>
      <c r="AO57" s="235">
        <f t="shared" si="19"/>
        <v>54.27</v>
      </c>
      <c r="AP57" s="256">
        <f t="shared" si="20"/>
        <v>0</v>
      </c>
      <c r="AQ57" s="156"/>
      <c r="AR57" s="103"/>
      <c r="AS57" s="103"/>
      <c r="AT57" s="76"/>
      <c r="AU57" s="153"/>
      <c r="AV57" s="157"/>
    </row>
    <row r="58" spans="1:48" ht="15">
      <c r="A58" s="248">
        <v>40179</v>
      </c>
      <c r="B58" s="83">
        <v>143.15</v>
      </c>
      <c r="C58" s="73">
        <f>85.7805+0.2695</f>
        <v>86.05</v>
      </c>
      <c r="D58" s="61">
        <f t="shared" si="43"/>
        <v>15.93</v>
      </c>
      <c r="E58" s="61">
        <f>1+1.5+5.3+7.2</f>
        <v>15</v>
      </c>
      <c r="F58" s="80">
        <f t="shared" si="0"/>
        <v>30.93</v>
      </c>
      <c r="G58" s="77">
        <f t="shared" si="24"/>
        <v>116.97999999999999</v>
      </c>
      <c r="H58" s="81">
        <f t="shared" si="2"/>
        <v>0</v>
      </c>
      <c r="I58" s="156">
        <v>95.298699999999997</v>
      </c>
      <c r="J58" s="103">
        <f>1.8+2.5+6+0.05+0.1-2.6987</f>
        <v>7.7513000000000005</v>
      </c>
      <c r="K58" s="103">
        <f>1+1.5+5.3+7.2</f>
        <v>15</v>
      </c>
      <c r="L58" s="76">
        <f t="shared" si="26"/>
        <v>22.751300000000001</v>
      </c>
      <c r="M58" s="153">
        <f>SUM(I58:K58)</f>
        <v>118.05</v>
      </c>
      <c r="N58" s="157">
        <f t="shared" si="5"/>
        <v>0</v>
      </c>
      <c r="O58" s="73">
        <v>78.657399999999996</v>
      </c>
      <c r="P58" s="78">
        <f t="shared" si="38"/>
        <v>-3.6574</v>
      </c>
      <c r="Q58" s="78">
        <f t="shared" si="28"/>
        <v>16</v>
      </c>
      <c r="R58" s="177">
        <f t="shared" si="6"/>
        <v>12.342600000000001</v>
      </c>
      <c r="S58" s="77">
        <f t="shared" si="29"/>
        <v>91</v>
      </c>
      <c r="T58" s="81">
        <f t="shared" si="8"/>
        <v>0</v>
      </c>
      <c r="U58" s="190">
        <v>79.909599999999998</v>
      </c>
      <c r="V58" s="194">
        <f t="shared" si="30"/>
        <v>-12.679600000000001</v>
      </c>
      <c r="W58" s="194">
        <f t="shared" si="31"/>
        <v>16.580000000000002</v>
      </c>
      <c r="X58" s="191">
        <f t="shared" si="12"/>
        <v>3.9004000000000012</v>
      </c>
      <c r="Y58" s="196">
        <f t="shared" si="42"/>
        <v>83.809999999999988</v>
      </c>
      <c r="Z58" s="187">
        <f t="shared" si="10"/>
        <v>0</v>
      </c>
      <c r="AA58" s="73">
        <v>61.694299999999998</v>
      </c>
      <c r="AB58" s="78">
        <f t="shared" si="33"/>
        <v>5.4657</v>
      </c>
      <c r="AC58" s="79">
        <f t="shared" si="34"/>
        <v>67.16</v>
      </c>
      <c r="AD58" s="43">
        <f t="shared" si="11"/>
        <v>0</v>
      </c>
      <c r="AE58" s="116">
        <f>83.8057+4.7685</f>
        <v>88.574200000000005</v>
      </c>
      <c r="AF58" s="20">
        <f t="shared" si="22"/>
        <v>-3.3341999999999996</v>
      </c>
      <c r="AG58" s="235">
        <f>5.3+7.2</f>
        <v>12.5</v>
      </c>
      <c r="AH58" s="235">
        <f t="shared" si="14"/>
        <v>9.1658000000000008</v>
      </c>
      <c r="AI58" s="235">
        <f t="shared" si="15"/>
        <v>97.740000000000009</v>
      </c>
      <c r="AJ58" s="256">
        <f t="shared" si="16"/>
        <v>0</v>
      </c>
      <c r="AK58" s="240">
        <f>70.6501-28.9193</f>
        <v>41.730799999999995</v>
      </c>
      <c r="AL58" s="235">
        <f t="shared" si="21"/>
        <v>-0.26080000000000003</v>
      </c>
      <c r="AM58" s="235">
        <f t="shared" si="44"/>
        <v>12.8</v>
      </c>
      <c r="AN58" s="235">
        <f t="shared" si="18"/>
        <v>12.539200000000001</v>
      </c>
      <c r="AO58" s="235">
        <f t="shared" si="19"/>
        <v>54.269999999999996</v>
      </c>
      <c r="AP58" s="256">
        <f t="shared" si="20"/>
        <v>0</v>
      </c>
      <c r="AQ58" s="156"/>
      <c r="AR58" s="103"/>
      <c r="AS58" s="103"/>
      <c r="AT58" s="76"/>
      <c r="AU58" s="153"/>
      <c r="AV58" s="157"/>
    </row>
    <row r="59" spans="1:48" ht="15">
      <c r="A59" s="248">
        <v>40194</v>
      </c>
      <c r="B59" s="83">
        <v>143.31</v>
      </c>
      <c r="C59" s="73">
        <f>85.7805+0.2695</f>
        <v>86.05</v>
      </c>
      <c r="D59" s="61">
        <f t="shared" si="43"/>
        <v>15.93</v>
      </c>
      <c r="E59" s="61">
        <f>1+1.5+5.3+7.2</f>
        <v>15</v>
      </c>
      <c r="F59" s="80">
        <f t="shared" si="0"/>
        <v>30.93</v>
      </c>
      <c r="G59" s="77">
        <f t="shared" si="24"/>
        <v>116.97999999999999</v>
      </c>
      <c r="H59" s="81">
        <f t="shared" si="2"/>
        <v>0</v>
      </c>
      <c r="I59" s="156">
        <f>90.95+4.3487</f>
        <v>95.298699999999997</v>
      </c>
      <c r="J59" s="103">
        <f t="shared" ref="J59:J80" si="45">1.8+2.5+6+0.05+0.1-2.6987</f>
        <v>7.7513000000000005</v>
      </c>
      <c r="K59" s="103">
        <f>1+1.5+5.3+7.2</f>
        <v>15</v>
      </c>
      <c r="L59" s="76">
        <f t="shared" si="26"/>
        <v>22.751300000000001</v>
      </c>
      <c r="M59" s="153">
        <f t="shared" si="27"/>
        <v>118.05</v>
      </c>
      <c r="N59" s="157">
        <f t="shared" si="5"/>
        <v>0</v>
      </c>
      <c r="O59" s="73">
        <f>91.4407-12.7833</f>
        <v>78.65740000000001</v>
      </c>
      <c r="P59" s="78">
        <f t="shared" si="38"/>
        <v>-3.6574</v>
      </c>
      <c r="Q59" s="78">
        <f t="shared" si="28"/>
        <v>16</v>
      </c>
      <c r="R59" s="177">
        <f t="shared" si="6"/>
        <v>12.342600000000001</v>
      </c>
      <c r="S59" s="77">
        <f t="shared" si="29"/>
        <v>91.000000000000014</v>
      </c>
      <c r="T59" s="81">
        <f t="shared" si="8"/>
        <v>0</v>
      </c>
      <c r="U59" s="190">
        <v>79.909599999999998</v>
      </c>
      <c r="V59" s="194">
        <f t="shared" si="30"/>
        <v>-12.679600000000001</v>
      </c>
      <c r="W59" s="194">
        <f t="shared" si="31"/>
        <v>16.580000000000002</v>
      </c>
      <c r="X59" s="191">
        <f t="shared" si="12"/>
        <v>3.9004000000000012</v>
      </c>
      <c r="Y59" s="196">
        <f t="shared" si="42"/>
        <v>83.809999999999988</v>
      </c>
      <c r="Z59" s="187">
        <f t="shared" si="10"/>
        <v>0</v>
      </c>
      <c r="AA59" s="73">
        <v>61.694299999999998</v>
      </c>
      <c r="AB59" s="78">
        <f t="shared" si="33"/>
        <v>5.4657</v>
      </c>
      <c r="AC59" s="79">
        <f t="shared" si="34"/>
        <v>67.16</v>
      </c>
      <c r="AD59" s="43">
        <f t="shared" si="11"/>
        <v>0</v>
      </c>
      <c r="AE59" s="116">
        <f>90.95-2.3758</f>
        <v>88.574200000000005</v>
      </c>
      <c r="AF59" s="20">
        <f t="shared" si="22"/>
        <v>-3.3341999999999996</v>
      </c>
      <c r="AG59" s="235">
        <f>5.3+7.2</f>
        <v>12.5</v>
      </c>
      <c r="AH59" s="235">
        <f t="shared" si="14"/>
        <v>9.1658000000000008</v>
      </c>
      <c r="AI59" s="235">
        <f t="shared" si="15"/>
        <v>97.740000000000009</v>
      </c>
      <c r="AJ59" s="256">
        <f t="shared" si="16"/>
        <v>0</v>
      </c>
      <c r="AK59" s="240">
        <f>76.6221-34.8913</f>
        <v>41.730800000000002</v>
      </c>
      <c r="AL59" s="235">
        <f t="shared" si="21"/>
        <v>-0.26080000000000003</v>
      </c>
      <c r="AM59" s="235">
        <f t="shared" si="44"/>
        <v>12.8</v>
      </c>
      <c r="AN59" s="235">
        <f t="shared" si="18"/>
        <v>12.539200000000001</v>
      </c>
      <c r="AO59" s="235">
        <f t="shared" si="19"/>
        <v>54.27</v>
      </c>
      <c r="AP59" s="256">
        <f t="shared" si="20"/>
        <v>0</v>
      </c>
      <c r="AQ59" s="156"/>
      <c r="AR59" s="103"/>
      <c r="AS59" s="103"/>
      <c r="AT59" s="76"/>
      <c r="AU59" s="153"/>
      <c r="AV59" s="157"/>
    </row>
    <row r="60" spans="1:48" ht="15">
      <c r="A60" s="248">
        <v>40210</v>
      </c>
      <c r="B60" s="84">
        <v>142.56</v>
      </c>
      <c r="C60" s="73">
        <f>87.6696-3.4496</f>
        <v>84.22</v>
      </c>
      <c r="D60" s="61">
        <f t="shared" si="43"/>
        <v>15.93</v>
      </c>
      <c r="E60" s="61">
        <f t="shared" ref="E60:E81" si="46">1+2.25+5.3+8.28</f>
        <v>16.829999999999998</v>
      </c>
      <c r="F60" s="80">
        <f t="shared" si="0"/>
        <v>32.76</v>
      </c>
      <c r="G60" s="77">
        <f t="shared" si="24"/>
        <v>116.98</v>
      </c>
      <c r="H60" s="81">
        <f t="shared" si="2"/>
        <v>0</v>
      </c>
      <c r="I60" s="156">
        <f>85.381+8.0877</f>
        <v>93.468699999999998</v>
      </c>
      <c r="J60" s="103">
        <f t="shared" si="45"/>
        <v>7.7513000000000005</v>
      </c>
      <c r="K60" s="103">
        <f t="shared" ref="K60:K81" si="47">1+2.25+5.3+8.28</f>
        <v>16.829999999999998</v>
      </c>
      <c r="L60" s="76">
        <f t="shared" si="26"/>
        <v>24.581299999999999</v>
      </c>
      <c r="M60" s="153">
        <f t="shared" si="27"/>
        <v>118.05</v>
      </c>
      <c r="N60" s="157">
        <f t="shared" si="5"/>
        <v>0</v>
      </c>
      <c r="O60" s="73">
        <f>87.2355-10.4081</f>
        <v>76.827399999999997</v>
      </c>
      <c r="P60" s="78">
        <f t="shared" si="38"/>
        <v>-3.6574</v>
      </c>
      <c r="Q60" s="78">
        <f t="shared" ref="Q60:Q81" si="48">1+2.25+6.3+8.28</f>
        <v>17.829999999999998</v>
      </c>
      <c r="R60" s="177">
        <f t="shared" si="6"/>
        <v>14.172599999999999</v>
      </c>
      <c r="S60" s="77">
        <f t="shared" si="29"/>
        <v>91</v>
      </c>
      <c r="T60" s="81">
        <f t="shared" si="8"/>
        <v>0</v>
      </c>
      <c r="U60" s="190">
        <f>128.6397-48.7301</f>
        <v>79.909600000000012</v>
      </c>
      <c r="V60" s="194">
        <f t="shared" si="30"/>
        <v>-12.679600000000001</v>
      </c>
      <c r="W60" s="194">
        <f t="shared" si="31"/>
        <v>16.580000000000002</v>
      </c>
      <c r="X60" s="191">
        <f t="shared" si="12"/>
        <v>3.9004000000000012</v>
      </c>
      <c r="Y60" s="196">
        <f t="shared" si="42"/>
        <v>83.810000000000016</v>
      </c>
      <c r="Z60" s="187">
        <f t="shared" si="10"/>
        <v>0</v>
      </c>
      <c r="AA60" s="73">
        <f>74.522-12.8277</f>
        <v>61.694300000000005</v>
      </c>
      <c r="AB60" s="78">
        <f t="shared" si="33"/>
        <v>5.4657</v>
      </c>
      <c r="AC60" s="79">
        <f t="shared" ref="AC60:AC65" si="49">SUM(AA60:AB60)</f>
        <v>67.160000000000011</v>
      </c>
      <c r="AD60" s="43">
        <f t="shared" si="11"/>
        <v>0</v>
      </c>
      <c r="AE60" s="116">
        <f>85.381+2.1132</f>
        <v>87.494200000000006</v>
      </c>
      <c r="AF60" s="20">
        <f t="shared" si="22"/>
        <v>-3.3341999999999996</v>
      </c>
      <c r="AG60" s="235">
        <f t="shared" ref="AG60:AG82" si="50">5.3+8.28</f>
        <v>13.579999999999998</v>
      </c>
      <c r="AH60" s="235">
        <f t="shared" si="14"/>
        <v>10.245799999999999</v>
      </c>
      <c r="AI60" s="259">
        <f t="shared" si="15"/>
        <v>97.740000000000009</v>
      </c>
      <c r="AJ60" s="256">
        <f t="shared" si="16"/>
        <v>0</v>
      </c>
      <c r="AK60" s="240">
        <f>77.3378-35.607</f>
        <v>41.730800000000002</v>
      </c>
      <c r="AL60" s="235">
        <f t="shared" si="21"/>
        <v>-0.26080000000000003</v>
      </c>
      <c r="AM60" s="235">
        <f t="shared" si="44"/>
        <v>12.8</v>
      </c>
      <c r="AN60" s="235">
        <f t="shared" si="18"/>
        <v>12.539200000000001</v>
      </c>
      <c r="AO60" s="235">
        <f t="shared" si="19"/>
        <v>54.27</v>
      </c>
      <c r="AP60" s="256">
        <f t="shared" si="20"/>
        <v>0</v>
      </c>
      <c r="AQ60" s="156"/>
      <c r="AR60" s="103"/>
      <c r="AS60" s="103"/>
      <c r="AT60" s="76"/>
      <c r="AU60" s="153"/>
      <c r="AV60" s="157"/>
    </row>
    <row r="61" spans="1:48" ht="15">
      <c r="A61" s="248">
        <v>40225</v>
      </c>
      <c r="B61" s="83">
        <v>143.30000000000001</v>
      </c>
      <c r="C61" s="57">
        <f>85.8189-1.5989</f>
        <v>84.22</v>
      </c>
      <c r="D61" s="61">
        <f t="shared" si="43"/>
        <v>15.93</v>
      </c>
      <c r="E61" s="61">
        <f t="shared" si="46"/>
        <v>16.829999999999998</v>
      </c>
      <c r="F61" s="80">
        <f t="shared" si="0"/>
        <v>32.76</v>
      </c>
      <c r="G61" s="77">
        <f t="shared" si="24"/>
        <v>116.98</v>
      </c>
      <c r="H61" s="81">
        <f t="shared" si="2"/>
        <v>0</v>
      </c>
      <c r="I61" s="154">
        <f>82.6177+10.851</f>
        <v>93.468699999999998</v>
      </c>
      <c r="J61" s="102">
        <f t="shared" si="45"/>
        <v>7.7513000000000005</v>
      </c>
      <c r="K61" s="103">
        <f t="shared" si="47"/>
        <v>16.829999999999998</v>
      </c>
      <c r="L61" s="76">
        <f t="shared" si="26"/>
        <v>24.581299999999999</v>
      </c>
      <c r="M61" s="153">
        <f t="shared" si="27"/>
        <v>118.05</v>
      </c>
      <c r="N61" s="157">
        <f t="shared" si="5"/>
        <v>0</v>
      </c>
      <c r="O61" s="57">
        <f>84.3328-7.5054</f>
        <v>76.827400000000011</v>
      </c>
      <c r="P61" s="78">
        <f t="shared" si="38"/>
        <v>-3.6574</v>
      </c>
      <c r="Q61" s="78">
        <f t="shared" si="48"/>
        <v>17.829999999999998</v>
      </c>
      <c r="R61" s="177">
        <f t="shared" si="6"/>
        <v>14.172599999999999</v>
      </c>
      <c r="S61" s="77">
        <f t="shared" si="29"/>
        <v>91.000000000000014</v>
      </c>
      <c r="T61" s="81">
        <f t="shared" si="8"/>
        <v>0</v>
      </c>
      <c r="U61" s="197">
        <f t="shared" ref="U61:U66" si="51">121.0356-41.126</f>
        <v>79.909600000000012</v>
      </c>
      <c r="V61" s="194">
        <f t="shared" si="30"/>
        <v>-12.679600000000001</v>
      </c>
      <c r="W61" s="194">
        <f t="shared" si="31"/>
        <v>16.580000000000002</v>
      </c>
      <c r="X61" s="191">
        <f t="shared" si="12"/>
        <v>3.9004000000000012</v>
      </c>
      <c r="Y61" s="196">
        <f t="shared" si="42"/>
        <v>83.810000000000016</v>
      </c>
      <c r="Z61" s="187">
        <f t="shared" si="10"/>
        <v>0</v>
      </c>
      <c r="AA61" s="73">
        <f t="shared" ref="AA61:AA66" si="52">72.6737-10.9794</f>
        <v>61.694299999999998</v>
      </c>
      <c r="AB61" s="78">
        <f t="shared" si="33"/>
        <v>5.4657</v>
      </c>
      <c r="AC61" s="79">
        <f t="shared" si="49"/>
        <v>67.16</v>
      </c>
      <c r="AD61" s="43">
        <f t="shared" si="11"/>
        <v>0</v>
      </c>
      <c r="AE61" s="116">
        <f>82.6177+4.8765</f>
        <v>87.494200000000006</v>
      </c>
      <c r="AF61" s="20">
        <f t="shared" si="22"/>
        <v>-3.3341999999999996</v>
      </c>
      <c r="AG61" s="235">
        <f t="shared" si="50"/>
        <v>13.579999999999998</v>
      </c>
      <c r="AH61" s="235">
        <f t="shared" si="14"/>
        <v>10.245799999999999</v>
      </c>
      <c r="AI61" s="235">
        <f t="shared" si="15"/>
        <v>97.740000000000009</v>
      </c>
      <c r="AJ61" s="256">
        <f t="shared" si="16"/>
        <v>0</v>
      </c>
      <c r="AK61" s="240">
        <f>75.9066-34.1758</f>
        <v>41.730799999999995</v>
      </c>
      <c r="AL61" s="235">
        <f t="shared" si="21"/>
        <v>-0.26080000000000003</v>
      </c>
      <c r="AM61" s="235">
        <f t="shared" si="44"/>
        <v>12.8</v>
      </c>
      <c r="AN61" s="235">
        <f t="shared" si="18"/>
        <v>12.539200000000001</v>
      </c>
      <c r="AO61" s="235">
        <f t="shared" si="19"/>
        <v>54.269999999999996</v>
      </c>
      <c r="AP61" s="256">
        <f t="shared" si="20"/>
        <v>0</v>
      </c>
      <c r="AQ61" s="154"/>
      <c r="AR61" s="102"/>
      <c r="AS61" s="103"/>
      <c r="AT61" s="76"/>
      <c r="AU61" s="153"/>
      <c r="AV61" s="157"/>
    </row>
    <row r="62" spans="1:48" ht="15">
      <c r="A62" s="248">
        <v>40238</v>
      </c>
      <c r="B62" s="83">
        <v>143.01999999999998</v>
      </c>
      <c r="C62" s="57">
        <f>86.9881-2.7681</f>
        <v>84.22</v>
      </c>
      <c r="D62" s="61">
        <f t="shared" si="43"/>
        <v>15.93</v>
      </c>
      <c r="E62" s="61">
        <f t="shared" si="46"/>
        <v>16.829999999999998</v>
      </c>
      <c r="F62" s="80">
        <f t="shared" si="0"/>
        <v>32.76</v>
      </c>
      <c r="G62" s="77">
        <f t="shared" si="24"/>
        <v>116.98</v>
      </c>
      <c r="H62" s="81">
        <f t="shared" si="2"/>
        <v>0</v>
      </c>
      <c r="I62" s="154">
        <f>86.1196+7.3491</f>
        <v>93.468700000000013</v>
      </c>
      <c r="J62" s="102">
        <f t="shared" si="45"/>
        <v>7.7513000000000005</v>
      </c>
      <c r="K62" s="103">
        <f t="shared" si="47"/>
        <v>16.829999999999998</v>
      </c>
      <c r="L62" s="76">
        <f t="shared" si="26"/>
        <v>24.581299999999999</v>
      </c>
      <c r="M62" s="153">
        <f t="shared" si="27"/>
        <v>118.05000000000001</v>
      </c>
      <c r="N62" s="157">
        <f t="shared" si="5"/>
        <v>0</v>
      </c>
      <c r="O62" s="57">
        <f>87.3868-10.5594</f>
        <v>76.827399999999997</v>
      </c>
      <c r="P62" s="78">
        <f t="shared" si="38"/>
        <v>-3.6574</v>
      </c>
      <c r="Q62" s="78">
        <f t="shared" si="48"/>
        <v>17.829999999999998</v>
      </c>
      <c r="R62" s="177">
        <f t="shared" si="6"/>
        <v>14.172599999999999</v>
      </c>
      <c r="S62" s="77">
        <f t="shared" si="29"/>
        <v>91</v>
      </c>
      <c r="T62" s="81">
        <f t="shared" si="8"/>
        <v>0</v>
      </c>
      <c r="U62" s="197">
        <f t="shared" si="51"/>
        <v>79.909600000000012</v>
      </c>
      <c r="V62" s="194">
        <f t="shared" si="30"/>
        <v>-12.679600000000001</v>
      </c>
      <c r="W62" s="194">
        <f t="shared" si="31"/>
        <v>16.580000000000002</v>
      </c>
      <c r="X62" s="191">
        <f t="shared" si="12"/>
        <v>3.9004000000000012</v>
      </c>
      <c r="Y62" s="196">
        <f t="shared" si="42"/>
        <v>83.810000000000016</v>
      </c>
      <c r="Z62" s="187">
        <f t="shared" si="10"/>
        <v>0</v>
      </c>
      <c r="AA62" s="73">
        <f t="shared" si="52"/>
        <v>61.694299999999998</v>
      </c>
      <c r="AB62" s="78">
        <f t="shared" si="33"/>
        <v>5.4657</v>
      </c>
      <c r="AC62" s="79">
        <f t="shared" si="49"/>
        <v>67.16</v>
      </c>
      <c r="AD62" s="43">
        <f t="shared" si="11"/>
        <v>0</v>
      </c>
      <c r="AE62" s="116">
        <f>86.1196+1.3746</f>
        <v>87.494200000000006</v>
      </c>
      <c r="AF62" s="20">
        <f t="shared" si="22"/>
        <v>-3.3341999999999996</v>
      </c>
      <c r="AG62" s="235">
        <f t="shared" si="50"/>
        <v>13.579999999999998</v>
      </c>
      <c r="AH62" s="235">
        <f t="shared" si="14"/>
        <v>10.245799999999999</v>
      </c>
      <c r="AI62" s="235">
        <f t="shared" si="15"/>
        <v>97.740000000000009</v>
      </c>
      <c r="AJ62" s="256">
        <f t="shared" si="16"/>
        <v>0</v>
      </c>
      <c r="AK62" s="240">
        <f>76.8108-35.08</f>
        <v>41.730800000000002</v>
      </c>
      <c r="AL62" s="235">
        <f t="shared" si="21"/>
        <v>-0.26080000000000003</v>
      </c>
      <c r="AM62" s="235">
        <f t="shared" si="44"/>
        <v>12.8</v>
      </c>
      <c r="AN62" s="235">
        <f t="shared" si="18"/>
        <v>12.539200000000001</v>
      </c>
      <c r="AO62" s="235">
        <f t="shared" si="19"/>
        <v>54.27</v>
      </c>
      <c r="AP62" s="256">
        <f t="shared" si="20"/>
        <v>0</v>
      </c>
      <c r="AQ62" s="154"/>
      <c r="AR62" s="102"/>
      <c r="AS62" s="103"/>
      <c r="AT62" s="76"/>
      <c r="AU62" s="153"/>
      <c r="AV62" s="157"/>
    </row>
    <row r="63" spans="1:48" ht="15">
      <c r="A63" s="248">
        <v>40253</v>
      </c>
      <c r="B63" s="83">
        <v>142.69</v>
      </c>
      <c r="C63" s="57">
        <f>86.9881-2.7681</f>
        <v>84.22</v>
      </c>
      <c r="D63" s="61">
        <f t="shared" si="43"/>
        <v>15.93</v>
      </c>
      <c r="E63" s="61">
        <f t="shared" si="46"/>
        <v>16.829999999999998</v>
      </c>
      <c r="F63" s="80">
        <f t="shared" si="0"/>
        <v>32.76</v>
      </c>
      <c r="G63" s="77">
        <f t="shared" si="24"/>
        <v>116.98</v>
      </c>
      <c r="H63" s="81">
        <f t="shared" si="2"/>
        <v>0</v>
      </c>
      <c r="I63" s="154">
        <f>86.1196+7.3491</f>
        <v>93.468700000000013</v>
      </c>
      <c r="J63" s="102">
        <f t="shared" si="45"/>
        <v>7.7513000000000005</v>
      </c>
      <c r="K63" s="103">
        <f t="shared" si="47"/>
        <v>16.829999999999998</v>
      </c>
      <c r="L63" s="76">
        <f t="shared" si="26"/>
        <v>24.581299999999999</v>
      </c>
      <c r="M63" s="153">
        <f t="shared" si="27"/>
        <v>118.05000000000001</v>
      </c>
      <c r="N63" s="157">
        <f t="shared" si="5"/>
        <v>0</v>
      </c>
      <c r="O63" s="57">
        <f>87.3868-10.5594</f>
        <v>76.827399999999997</v>
      </c>
      <c r="P63" s="78">
        <f t="shared" si="38"/>
        <v>-3.6574</v>
      </c>
      <c r="Q63" s="78">
        <f t="shared" si="48"/>
        <v>17.829999999999998</v>
      </c>
      <c r="R63" s="177">
        <f t="shared" si="6"/>
        <v>14.172599999999999</v>
      </c>
      <c r="S63" s="77">
        <f t="shared" si="29"/>
        <v>91</v>
      </c>
      <c r="T63" s="81">
        <f t="shared" si="8"/>
        <v>0</v>
      </c>
      <c r="U63" s="197">
        <f t="shared" si="51"/>
        <v>79.909600000000012</v>
      </c>
      <c r="V63" s="194">
        <f t="shared" si="30"/>
        <v>-12.679600000000001</v>
      </c>
      <c r="W63" s="194">
        <f t="shared" si="31"/>
        <v>16.580000000000002</v>
      </c>
      <c r="X63" s="191">
        <f t="shared" si="12"/>
        <v>3.9004000000000012</v>
      </c>
      <c r="Y63" s="196">
        <f t="shared" si="42"/>
        <v>83.810000000000016</v>
      </c>
      <c r="Z63" s="187">
        <f t="shared" si="10"/>
        <v>0</v>
      </c>
      <c r="AA63" s="73">
        <f t="shared" si="52"/>
        <v>61.694299999999998</v>
      </c>
      <c r="AB63" s="78">
        <f t="shared" si="33"/>
        <v>5.4657</v>
      </c>
      <c r="AC63" s="79">
        <f t="shared" si="49"/>
        <v>67.16</v>
      </c>
      <c r="AD63" s="43">
        <f t="shared" si="11"/>
        <v>0</v>
      </c>
      <c r="AE63" s="116">
        <f>89.6695-2.1753</f>
        <v>87.494200000000006</v>
      </c>
      <c r="AF63" s="20">
        <f t="shared" si="22"/>
        <v>-3.3341999999999996</v>
      </c>
      <c r="AG63" s="235">
        <f t="shared" si="50"/>
        <v>13.579999999999998</v>
      </c>
      <c r="AH63" s="235">
        <f t="shared" si="14"/>
        <v>10.245799999999999</v>
      </c>
      <c r="AI63" s="235">
        <f t="shared" si="15"/>
        <v>97.740000000000009</v>
      </c>
      <c r="AJ63" s="256">
        <f t="shared" si="16"/>
        <v>0</v>
      </c>
      <c r="AK63" s="240">
        <f>81.1019-39.3711</f>
        <v>41.730800000000002</v>
      </c>
      <c r="AL63" s="235">
        <f t="shared" si="21"/>
        <v>-0.26080000000000003</v>
      </c>
      <c r="AM63" s="235">
        <f t="shared" si="44"/>
        <v>12.8</v>
      </c>
      <c r="AN63" s="235">
        <f t="shared" si="18"/>
        <v>12.539200000000001</v>
      </c>
      <c r="AO63" s="235">
        <f t="shared" si="19"/>
        <v>54.27</v>
      </c>
      <c r="AP63" s="256">
        <f t="shared" si="20"/>
        <v>0</v>
      </c>
      <c r="AQ63" s="154"/>
      <c r="AR63" s="102"/>
      <c r="AS63" s="103"/>
      <c r="AT63" s="76"/>
      <c r="AU63" s="153"/>
      <c r="AV63" s="157"/>
    </row>
    <row r="64" spans="1:48" ht="15">
      <c r="A64" s="248">
        <v>40269</v>
      </c>
      <c r="B64" s="83">
        <v>142.07</v>
      </c>
      <c r="C64" s="57">
        <f>86.9881-2.7681</f>
        <v>84.22</v>
      </c>
      <c r="D64" s="61">
        <f t="shared" si="43"/>
        <v>15.93</v>
      </c>
      <c r="E64" s="61">
        <f t="shared" si="46"/>
        <v>16.829999999999998</v>
      </c>
      <c r="F64" s="80">
        <f t="shared" si="0"/>
        <v>32.76</v>
      </c>
      <c r="G64" s="77">
        <f t="shared" si="24"/>
        <v>116.98</v>
      </c>
      <c r="H64" s="81">
        <f t="shared" si="2"/>
        <v>0</v>
      </c>
      <c r="I64" s="154">
        <f>86.1196+7.3491</f>
        <v>93.468700000000013</v>
      </c>
      <c r="J64" s="102">
        <f t="shared" si="45"/>
        <v>7.7513000000000005</v>
      </c>
      <c r="K64" s="103">
        <f t="shared" si="47"/>
        <v>16.829999999999998</v>
      </c>
      <c r="L64" s="76">
        <f t="shared" si="26"/>
        <v>24.581299999999999</v>
      </c>
      <c r="M64" s="153">
        <f t="shared" si="27"/>
        <v>118.05000000000001</v>
      </c>
      <c r="N64" s="157">
        <f t="shared" si="5"/>
        <v>0</v>
      </c>
      <c r="O64" s="57">
        <f>87.3868-10.5594</f>
        <v>76.827399999999997</v>
      </c>
      <c r="P64" s="78">
        <f t="shared" si="38"/>
        <v>-3.6574</v>
      </c>
      <c r="Q64" s="78">
        <f t="shared" si="48"/>
        <v>17.829999999999998</v>
      </c>
      <c r="R64" s="177">
        <f t="shared" si="6"/>
        <v>14.172599999999999</v>
      </c>
      <c r="S64" s="77">
        <f t="shared" si="29"/>
        <v>91</v>
      </c>
      <c r="T64" s="81">
        <f t="shared" si="8"/>
        <v>0</v>
      </c>
      <c r="U64" s="197">
        <f t="shared" si="51"/>
        <v>79.909600000000012</v>
      </c>
      <c r="V64" s="194">
        <f t="shared" si="30"/>
        <v>-12.679600000000001</v>
      </c>
      <c r="W64" s="194">
        <f t="shared" si="31"/>
        <v>16.580000000000002</v>
      </c>
      <c r="X64" s="191">
        <f t="shared" si="12"/>
        <v>3.9004000000000012</v>
      </c>
      <c r="Y64" s="196">
        <f t="shared" si="42"/>
        <v>83.810000000000016</v>
      </c>
      <c r="Z64" s="187">
        <f t="shared" si="10"/>
        <v>0</v>
      </c>
      <c r="AA64" s="73">
        <f t="shared" si="52"/>
        <v>61.694299999999998</v>
      </c>
      <c r="AB64" s="78">
        <f t="shared" si="33"/>
        <v>5.4657</v>
      </c>
      <c r="AC64" s="79">
        <f t="shared" si="49"/>
        <v>67.16</v>
      </c>
      <c r="AD64" s="43">
        <f t="shared" si="11"/>
        <v>0</v>
      </c>
      <c r="AE64" s="116">
        <f>91.5981-4.1039</f>
        <v>87.494200000000006</v>
      </c>
      <c r="AF64" s="20">
        <f t="shared" si="22"/>
        <v>-3.3341999999999996</v>
      </c>
      <c r="AG64" s="235">
        <f t="shared" si="50"/>
        <v>13.579999999999998</v>
      </c>
      <c r="AH64" s="235">
        <f t="shared" si="14"/>
        <v>10.245799999999999</v>
      </c>
      <c r="AI64" s="235">
        <f t="shared" si="15"/>
        <v>97.740000000000009</v>
      </c>
      <c r="AJ64" s="256">
        <f t="shared" si="16"/>
        <v>0</v>
      </c>
      <c r="AK64" s="240">
        <f>80.6041-38.8733</f>
        <v>41.730800000000002</v>
      </c>
      <c r="AL64" s="235">
        <f t="shared" si="21"/>
        <v>-0.26080000000000003</v>
      </c>
      <c r="AM64" s="235">
        <f t="shared" si="44"/>
        <v>12.8</v>
      </c>
      <c r="AN64" s="235">
        <f t="shared" si="18"/>
        <v>12.539200000000001</v>
      </c>
      <c r="AO64" s="235">
        <f t="shared" si="19"/>
        <v>54.27</v>
      </c>
      <c r="AP64" s="256">
        <f t="shared" si="20"/>
        <v>0</v>
      </c>
      <c r="AQ64" s="154"/>
      <c r="AR64" s="102"/>
      <c r="AS64" s="103"/>
      <c r="AT64" s="76"/>
      <c r="AU64" s="153"/>
      <c r="AV64" s="157"/>
    </row>
    <row r="65" spans="1:48" ht="15">
      <c r="A65" s="248">
        <v>40284</v>
      </c>
      <c r="B65" s="83">
        <v>142.20999999999998</v>
      </c>
      <c r="C65" s="57">
        <f>93.7469-9.5269</f>
        <v>84.22</v>
      </c>
      <c r="D65" s="61">
        <f t="shared" si="43"/>
        <v>15.93</v>
      </c>
      <c r="E65" s="61">
        <f t="shared" si="46"/>
        <v>16.829999999999998</v>
      </c>
      <c r="F65" s="80">
        <f t="shared" si="0"/>
        <v>32.76</v>
      </c>
      <c r="G65" s="77">
        <f t="shared" si="24"/>
        <v>116.98</v>
      </c>
      <c r="H65" s="81">
        <f t="shared" ref="H65:H111" si="53">G65/G64-1</f>
        <v>0</v>
      </c>
      <c r="I65" s="154">
        <f>95.1664-1.6977</f>
        <v>93.468699999999998</v>
      </c>
      <c r="J65" s="102">
        <f t="shared" si="45"/>
        <v>7.7513000000000005</v>
      </c>
      <c r="K65" s="103">
        <f t="shared" si="47"/>
        <v>16.829999999999998</v>
      </c>
      <c r="L65" s="76">
        <f t="shared" si="26"/>
        <v>24.581299999999999</v>
      </c>
      <c r="M65" s="153">
        <f t="shared" si="27"/>
        <v>118.05</v>
      </c>
      <c r="N65" s="157">
        <f t="shared" si="5"/>
        <v>0</v>
      </c>
      <c r="O65" s="57">
        <f>95.2371-18.4097</f>
        <v>76.827399999999997</v>
      </c>
      <c r="P65" s="78">
        <f t="shared" si="38"/>
        <v>-3.6574</v>
      </c>
      <c r="Q65" s="78">
        <f t="shared" si="48"/>
        <v>17.829999999999998</v>
      </c>
      <c r="R65" s="177">
        <f t="shared" si="6"/>
        <v>14.172599999999999</v>
      </c>
      <c r="S65" s="77">
        <f t="shared" si="29"/>
        <v>91</v>
      </c>
      <c r="T65" s="81">
        <f t="shared" si="8"/>
        <v>0</v>
      </c>
      <c r="U65" s="197">
        <f t="shared" si="51"/>
        <v>79.909600000000012</v>
      </c>
      <c r="V65" s="194">
        <f t="shared" si="30"/>
        <v>-12.679600000000001</v>
      </c>
      <c r="W65" s="194">
        <f t="shared" si="31"/>
        <v>16.580000000000002</v>
      </c>
      <c r="X65" s="191">
        <f t="shared" si="12"/>
        <v>3.9004000000000012</v>
      </c>
      <c r="Y65" s="196">
        <f t="shared" si="42"/>
        <v>83.810000000000016</v>
      </c>
      <c r="Z65" s="187">
        <f t="shared" si="10"/>
        <v>0</v>
      </c>
      <c r="AA65" s="73">
        <f t="shared" si="52"/>
        <v>61.694299999999998</v>
      </c>
      <c r="AB65" s="78">
        <f t="shared" si="33"/>
        <v>5.4657</v>
      </c>
      <c r="AC65" s="79">
        <f t="shared" si="49"/>
        <v>67.16</v>
      </c>
      <c r="AD65" s="43">
        <f t="shared" si="11"/>
        <v>0</v>
      </c>
      <c r="AE65" s="116">
        <f>95.1664-7.6722</f>
        <v>87.494199999999992</v>
      </c>
      <c r="AF65" s="20">
        <f t="shared" si="22"/>
        <v>-3.3341999999999996</v>
      </c>
      <c r="AG65" s="235">
        <f t="shared" si="50"/>
        <v>13.579999999999998</v>
      </c>
      <c r="AH65" s="235">
        <f t="shared" si="14"/>
        <v>10.245799999999999</v>
      </c>
      <c r="AI65" s="235">
        <f t="shared" si="15"/>
        <v>97.74</v>
      </c>
      <c r="AJ65" s="256">
        <f t="shared" si="16"/>
        <v>0</v>
      </c>
      <c r="AK65" s="240">
        <f>82.0376-40.3068</f>
        <v>41.730799999999995</v>
      </c>
      <c r="AL65" s="235">
        <f t="shared" si="21"/>
        <v>-0.26080000000000003</v>
      </c>
      <c r="AM65" s="235">
        <f t="shared" si="44"/>
        <v>12.8</v>
      </c>
      <c r="AN65" s="235">
        <f t="shared" si="18"/>
        <v>12.539200000000001</v>
      </c>
      <c r="AO65" s="235">
        <f t="shared" si="19"/>
        <v>54.269999999999996</v>
      </c>
      <c r="AP65" s="256">
        <f t="shared" si="20"/>
        <v>0</v>
      </c>
      <c r="AQ65" s="154"/>
      <c r="AR65" s="102"/>
      <c r="AS65" s="103"/>
      <c r="AT65" s="76"/>
      <c r="AU65" s="153"/>
      <c r="AV65" s="157"/>
    </row>
    <row r="66" spans="1:48" ht="15">
      <c r="A66" s="248">
        <v>40299</v>
      </c>
      <c r="B66" s="83">
        <v>141.98999999999998</v>
      </c>
      <c r="C66" s="57">
        <f>93.7469-9.5269</f>
        <v>84.22</v>
      </c>
      <c r="D66" s="61">
        <f t="shared" si="43"/>
        <v>15.93</v>
      </c>
      <c r="E66" s="61">
        <f t="shared" si="46"/>
        <v>16.829999999999998</v>
      </c>
      <c r="F66" s="80">
        <f t="shared" si="0"/>
        <v>32.76</v>
      </c>
      <c r="G66" s="77">
        <f t="shared" si="24"/>
        <v>116.98</v>
      </c>
      <c r="H66" s="81">
        <f t="shared" si="53"/>
        <v>0</v>
      </c>
      <c r="I66" s="154">
        <f>95.1664-1.6977</f>
        <v>93.468699999999998</v>
      </c>
      <c r="J66" s="102">
        <f t="shared" si="45"/>
        <v>7.7513000000000005</v>
      </c>
      <c r="K66" s="103">
        <f t="shared" si="47"/>
        <v>16.829999999999998</v>
      </c>
      <c r="L66" s="76">
        <f t="shared" si="26"/>
        <v>24.581299999999999</v>
      </c>
      <c r="M66" s="153">
        <f t="shared" si="27"/>
        <v>118.05</v>
      </c>
      <c r="N66" s="157">
        <f t="shared" si="5"/>
        <v>0</v>
      </c>
      <c r="O66" s="57">
        <f>95.2371-18.4097</f>
        <v>76.827399999999997</v>
      </c>
      <c r="P66" s="78">
        <f t="shared" si="38"/>
        <v>-3.6574</v>
      </c>
      <c r="Q66" s="78">
        <f t="shared" si="48"/>
        <v>17.829999999999998</v>
      </c>
      <c r="R66" s="177">
        <f t="shared" si="6"/>
        <v>14.172599999999999</v>
      </c>
      <c r="S66" s="77">
        <f t="shared" si="29"/>
        <v>91</v>
      </c>
      <c r="T66" s="81">
        <f t="shared" si="8"/>
        <v>0</v>
      </c>
      <c r="U66" s="197">
        <f t="shared" si="51"/>
        <v>79.909600000000012</v>
      </c>
      <c r="V66" s="194">
        <f t="shared" si="30"/>
        <v>-12.679600000000001</v>
      </c>
      <c r="W66" s="194">
        <f t="shared" si="31"/>
        <v>16.580000000000002</v>
      </c>
      <c r="X66" s="191">
        <f t="shared" si="12"/>
        <v>3.9004000000000012</v>
      </c>
      <c r="Y66" s="196">
        <f t="shared" si="42"/>
        <v>83.810000000000016</v>
      </c>
      <c r="Z66" s="187">
        <f t="shared" si="10"/>
        <v>0</v>
      </c>
      <c r="AA66" s="73">
        <f t="shared" si="52"/>
        <v>61.694299999999998</v>
      </c>
      <c r="AB66" s="78">
        <f t="shared" si="33"/>
        <v>5.4657</v>
      </c>
      <c r="AC66" s="79">
        <f t="shared" ref="AC66:AC85" si="54">SUM(AA66:AB66)</f>
        <v>67.16</v>
      </c>
      <c r="AD66" s="43">
        <f t="shared" si="11"/>
        <v>0</v>
      </c>
      <c r="AE66" s="116">
        <f>96.155-8.6608</f>
        <v>87.494200000000006</v>
      </c>
      <c r="AF66" s="20">
        <f t="shared" si="22"/>
        <v>-3.3341999999999996</v>
      </c>
      <c r="AG66" s="235">
        <f t="shared" si="50"/>
        <v>13.579999999999998</v>
      </c>
      <c r="AH66" s="235">
        <f t="shared" si="14"/>
        <v>10.245799999999999</v>
      </c>
      <c r="AI66" s="235">
        <f t="shared" si="15"/>
        <v>97.740000000000009</v>
      </c>
      <c r="AJ66" s="256">
        <f t="shared" si="16"/>
        <v>0</v>
      </c>
      <c r="AK66" s="240">
        <f>81.6223-39.8915</f>
        <v>41.730799999999995</v>
      </c>
      <c r="AL66" s="235">
        <f t="shared" si="21"/>
        <v>-0.26080000000000003</v>
      </c>
      <c r="AM66" s="235">
        <f t="shared" si="44"/>
        <v>12.8</v>
      </c>
      <c r="AN66" s="235">
        <f t="shared" si="18"/>
        <v>12.539200000000001</v>
      </c>
      <c r="AO66" s="235">
        <f t="shared" si="19"/>
        <v>54.269999999999996</v>
      </c>
      <c r="AP66" s="256">
        <f t="shared" si="20"/>
        <v>0</v>
      </c>
      <c r="AQ66" s="154"/>
      <c r="AR66" s="102"/>
      <c r="AS66" s="103"/>
      <c r="AT66" s="76"/>
      <c r="AU66" s="153"/>
      <c r="AV66" s="157"/>
    </row>
    <row r="67" spans="1:48" ht="15">
      <c r="A67" s="248">
        <v>40314</v>
      </c>
      <c r="B67" s="72">
        <v>142.06</v>
      </c>
      <c r="C67" s="73">
        <f>91.8355-7.6155</f>
        <v>84.22</v>
      </c>
      <c r="D67" s="80">
        <f t="shared" ref="D67:D76" si="55">2.78+2+6+0.05+0.1+5</f>
        <v>15.93</v>
      </c>
      <c r="E67" s="80">
        <f t="shared" si="46"/>
        <v>16.829999999999998</v>
      </c>
      <c r="F67" s="80">
        <f t="shared" si="0"/>
        <v>32.76</v>
      </c>
      <c r="G67" s="77">
        <f t="shared" si="24"/>
        <v>116.98</v>
      </c>
      <c r="H67" s="81">
        <f t="shared" si="53"/>
        <v>0</v>
      </c>
      <c r="I67" s="152">
        <f>95.5227-2.054</f>
        <v>93.468699999999998</v>
      </c>
      <c r="J67" s="102">
        <f t="shared" si="45"/>
        <v>7.7513000000000005</v>
      </c>
      <c r="K67" s="102">
        <f t="shared" si="47"/>
        <v>16.829999999999998</v>
      </c>
      <c r="L67" s="76">
        <f t="shared" si="26"/>
        <v>24.581299999999999</v>
      </c>
      <c r="M67" s="155">
        <f t="shared" si="27"/>
        <v>118.05</v>
      </c>
      <c r="N67" s="157">
        <f t="shared" si="5"/>
        <v>0</v>
      </c>
      <c r="O67" s="73">
        <f>95.9617-19.1343</f>
        <v>76.827399999999997</v>
      </c>
      <c r="P67" s="61">
        <f t="shared" ref="P67:P109" si="56">1.0375+0.05+0.1-4.8449</f>
        <v>-3.6574</v>
      </c>
      <c r="Q67" s="80">
        <f t="shared" si="48"/>
        <v>17.829999999999998</v>
      </c>
      <c r="R67" s="177">
        <f t="shared" si="6"/>
        <v>14.172599999999999</v>
      </c>
      <c r="S67" s="82">
        <f t="shared" si="29"/>
        <v>91</v>
      </c>
      <c r="T67" s="81">
        <f t="shared" si="8"/>
        <v>0</v>
      </c>
      <c r="U67" s="190">
        <f>108.586-28.6764</f>
        <v>79.909599999999998</v>
      </c>
      <c r="V67" s="194">
        <f t="shared" si="30"/>
        <v>-12.679600000000001</v>
      </c>
      <c r="W67" s="191">
        <f t="shared" si="31"/>
        <v>16.580000000000002</v>
      </c>
      <c r="X67" s="191">
        <f t="shared" si="12"/>
        <v>3.9004000000000012</v>
      </c>
      <c r="Y67" s="196">
        <f t="shared" si="42"/>
        <v>83.809999999999988</v>
      </c>
      <c r="Z67" s="187">
        <f t="shared" si="10"/>
        <v>0</v>
      </c>
      <c r="AA67" s="73">
        <f>78.4695-16.7752</f>
        <v>61.694299999999998</v>
      </c>
      <c r="AB67" s="80">
        <f t="shared" si="33"/>
        <v>5.4657</v>
      </c>
      <c r="AC67" s="77">
        <f t="shared" si="54"/>
        <v>67.16</v>
      </c>
      <c r="AD67" s="43">
        <f t="shared" si="11"/>
        <v>0</v>
      </c>
      <c r="AE67" s="116">
        <f>95.5227-8.0285</f>
        <v>87.494200000000006</v>
      </c>
      <c r="AF67" s="20">
        <f t="shared" si="22"/>
        <v>-3.3341999999999996</v>
      </c>
      <c r="AG67" s="235">
        <f t="shared" si="50"/>
        <v>13.579999999999998</v>
      </c>
      <c r="AH67" s="235">
        <f t="shared" si="14"/>
        <v>10.245799999999999</v>
      </c>
      <c r="AI67" s="235">
        <f t="shared" si="15"/>
        <v>97.740000000000009</v>
      </c>
      <c r="AJ67" s="256">
        <f t="shared" si="16"/>
        <v>0</v>
      </c>
      <c r="AK67" s="240">
        <f>80.5594-38.8286</f>
        <v>41.730799999999995</v>
      </c>
      <c r="AL67" s="235">
        <f t="shared" si="21"/>
        <v>-0.26080000000000003</v>
      </c>
      <c r="AM67" s="235">
        <f t="shared" si="44"/>
        <v>12.8</v>
      </c>
      <c r="AN67" s="235">
        <f t="shared" si="18"/>
        <v>12.539200000000001</v>
      </c>
      <c r="AO67" s="235">
        <f t="shared" si="19"/>
        <v>54.269999999999996</v>
      </c>
      <c r="AP67" s="256">
        <f t="shared" si="20"/>
        <v>0</v>
      </c>
      <c r="AQ67" s="152"/>
      <c r="AR67" s="102"/>
      <c r="AS67" s="102"/>
      <c r="AT67" s="76"/>
      <c r="AU67" s="155"/>
      <c r="AV67" s="157"/>
    </row>
    <row r="68" spans="1:48" ht="15">
      <c r="A68" s="248">
        <v>40330</v>
      </c>
      <c r="B68" s="72">
        <v>142.38999999999999</v>
      </c>
      <c r="C68" s="73">
        <f>84.105+0.115</f>
        <v>84.22</v>
      </c>
      <c r="D68" s="80">
        <f t="shared" si="55"/>
        <v>15.93</v>
      </c>
      <c r="E68" s="80">
        <f t="shared" si="46"/>
        <v>16.829999999999998</v>
      </c>
      <c r="F68" s="80">
        <f t="shared" si="0"/>
        <v>32.76</v>
      </c>
      <c r="G68" s="77">
        <f t="shared" si="24"/>
        <v>116.98</v>
      </c>
      <c r="H68" s="81">
        <f t="shared" si="53"/>
        <v>0</v>
      </c>
      <c r="I68" s="156">
        <f>87.1196+6.3491</f>
        <v>93.468700000000013</v>
      </c>
      <c r="J68" s="102">
        <f t="shared" si="45"/>
        <v>7.7513000000000005</v>
      </c>
      <c r="K68" s="102">
        <f t="shared" si="47"/>
        <v>16.829999999999998</v>
      </c>
      <c r="L68" s="76">
        <f t="shared" si="26"/>
        <v>24.581299999999999</v>
      </c>
      <c r="M68" s="155">
        <f t="shared" si="27"/>
        <v>118.05000000000001</v>
      </c>
      <c r="N68" s="157">
        <f t="shared" si="5"/>
        <v>0</v>
      </c>
      <c r="O68" s="73">
        <f>88.4107-11.5833</f>
        <v>76.827400000000011</v>
      </c>
      <c r="P68" s="61">
        <f t="shared" si="56"/>
        <v>-3.6574</v>
      </c>
      <c r="Q68" s="80">
        <f t="shared" si="48"/>
        <v>17.829999999999998</v>
      </c>
      <c r="R68" s="177">
        <f t="shared" si="6"/>
        <v>14.172599999999999</v>
      </c>
      <c r="S68" s="82">
        <f t="shared" si="29"/>
        <v>91.000000000000014</v>
      </c>
      <c r="T68" s="81">
        <f t="shared" si="8"/>
        <v>0</v>
      </c>
      <c r="U68" s="190">
        <f>101.0933-21.1837</f>
        <v>79.909599999999998</v>
      </c>
      <c r="V68" s="194">
        <f t="shared" si="30"/>
        <v>-12.679600000000001</v>
      </c>
      <c r="W68" s="191">
        <f t="shared" si="31"/>
        <v>16.580000000000002</v>
      </c>
      <c r="X68" s="191">
        <f t="shared" si="12"/>
        <v>3.9004000000000012</v>
      </c>
      <c r="Y68" s="196">
        <f t="shared" si="42"/>
        <v>83.809999999999988</v>
      </c>
      <c r="Z68" s="187">
        <f t="shared" si="10"/>
        <v>0</v>
      </c>
      <c r="AA68" s="73">
        <f>71.2532-9.5589</f>
        <v>61.694300000000005</v>
      </c>
      <c r="AB68" s="80">
        <f t="shared" si="33"/>
        <v>5.4657</v>
      </c>
      <c r="AC68" s="77">
        <f t="shared" si="54"/>
        <v>67.160000000000011</v>
      </c>
      <c r="AD68" s="43">
        <f t="shared" si="11"/>
        <v>0</v>
      </c>
      <c r="AE68" s="116">
        <f>87.1196+0.3746</f>
        <v>87.494200000000006</v>
      </c>
      <c r="AF68" s="20">
        <f t="shared" si="22"/>
        <v>-3.3341999999999996</v>
      </c>
      <c r="AG68" s="235">
        <f t="shared" si="50"/>
        <v>13.579999999999998</v>
      </c>
      <c r="AH68" s="235">
        <f t="shared" si="14"/>
        <v>10.245799999999999</v>
      </c>
      <c r="AI68" s="235">
        <f t="shared" si="15"/>
        <v>97.740000000000009</v>
      </c>
      <c r="AJ68" s="256">
        <f t="shared" si="16"/>
        <v>0</v>
      </c>
      <c r="AK68" s="240">
        <f>74.5812-32.8504</f>
        <v>41.730799999999995</v>
      </c>
      <c r="AL68" s="235">
        <f t="shared" si="21"/>
        <v>-0.26080000000000003</v>
      </c>
      <c r="AM68" s="235">
        <f t="shared" si="44"/>
        <v>12.8</v>
      </c>
      <c r="AN68" s="235">
        <f t="shared" si="18"/>
        <v>12.539200000000001</v>
      </c>
      <c r="AO68" s="235">
        <f t="shared" si="19"/>
        <v>54.269999999999996</v>
      </c>
      <c r="AP68" s="256">
        <f t="shared" si="20"/>
        <v>0</v>
      </c>
      <c r="AQ68" s="156"/>
      <c r="AR68" s="102"/>
      <c r="AS68" s="102"/>
      <c r="AT68" s="76"/>
      <c r="AU68" s="155"/>
      <c r="AV68" s="157"/>
    </row>
    <row r="69" spans="1:48" ht="15">
      <c r="A69" s="248">
        <v>40345</v>
      </c>
      <c r="B69" s="72">
        <v>142.67000000000002</v>
      </c>
      <c r="C69" s="73">
        <f>83.5912+0.6288</f>
        <v>84.22</v>
      </c>
      <c r="D69" s="80">
        <f t="shared" si="55"/>
        <v>15.93</v>
      </c>
      <c r="E69" s="80">
        <f t="shared" si="46"/>
        <v>16.829999999999998</v>
      </c>
      <c r="F69" s="80">
        <f t="shared" si="0"/>
        <v>32.76</v>
      </c>
      <c r="G69" s="77">
        <f t="shared" si="24"/>
        <v>116.98</v>
      </c>
      <c r="H69" s="81">
        <f t="shared" si="53"/>
        <v>0</v>
      </c>
      <c r="I69" s="156">
        <f>88.1742+5.2945</f>
        <v>93.468699999999998</v>
      </c>
      <c r="J69" s="102">
        <f t="shared" si="45"/>
        <v>7.7513000000000005</v>
      </c>
      <c r="K69" s="102">
        <f t="shared" si="47"/>
        <v>16.829999999999998</v>
      </c>
      <c r="L69" s="76">
        <f t="shared" si="26"/>
        <v>24.581299999999999</v>
      </c>
      <c r="M69" s="155">
        <f t="shared" si="27"/>
        <v>118.05</v>
      </c>
      <c r="N69" s="157">
        <f t="shared" si="5"/>
        <v>0</v>
      </c>
      <c r="O69" s="73">
        <f>89.4428-12.6154</f>
        <v>76.827400000000011</v>
      </c>
      <c r="P69" s="61">
        <f t="shared" si="56"/>
        <v>-3.6574</v>
      </c>
      <c r="Q69" s="80">
        <f t="shared" si="48"/>
        <v>17.829999999999998</v>
      </c>
      <c r="R69" s="177">
        <f t="shared" si="6"/>
        <v>14.172599999999999</v>
      </c>
      <c r="S69" s="82">
        <f t="shared" ref="S69:S85" si="57">SUM(O69:Q69)</f>
        <v>91.000000000000014</v>
      </c>
      <c r="T69" s="81">
        <f t="shared" si="8"/>
        <v>0</v>
      </c>
      <c r="U69" s="190">
        <f>101.9654-22.0558</f>
        <v>79.909599999999998</v>
      </c>
      <c r="V69" s="194">
        <f t="shared" si="30"/>
        <v>-12.679600000000001</v>
      </c>
      <c r="W69" s="191">
        <f t="shared" si="31"/>
        <v>16.580000000000002</v>
      </c>
      <c r="X69" s="191">
        <f t="shared" si="12"/>
        <v>3.9004000000000012</v>
      </c>
      <c r="Y69" s="192">
        <f t="shared" si="42"/>
        <v>83.809999999999988</v>
      </c>
      <c r="Z69" s="187">
        <f t="shared" si="10"/>
        <v>0</v>
      </c>
      <c r="AA69" s="73">
        <f>70.9136-9.2193</f>
        <v>61.694299999999998</v>
      </c>
      <c r="AB69" s="80">
        <f t="shared" si="33"/>
        <v>5.4657</v>
      </c>
      <c r="AC69" s="77">
        <f t="shared" si="54"/>
        <v>67.16</v>
      </c>
      <c r="AD69" s="43">
        <f t="shared" si="11"/>
        <v>0</v>
      </c>
      <c r="AE69" s="116">
        <f>88.1742-0.68</f>
        <v>87.494199999999992</v>
      </c>
      <c r="AF69" s="20">
        <f t="shared" si="22"/>
        <v>-3.3341999999999996</v>
      </c>
      <c r="AG69" s="235">
        <f t="shared" si="50"/>
        <v>13.579999999999998</v>
      </c>
      <c r="AH69" s="235">
        <f t="shared" si="14"/>
        <v>10.245799999999999</v>
      </c>
      <c r="AI69" s="235">
        <f t="shared" si="15"/>
        <v>97.74</v>
      </c>
      <c r="AJ69" s="256">
        <f t="shared" si="16"/>
        <v>0</v>
      </c>
      <c r="AK69" s="240">
        <f>74.1839-32.4531</f>
        <v>41.730799999999995</v>
      </c>
      <c r="AL69" s="235">
        <f t="shared" si="21"/>
        <v>-0.26080000000000003</v>
      </c>
      <c r="AM69" s="235">
        <f t="shared" si="44"/>
        <v>12.8</v>
      </c>
      <c r="AN69" s="235">
        <f t="shared" si="18"/>
        <v>12.539200000000001</v>
      </c>
      <c r="AO69" s="235">
        <f t="shared" si="19"/>
        <v>54.269999999999996</v>
      </c>
      <c r="AP69" s="256">
        <f t="shared" si="20"/>
        <v>0</v>
      </c>
      <c r="AQ69" s="156"/>
      <c r="AR69" s="102"/>
      <c r="AS69" s="102"/>
      <c r="AT69" s="76"/>
      <c r="AU69" s="155"/>
      <c r="AV69" s="157"/>
    </row>
    <row r="70" spans="1:48" ht="15">
      <c r="A70" s="248">
        <v>40360</v>
      </c>
      <c r="B70" s="72">
        <v>143.05000000000001</v>
      </c>
      <c r="C70" s="73">
        <f>85.5715-1.3515</f>
        <v>84.22</v>
      </c>
      <c r="D70" s="80">
        <f t="shared" si="55"/>
        <v>15.93</v>
      </c>
      <c r="E70" s="80">
        <f t="shared" si="46"/>
        <v>16.829999999999998</v>
      </c>
      <c r="F70" s="80">
        <f t="shared" si="0"/>
        <v>32.76</v>
      </c>
      <c r="G70" s="77">
        <f t="shared" si="24"/>
        <v>116.98</v>
      </c>
      <c r="H70" s="81">
        <f t="shared" si="53"/>
        <v>0</v>
      </c>
      <c r="I70" s="156">
        <f>92.2919+1.1768</f>
        <v>93.468699999999998</v>
      </c>
      <c r="J70" s="102">
        <f t="shared" si="45"/>
        <v>7.7513000000000005</v>
      </c>
      <c r="K70" s="102">
        <f t="shared" si="47"/>
        <v>16.829999999999998</v>
      </c>
      <c r="L70" s="76">
        <f t="shared" si="26"/>
        <v>24.581299999999999</v>
      </c>
      <c r="M70" s="155">
        <f t="shared" si="27"/>
        <v>118.05</v>
      </c>
      <c r="N70" s="157">
        <f t="shared" si="5"/>
        <v>0</v>
      </c>
      <c r="O70" s="73">
        <f>92.8734-16.046</f>
        <v>76.827400000000011</v>
      </c>
      <c r="P70" s="61">
        <f t="shared" si="56"/>
        <v>-3.6574</v>
      </c>
      <c r="Q70" s="80">
        <f t="shared" si="48"/>
        <v>17.829999999999998</v>
      </c>
      <c r="R70" s="177">
        <f t="shared" si="6"/>
        <v>14.172599999999999</v>
      </c>
      <c r="S70" s="82">
        <f t="shared" si="57"/>
        <v>91.000000000000014</v>
      </c>
      <c r="T70" s="81">
        <f t="shared" si="8"/>
        <v>0</v>
      </c>
      <c r="U70" s="190">
        <f>104.0057-24.0961</f>
        <v>79.909600000000012</v>
      </c>
      <c r="V70" s="194">
        <f t="shared" si="30"/>
        <v>-12.679600000000001</v>
      </c>
      <c r="W70" s="191">
        <f t="shared" si="31"/>
        <v>16.580000000000002</v>
      </c>
      <c r="X70" s="191">
        <f t="shared" si="12"/>
        <v>3.9004000000000012</v>
      </c>
      <c r="Y70" s="192">
        <f t="shared" si="42"/>
        <v>83.810000000000016</v>
      </c>
      <c r="Z70" s="187">
        <f t="shared" si="10"/>
        <v>0</v>
      </c>
      <c r="AA70" s="73">
        <f>72.9496-11.2553</f>
        <v>61.694300000000005</v>
      </c>
      <c r="AB70" s="80">
        <f t="shared" si="33"/>
        <v>5.4657</v>
      </c>
      <c r="AC70" s="77">
        <f t="shared" si="54"/>
        <v>67.160000000000011</v>
      </c>
      <c r="AD70" s="43">
        <f t="shared" si="11"/>
        <v>0</v>
      </c>
      <c r="AE70" s="116">
        <f>92.2919-4.7977</f>
        <v>87.494199999999992</v>
      </c>
      <c r="AF70" s="20">
        <f t="shared" si="22"/>
        <v>-3.3341999999999996</v>
      </c>
      <c r="AG70" s="235">
        <f t="shared" si="50"/>
        <v>13.579999999999998</v>
      </c>
      <c r="AH70" s="235">
        <f t="shared" si="14"/>
        <v>10.245799999999999</v>
      </c>
      <c r="AI70" s="235">
        <f t="shared" si="15"/>
        <v>97.74</v>
      </c>
      <c r="AJ70" s="256">
        <f t="shared" si="16"/>
        <v>0</v>
      </c>
      <c r="AK70" s="240">
        <f>75.7153-33.9845</f>
        <v>41.730800000000002</v>
      </c>
      <c r="AL70" s="235">
        <f t="shared" si="21"/>
        <v>-0.26080000000000003</v>
      </c>
      <c r="AM70" s="235">
        <f t="shared" si="44"/>
        <v>12.8</v>
      </c>
      <c r="AN70" s="235">
        <f t="shared" si="18"/>
        <v>12.539200000000001</v>
      </c>
      <c r="AO70" s="235">
        <f t="shared" si="19"/>
        <v>54.27</v>
      </c>
      <c r="AP70" s="256">
        <f t="shared" si="20"/>
        <v>0</v>
      </c>
      <c r="AQ70" s="156"/>
      <c r="AR70" s="102"/>
      <c r="AS70" s="102"/>
      <c r="AT70" s="76"/>
      <c r="AU70" s="155"/>
      <c r="AV70" s="157"/>
    </row>
    <row r="71" spans="1:48" ht="15">
      <c r="A71" s="248">
        <v>40375</v>
      </c>
      <c r="B71" s="72">
        <v>143.35999999999999</v>
      </c>
      <c r="C71" s="73">
        <f>82.6504+1.5696</f>
        <v>84.22</v>
      </c>
      <c r="D71" s="80">
        <f t="shared" si="55"/>
        <v>15.93</v>
      </c>
      <c r="E71" s="80">
        <f t="shared" si="46"/>
        <v>16.829999999999998</v>
      </c>
      <c r="F71" s="80">
        <f t="shared" si="0"/>
        <v>32.76</v>
      </c>
      <c r="G71" s="77">
        <f t="shared" si="24"/>
        <v>116.98</v>
      </c>
      <c r="H71" s="81">
        <f t="shared" si="53"/>
        <v>0</v>
      </c>
      <c r="I71" s="154">
        <f>87.7815+5.6872</f>
        <v>93.468699999999998</v>
      </c>
      <c r="J71" s="102">
        <f t="shared" si="45"/>
        <v>7.7513000000000005</v>
      </c>
      <c r="K71" s="102">
        <f t="shared" si="47"/>
        <v>16.829999999999998</v>
      </c>
      <c r="L71" s="76">
        <f t="shared" si="26"/>
        <v>24.581299999999999</v>
      </c>
      <c r="M71" s="155">
        <f t="shared" si="27"/>
        <v>118.05</v>
      </c>
      <c r="N71" s="157">
        <f t="shared" si="5"/>
        <v>0</v>
      </c>
      <c r="O71" s="73">
        <f>88.0842-11.2568</f>
        <v>76.827399999999997</v>
      </c>
      <c r="P71" s="61">
        <f t="shared" si="56"/>
        <v>-3.6574</v>
      </c>
      <c r="Q71" s="80">
        <f t="shared" si="48"/>
        <v>17.829999999999998</v>
      </c>
      <c r="R71" s="177">
        <f t="shared" si="6"/>
        <v>14.172599999999999</v>
      </c>
      <c r="S71" s="82">
        <f t="shared" si="57"/>
        <v>91</v>
      </c>
      <c r="T71" s="81">
        <f t="shared" si="8"/>
        <v>0</v>
      </c>
      <c r="U71" s="190">
        <f>98.4848-18.5752</f>
        <v>79.909600000000012</v>
      </c>
      <c r="V71" s="194">
        <f t="shared" si="30"/>
        <v>-12.679600000000001</v>
      </c>
      <c r="W71" s="191">
        <f t="shared" si="31"/>
        <v>16.580000000000002</v>
      </c>
      <c r="X71" s="191">
        <f t="shared" si="12"/>
        <v>3.9004000000000012</v>
      </c>
      <c r="Y71" s="192">
        <f t="shared" si="42"/>
        <v>83.810000000000016</v>
      </c>
      <c r="Z71" s="187">
        <f t="shared" si="10"/>
        <v>0</v>
      </c>
      <c r="AA71" s="73">
        <f>72.2151-10.5208</f>
        <v>61.694300000000005</v>
      </c>
      <c r="AB71" s="80">
        <f t="shared" si="33"/>
        <v>5.4657</v>
      </c>
      <c r="AC71" s="77">
        <f t="shared" si="54"/>
        <v>67.160000000000011</v>
      </c>
      <c r="AD71" s="43">
        <f t="shared" si="11"/>
        <v>0</v>
      </c>
      <c r="AE71" s="116">
        <f>87.7815-0.2873</f>
        <v>87.494199999999992</v>
      </c>
      <c r="AF71" s="20">
        <f t="shared" si="22"/>
        <v>-3.3341999999999996</v>
      </c>
      <c r="AG71" s="235">
        <f t="shared" si="50"/>
        <v>13.579999999999998</v>
      </c>
      <c r="AH71" s="235">
        <f t="shared" si="14"/>
        <v>10.245799999999999</v>
      </c>
      <c r="AI71" s="235">
        <f t="shared" si="15"/>
        <v>97.74</v>
      </c>
      <c r="AJ71" s="256">
        <f t="shared" si="16"/>
        <v>0</v>
      </c>
      <c r="AK71" s="240">
        <f>73.4563-31.7255</f>
        <v>41.730800000000002</v>
      </c>
      <c r="AL71" s="235">
        <f t="shared" si="21"/>
        <v>-0.26080000000000003</v>
      </c>
      <c r="AM71" s="235">
        <f t="shared" si="44"/>
        <v>12.8</v>
      </c>
      <c r="AN71" s="235">
        <f t="shared" si="18"/>
        <v>12.539200000000001</v>
      </c>
      <c r="AO71" s="235">
        <f t="shared" si="19"/>
        <v>54.27</v>
      </c>
      <c r="AP71" s="256">
        <f t="shared" si="20"/>
        <v>0</v>
      </c>
      <c r="AQ71" s="154"/>
      <c r="AR71" s="102"/>
      <c r="AS71" s="102"/>
      <c r="AT71" s="76"/>
      <c r="AU71" s="155"/>
      <c r="AV71" s="157"/>
    </row>
    <row r="72" spans="1:48" ht="15">
      <c r="A72" s="248">
        <v>40391</v>
      </c>
      <c r="B72" s="72">
        <v>144.19</v>
      </c>
      <c r="C72" s="73">
        <f>84.7914-0.5714</f>
        <v>84.22</v>
      </c>
      <c r="D72" s="80">
        <f t="shared" si="55"/>
        <v>15.93</v>
      </c>
      <c r="E72" s="80">
        <f t="shared" si="46"/>
        <v>16.829999999999998</v>
      </c>
      <c r="F72" s="80">
        <f t="shared" si="0"/>
        <v>32.76</v>
      </c>
      <c r="G72" s="77">
        <f t="shared" si="24"/>
        <v>116.98</v>
      </c>
      <c r="H72" s="81">
        <f t="shared" si="53"/>
        <v>0</v>
      </c>
      <c r="I72" s="156">
        <f>89.4742+3.9945</f>
        <v>93.468699999999998</v>
      </c>
      <c r="J72" s="102">
        <f t="shared" si="45"/>
        <v>7.7513000000000005</v>
      </c>
      <c r="K72" s="102">
        <f t="shared" si="47"/>
        <v>16.829999999999998</v>
      </c>
      <c r="L72" s="76">
        <f t="shared" si="26"/>
        <v>24.581299999999999</v>
      </c>
      <c r="M72" s="155">
        <f t="shared" si="27"/>
        <v>118.05</v>
      </c>
      <c r="N72" s="157">
        <f t="shared" si="5"/>
        <v>0</v>
      </c>
      <c r="O72" s="73">
        <f>90.135-13.3076</f>
        <v>76.827400000000011</v>
      </c>
      <c r="P72" s="61">
        <f t="shared" si="56"/>
        <v>-3.6574</v>
      </c>
      <c r="Q72" s="80">
        <f t="shared" si="48"/>
        <v>17.829999999999998</v>
      </c>
      <c r="R72" s="177">
        <f t="shared" si="6"/>
        <v>14.172599999999999</v>
      </c>
      <c r="S72" s="82">
        <f t="shared" si="57"/>
        <v>91.000000000000014</v>
      </c>
      <c r="T72" s="81">
        <f t="shared" si="8"/>
        <v>0</v>
      </c>
      <c r="U72" s="190">
        <f>97.4776-17.568</f>
        <v>79.909599999999998</v>
      </c>
      <c r="V72" s="194">
        <f t="shared" si="30"/>
        <v>-12.679600000000001</v>
      </c>
      <c r="W72" s="191">
        <f t="shared" si="31"/>
        <v>16.580000000000002</v>
      </c>
      <c r="X72" s="191">
        <f t="shared" si="12"/>
        <v>3.9004000000000012</v>
      </c>
      <c r="Y72" s="192">
        <f t="shared" si="42"/>
        <v>83.809999999999988</v>
      </c>
      <c r="Z72" s="187">
        <f t="shared" si="10"/>
        <v>0</v>
      </c>
      <c r="AA72" s="73">
        <f>76.351-14.6567</f>
        <v>61.694299999999998</v>
      </c>
      <c r="AB72" s="80">
        <f t="shared" si="33"/>
        <v>5.4657</v>
      </c>
      <c r="AC72" s="77">
        <f t="shared" si="54"/>
        <v>67.16</v>
      </c>
      <c r="AD72" s="43">
        <f t="shared" si="11"/>
        <v>0</v>
      </c>
      <c r="AE72" s="116">
        <f>89.4742-1.98</f>
        <v>87.494199999999992</v>
      </c>
      <c r="AF72" s="20">
        <f t="shared" si="22"/>
        <v>-3.3341999999999996</v>
      </c>
      <c r="AG72" s="235">
        <f t="shared" si="50"/>
        <v>13.579999999999998</v>
      </c>
      <c r="AH72" s="235">
        <f t="shared" si="14"/>
        <v>10.245799999999999</v>
      </c>
      <c r="AI72" s="235">
        <f t="shared" si="15"/>
        <v>97.74</v>
      </c>
      <c r="AJ72" s="256">
        <f t="shared" si="16"/>
        <v>0</v>
      </c>
      <c r="AK72" s="240">
        <f>75.112-33.3812</f>
        <v>41.730799999999995</v>
      </c>
      <c r="AL72" s="235">
        <f t="shared" si="21"/>
        <v>-0.26080000000000003</v>
      </c>
      <c r="AM72" s="235">
        <f t="shared" si="44"/>
        <v>12.8</v>
      </c>
      <c r="AN72" s="235">
        <f t="shared" si="18"/>
        <v>12.539200000000001</v>
      </c>
      <c r="AO72" s="235">
        <f t="shared" si="19"/>
        <v>54.269999999999996</v>
      </c>
      <c r="AP72" s="256">
        <f t="shared" si="20"/>
        <v>0</v>
      </c>
      <c r="AQ72" s="156"/>
      <c r="AR72" s="102"/>
      <c r="AS72" s="102"/>
      <c r="AT72" s="76"/>
      <c r="AU72" s="155"/>
      <c r="AV72" s="157"/>
    </row>
    <row r="73" spans="1:48" ht="15">
      <c r="A73" s="248">
        <v>40406</v>
      </c>
      <c r="B73" s="72">
        <v>144.01999999999998</v>
      </c>
      <c r="C73" s="73">
        <f>86.5671-2.3471</f>
        <v>84.22</v>
      </c>
      <c r="D73" s="80">
        <f t="shared" si="55"/>
        <v>15.93</v>
      </c>
      <c r="E73" s="80">
        <f t="shared" si="46"/>
        <v>16.829999999999998</v>
      </c>
      <c r="F73" s="80">
        <f t="shared" si="0"/>
        <v>32.76</v>
      </c>
      <c r="G73" s="77">
        <f t="shared" si="24"/>
        <v>116.98</v>
      </c>
      <c r="H73" s="81">
        <f t="shared" si="53"/>
        <v>0</v>
      </c>
      <c r="I73" s="156">
        <f>92.3024+1.1663</f>
        <v>93.468700000000013</v>
      </c>
      <c r="J73" s="102">
        <f t="shared" si="45"/>
        <v>7.7513000000000005</v>
      </c>
      <c r="K73" s="102">
        <f t="shared" si="47"/>
        <v>16.829999999999998</v>
      </c>
      <c r="L73" s="76">
        <f t="shared" si="26"/>
        <v>24.581299999999999</v>
      </c>
      <c r="M73" s="155">
        <f t="shared" si="27"/>
        <v>118.05000000000001</v>
      </c>
      <c r="N73" s="157">
        <f t="shared" si="5"/>
        <v>0</v>
      </c>
      <c r="O73" s="73">
        <f>93.2463-16.4189</f>
        <v>76.827400000000011</v>
      </c>
      <c r="P73" s="61">
        <f t="shared" si="56"/>
        <v>-3.6574</v>
      </c>
      <c r="Q73" s="80">
        <f t="shared" si="48"/>
        <v>17.829999999999998</v>
      </c>
      <c r="R73" s="177">
        <f t="shared" si="6"/>
        <v>14.172599999999999</v>
      </c>
      <c r="S73" s="82">
        <f t="shared" si="57"/>
        <v>91.000000000000014</v>
      </c>
      <c r="T73" s="81">
        <f t="shared" si="8"/>
        <v>0</v>
      </c>
      <c r="U73" s="190">
        <f>100.9089-20.9993</f>
        <v>79.909599999999998</v>
      </c>
      <c r="V73" s="194">
        <f t="shared" si="30"/>
        <v>-12.679600000000001</v>
      </c>
      <c r="W73" s="191">
        <f t="shared" si="31"/>
        <v>16.580000000000002</v>
      </c>
      <c r="X73" s="191">
        <f t="shared" si="12"/>
        <v>3.9004000000000012</v>
      </c>
      <c r="Y73" s="192">
        <f t="shared" si="42"/>
        <v>83.809999999999988</v>
      </c>
      <c r="Z73" s="187">
        <f t="shared" si="10"/>
        <v>0</v>
      </c>
      <c r="AA73" s="73">
        <f>77.901-16.2067</f>
        <v>61.694299999999998</v>
      </c>
      <c r="AB73" s="80">
        <f t="shared" si="33"/>
        <v>5.4657</v>
      </c>
      <c r="AC73" s="77">
        <f t="shared" si="54"/>
        <v>67.16</v>
      </c>
      <c r="AD73" s="43">
        <f t="shared" si="11"/>
        <v>0</v>
      </c>
      <c r="AE73" s="116">
        <f>92.3024-4.8082</f>
        <v>87.494200000000006</v>
      </c>
      <c r="AF73" s="20">
        <f t="shared" si="22"/>
        <v>-3.3341999999999996</v>
      </c>
      <c r="AG73" s="235">
        <f t="shared" si="50"/>
        <v>13.579999999999998</v>
      </c>
      <c r="AH73" s="235">
        <f t="shared" si="14"/>
        <v>10.245799999999999</v>
      </c>
      <c r="AI73" s="235">
        <f t="shared" si="15"/>
        <v>97.740000000000009</v>
      </c>
      <c r="AJ73" s="256">
        <f t="shared" si="16"/>
        <v>0</v>
      </c>
      <c r="AK73" s="240">
        <f>76.4852-34.7544</f>
        <v>41.730800000000009</v>
      </c>
      <c r="AL73" s="235">
        <f t="shared" si="21"/>
        <v>-0.26080000000000003</v>
      </c>
      <c r="AM73" s="235">
        <f t="shared" si="44"/>
        <v>12.8</v>
      </c>
      <c r="AN73" s="235">
        <f t="shared" si="18"/>
        <v>12.539200000000001</v>
      </c>
      <c r="AO73" s="235">
        <f t="shared" si="19"/>
        <v>54.27000000000001</v>
      </c>
      <c r="AP73" s="256">
        <f t="shared" si="20"/>
        <v>0</v>
      </c>
      <c r="AQ73" s="156"/>
      <c r="AR73" s="102"/>
      <c r="AS73" s="102"/>
      <c r="AT73" s="76"/>
      <c r="AU73" s="155"/>
      <c r="AV73" s="157"/>
    </row>
    <row r="74" spans="1:48" ht="15">
      <c r="A74" s="248">
        <v>40422</v>
      </c>
      <c r="B74" s="72">
        <v>143.67000000000002</v>
      </c>
      <c r="C74" s="73">
        <f>82.0729+2.1471</f>
        <v>84.22</v>
      </c>
      <c r="D74" s="80">
        <f t="shared" si="55"/>
        <v>15.93</v>
      </c>
      <c r="E74" s="80">
        <f t="shared" si="46"/>
        <v>16.829999999999998</v>
      </c>
      <c r="F74" s="80">
        <f t="shared" ref="F74:F137" si="58">D74+E74</f>
        <v>32.76</v>
      </c>
      <c r="G74" s="77">
        <f t="shared" si="24"/>
        <v>116.98</v>
      </c>
      <c r="H74" s="81">
        <f t="shared" si="53"/>
        <v>0</v>
      </c>
      <c r="I74" s="156">
        <f>88.0401+5.4286</f>
        <v>93.468699999999998</v>
      </c>
      <c r="J74" s="102">
        <f t="shared" si="45"/>
        <v>7.7513000000000005</v>
      </c>
      <c r="K74" s="102">
        <f t="shared" si="47"/>
        <v>16.829999999999998</v>
      </c>
      <c r="L74" s="76">
        <f t="shared" si="26"/>
        <v>24.581299999999999</v>
      </c>
      <c r="M74" s="155">
        <f t="shared" si="27"/>
        <v>118.05</v>
      </c>
      <c r="N74" s="157">
        <f t="shared" ref="N74:N137" si="59">M74/M73-1</f>
        <v>0</v>
      </c>
      <c r="O74" s="73">
        <f>89.2736-12.4462</f>
        <v>76.827399999999997</v>
      </c>
      <c r="P74" s="61">
        <f t="shared" si="56"/>
        <v>-3.6574</v>
      </c>
      <c r="Q74" s="80">
        <f t="shared" si="48"/>
        <v>17.829999999999998</v>
      </c>
      <c r="R74" s="177">
        <f t="shared" ref="R74:R137" si="60">P74+Q74</f>
        <v>14.172599999999999</v>
      </c>
      <c r="S74" s="82">
        <f t="shared" si="57"/>
        <v>91</v>
      </c>
      <c r="T74" s="81">
        <f t="shared" ref="T74:T137" si="61">S74/S73-1</f>
        <v>0</v>
      </c>
      <c r="U74" s="190">
        <f>101.9785-22.0689</f>
        <v>79.909599999999998</v>
      </c>
      <c r="V74" s="194">
        <f t="shared" si="30"/>
        <v>-12.679600000000001</v>
      </c>
      <c r="W74" s="191">
        <f t="shared" si="31"/>
        <v>16.580000000000002</v>
      </c>
      <c r="X74" s="191">
        <f t="shared" si="12"/>
        <v>3.9004000000000012</v>
      </c>
      <c r="Y74" s="192">
        <f t="shared" si="42"/>
        <v>83.809999999999988</v>
      </c>
      <c r="Z74" s="187">
        <f t="shared" ref="Z74:Z112" si="62">Y74/Y73-1</f>
        <v>0</v>
      </c>
      <c r="AA74" s="73">
        <f>74.0382-12.3439</f>
        <v>61.694300000000005</v>
      </c>
      <c r="AB74" s="80">
        <f t="shared" si="33"/>
        <v>5.4657</v>
      </c>
      <c r="AC74" s="77">
        <f t="shared" si="54"/>
        <v>67.160000000000011</v>
      </c>
      <c r="AD74" s="43">
        <f t="shared" ref="AD74:AD137" si="63">AC74/AC73-1</f>
        <v>0</v>
      </c>
      <c r="AE74" s="116">
        <f>88.0401-0.5459</f>
        <v>87.494199999999992</v>
      </c>
      <c r="AF74" s="20">
        <f t="shared" si="22"/>
        <v>-3.3341999999999996</v>
      </c>
      <c r="AG74" s="235">
        <f t="shared" si="50"/>
        <v>13.579999999999998</v>
      </c>
      <c r="AH74" s="235">
        <f t="shared" si="14"/>
        <v>10.245799999999999</v>
      </c>
      <c r="AI74" s="235">
        <f t="shared" si="15"/>
        <v>97.74</v>
      </c>
      <c r="AJ74" s="256">
        <f t="shared" si="16"/>
        <v>0</v>
      </c>
      <c r="AK74" s="240">
        <f>73.0097-31.2789</f>
        <v>41.730799999999995</v>
      </c>
      <c r="AL74" s="235">
        <f t="shared" si="21"/>
        <v>-0.26080000000000003</v>
      </c>
      <c r="AM74" s="235">
        <f t="shared" si="44"/>
        <v>12.8</v>
      </c>
      <c r="AN74" s="235">
        <f t="shared" si="18"/>
        <v>12.539200000000001</v>
      </c>
      <c r="AO74" s="235">
        <f t="shared" si="19"/>
        <v>54.269999999999996</v>
      </c>
      <c r="AP74" s="256">
        <f t="shared" si="20"/>
        <v>0</v>
      </c>
      <c r="AQ74" s="156"/>
      <c r="AR74" s="102"/>
      <c r="AS74" s="102"/>
      <c r="AT74" s="76"/>
      <c r="AU74" s="155"/>
      <c r="AV74" s="157"/>
    </row>
    <row r="75" spans="1:48" ht="15">
      <c r="A75" s="248">
        <v>40437</v>
      </c>
      <c r="B75" s="72">
        <v>143.53</v>
      </c>
      <c r="C75" s="73">
        <f>86.5671-2.3471</f>
        <v>84.22</v>
      </c>
      <c r="D75" s="80">
        <f t="shared" si="55"/>
        <v>15.93</v>
      </c>
      <c r="E75" s="80">
        <f t="shared" si="46"/>
        <v>16.829999999999998</v>
      </c>
      <c r="F75" s="80">
        <f t="shared" si="58"/>
        <v>32.76</v>
      </c>
      <c r="G75" s="77">
        <f t="shared" si="24"/>
        <v>116.98</v>
      </c>
      <c r="H75" s="81">
        <f t="shared" si="53"/>
        <v>0</v>
      </c>
      <c r="I75" s="156">
        <f>88.0401+5.4286</f>
        <v>93.468699999999998</v>
      </c>
      <c r="J75" s="102">
        <f t="shared" si="45"/>
        <v>7.7513000000000005</v>
      </c>
      <c r="K75" s="102">
        <f t="shared" si="47"/>
        <v>16.829999999999998</v>
      </c>
      <c r="L75" s="76">
        <f t="shared" si="26"/>
        <v>24.581299999999999</v>
      </c>
      <c r="M75" s="155">
        <f t="shared" si="27"/>
        <v>118.05</v>
      </c>
      <c r="N75" s="157">
        <f t="shared" si="59"/>
        <v>0</v>
      </c>
      <c r="O75" s="73">
        <f>93.2463-16.4189</f>
        <v>76.827400000000011</v>
      </c>
      <c r="P75" s="61">
        <f t="shared" si="56"/>
        <v>-3.6574</v>
      </c>
      <c r="Q75" s="80">
        <f t="shared" si="48"/>
        <v>17.829999999999998</v>
      </c>
      <c r="R75" s="177">
        <f t="shared" si="60"/>
        <v>14.172599999999999</v>
      </c>
      <c r="S75" s="82">
        <f t="shared" si="57"/>
        <v>91.000000000000014</v>
      </c>
      <c r="T75" s="81">
        <f t="shared" si="61"/>
        <v>0</v>
      </c>
      <c r="U75" s="190">
        <f>100.9089-20.9993</f>
        <v>79.909599999999998</v>
      </c>
      <c r="V75" s="194">
        <f t="shared" si="30"/>
        <v>-12.679600000000001</v>
      </c>
      <c r="W75" s="191">
        <f t="shared" si="31"/>
        <v>16.580000000000002</v>
      </c>
      <c r="X75" s="191">
        <f t="shared" ref="X75:X138" si="64">V75+W75</f>
        <v>3.9004000000000012</v>
      </c>
      <c r="Y75" s="192">
        <f t="shared" si="42"/>
        <v>83.809999999999988</v>
      </c>
      <c r="Z75" s="187">
        <f t="shared" si="62"/>
        <v>0</v>
      </c>
      <c r="AA75" s="73">
        <f>77.901-16.2067</f>
        <v>61.694299999999998</v>
      </c>
      <c r="AB75" s="80">
        <f t="shared" si="33"/>
        <v>5.4657</v>
      </c>
      <c r="AC75" s="77">
        <f t="shared" si="54"/>
        <v>67.16</v>
      </c>
      <c r="AD75" s="43">
        <f t="shared" si="63"/>
        <v>0</v>
      </c>
      <c r="AE75" s="116">
        <f>90.3009-2.8067</f>
        <v>87.494199999999992</v>
      </c>
      <c r="AF75" s="20">
        <f t="shared" si="22"/>
        <v>-3.3341999999999996</v>
      </c>
      <c r="AG75" s="235">
        <f t="shared" si="50"/>
        <v>13.579999999999998</v>
      </c>
      <c r="AH75" s="235">
        <f t="shared" si="14"/>
        <v>10.245799999999999</v>
      </c>
      <c r="AI75" s="235">
        <f t="shared" si="15"/>
        <v>97.74</v>
      </c>
      <c r="AJ75" s="256">
        <f t="shared" si="16"/>
        <v>0</v>
      </c>
      <c r="AK75" s="240">
        <f>75.4128-33.682</f>
        <v>41.730800000000002</v>
      </c>
      <c r="AL75" s="235">
        <f t="shared" si="21"/>
        <v>-0.26080000000000003</v>
      </c>
      <c r="AM75" s="235">
        <f t="shared" si="44"/>
        <v>12.8</v>
      </c>
      <c r="AN75" s="235">
        <f t="shared" si="18"/>
        <v>12.539200000000001</v>
      </c>
      <c r="AO75" s="235">
        <f t="shared" si="19"/>
        <v>54.27</v>
      </c>
      <c r="AP75" s="256">
        <f t="shared" si="20"/>
        <v>0</v>
      </c>
      <c r="AQ75" s="156"/>
      <c r="AR75" s="102"/>
      <c r="AS75" s="102"/>
      <c r="AT75" s="76"/>
      <c r="AU75" s="155"/>
      <c r="AV75" s="157"/>
    </row>
    <row r="76" spans="1:48" ht="15">
      <c r="A76" s="248">
        <v>40452</v>
      </c>
      <c r="B76" s="72">
        <v>143.49</v>
      </c>
      <c r="C76" s="73">
        <f>86.5671-2.3471</f>
        <v>84.22</v>
      </c>
      <c r="D76" s="80">
        <f t="shared" si="55"/>
        <v>15.93</v>
      </c>
      <c r="E76" s="80">
        <f t="shared" si="46"/>
        <v>16.829999999999998</v>
      </c>
      <c r="F76" s="80">
        <f t="shared" si="58"/>
        <v>32.76</v>
      </c>
      <c r="G76" s="77">
        <f t="shared" ref="G76:G83" si="65">SUM(C76:E76)</f>
        <v>116.98</v>
      </c>
      <c r="H76" s="81">
        <f t="shared" si="53"/>
        <v>0</v>
      </c>
      <c r="I76" s="156">
        <f>92.3024+1.1663</f>
        <v>93.468700000000013</v>
      </c>
      <c r="J76" s="102">
        <f t="shared" si="45"/>
        <v>7.7513000000000005</v>
      </c>
      <c r="K76" s="102">
        <f t="shared" si="47"/>
        <v>16.829999999999998</v>
      </c>
      <c r="L76" s="76">
        <f t="shared" si="26"/>
        <v>24.581299999999999</v>
      </c>
      <c r="M76" s="155">
        <f t="shared" si="27"/>
        <v>118.05000000000001</v>
      </c>
      <c r="N76" s="157">
        <f t="shared" si="59"/>
        <v>0</v>
      </c>
      <c r="O76" s="73">
        <f>93.2463-16.4189</f>
        <v>76.827400000000011</v>
      </c>
      <c r="P76" s="61">
        <f t="shared" si="56"/>
        <v>-3.6574</v>
      </c>
      <c r="Q76" s="80">
        <f t="shared" si="48"/>
        <v>17.829999999999998</v>
      </c>
      <c r="R76" s="177">
        <f t="shared" si="60"/>
        <v>14.172599999999999</v>
      </c>
      <c r="S76" s="82">
        <f t="shared" si="57"/>
        <v>91.000000000000014</v>
      </c>
      <c r="T76" s="81">
        <f t="shared" si="61"/>
        <v>0</v>
      </c>
      <c r="U76" s="190">
        <f>100.9089-20.9993</f>
        <v>79.909599999999998</v>
      </c>
      <c r="V76" s="194">
        <f t="shared" si="30"/>
        <v>-12.679600000000001</v>
      </c>
      <c r="W76" s="191">
        <f t="shared" si="31"/>
        <v>16.580000000000002</v>
      </c>
      <c r="X76" s="191">
        <f t="shared" si="64"/>
        <v>3.9004000000000012</v>
      </c>
      <c r="Y76" s="192">
        <f t="shared" si="42"/>
        <v>83.809999999999988</v>
      </c>
      <c r="Z76" s="187">
        <f t="shared" si="62"/>
        <v>0</v>
      </c>
      <c r="AA76" s="73">
        <f>77.901-16.2067</f>
        <v>61.694299999999998</v>
      </c>
      <c r="AB76" s="80">
        <f t="shared" si="33"/>
        <v>5.4657</v>
      </c>
      <c r="AC76" s="77">
        <f t="shared" si="54"/>
        <v>67.16</v>
      </c>
      <c r="AD76" s="43">
        <f t="shared" si="63"/>
        <v>0</v>
      </c>
      <c r="AE76" s="116">
        <f>93.6082-6.114</f>
        <v>87.494199999999992</v>
      </c>
      <c r="AF76" s="20">
        <f t="shared" si="22"/>
        <v>-3.3341999999999996</v>
      </c>
      <c r="AG76" s="235">
        <f t="shared" si="50"/>
        <v>13.579999999999998</v>
      </c>
      <c r="AH76" s="235">
        <f t="shared" si="14"/>
        <v>10.245799999999999</v>
      </c>
      <c r="AI76" s="235">
        <f t="shared" si="15"/>
        <v>97.74</v>
      </c>
      <c r="AJ76" s="256">
        <f t="shared" si="16"/>
        <v>0</v>
      </c>
      <c r="AK76" s="240">
        <f>75.8352-34.1044</f>
        <v>41.730800000000002</v>
      </c>
      <c r="AL76" s="235">
        <f t="shared" si="21"/>
        <v>-0.26080000000000003</v>
      </c>
      <c r="AM76" s="235">
        <f t="shared" si="44"/>
        <v>12.8</v>
      </c>
      <c r="AN76" s="235">
        <f t="shared" si="18"/>
        <v>12.539200000000001</v>
      </c>
      <c r="AO76" s="235">
        <f t="shared" si="19"/>
        <v>54.27</v>
      </c>
      <c r="AP76" s="256">
        <f t="shared" si="20"/>
        <v>0</v>
      </c>
      <c r="AQ76" s="156"/>
      <c r="AR76" s="102"/>
      <c r="AS76" s="102"/>
      <c r="AT76" s="76"/>
      <c r="AU76" s="155"/>
      <c r="AV76" s="157"/>
    </row>
    <row r="77" spans="1:48" ht="15">
      <c r="A77" s="248">
        <v>40467</v>
      </c>
      <c r="B77" s="72">
        <v>142.97</v>
      </c>
      <c r="C77" s="73">
        <f>86.5671-2.3471</f>
        <v>84.22</v>
      </c>
      <c r="D77" s="80">
        <f>2.78+2+6+0.05+0.1+5</f>
        <v>15.93</v>
      </c>
      <c r="E77" s="80">
        <f t="shared" si="46"/>
        <v>16.829999999999998</v>
      </c>
      <c r="F77" s="80">
        <f t="shared" si="58"/>
        <v>32.76</v>
      </c>
      <c r="G77" s="77">
        <f t="shared" si="65"/>
        <v>116.98</v>
      </c>
      <c r="H77" s="81">
        <f t="shared" si="53"/>
        <v>0</v>
      </c>
      <c r="I77" s="156">
        <f>96.9806-3.5118-0.0001</f>
        <v>93.468699999999998</v>
      </c>
      <c r="J77" s="102">
        <f t="shared" si="45"/>
        <v>7.7513000000000005</v>
      </c>
      <c r="K77" s="102">
        <f t="shared" si="47"/>
        <v>16.829999999999998</v>
      </c>
      <c r="L77" s="76">
        <f t="shared" si="26"/>
        <v>24.581299999999999</v>
      </c>
      <c r="M77" s="155">
        <f t="shared" si="27"/>
        <v>118.05</v>
      </c>
      <c r="N77" s="157">
        <f t="shared" si="59"/>
        <v>0</v>
      </c>
      <c r="O77" s="73">
        <f>96.3173-19.4899</f>
        <v>76.827400000000011</v>
      </c>
      <c r="P77" s="61">
        <f t="shared" si="56"/>
        <v>-3.6574</v>
      </c>
      <c r="Q77" s="80">
        <f t="shared" si="48"/>
        <v>17.829999999999998</v>
      </c>
      <c r="R77" s="177">
        <f t="shared" si="60"/>
        <v>14.172599999999999</v>
      </c>
      <c r="S77" s="82">
        <f t="shared" si="57"/>
        <v>91.000000000000014</v>
      </c>
      <c r="T77" s="81">
        <f t="shared" si="61"/>
        <v>0</v>
      </c>
      <c r="U77" s="190">
        <f>125.0021-45.0925</f>
        <v>79.909599999999998</v>
      </c>
      <c r="V77" s="194">
        <f t="shared" si="30"/>
        <v>-12.679600000000001</v>
      </c>
      <c r="W77" s="191">
        <f t="shared" si="31"/>
        <v>16.580000000000002</v>
      </c>
      <c r="X77" s="191">
        <f t="shared" si="64"/>
        <v>3.9004000000000012</v>
      </c>
      <c r="Y77" s="192">
        <f t="shared" si="42"/>
        <v>83.809999999999988</v>
      </c>
      <c r="Z77" s="187">
        <f t="shared" si="62"/>
        <v>0</v>
      </c>
      <c r="AA77" s="73">
        <f>75.3115-13.6172</f>
        <v>61.694299999999998</v>
      </c>
      <c r="AB77" s="80">
        <f t="shared" si="33"/>
        <v>5.4657</v>
      </c>
      <c r="AC77" s="77">
        <f t="shared" si="54"/>
        <v>67.16</v>
      </c>
      <c r="AD77" s="43">
        <f t="shared" si="63"/>
        <v>0</v>
      </c>
      <c r="AE77" s="257">
        <f>96.9806-9.4864</f>
        <v>87.494199999999992</v>
      </c>
      <c r="AF77" s="20">
        <f t="shared" si="22"/>
        <v>-3.3341999999999996</v>
      </c>
      <c r="AG77" s="235">
        <f t="shared" si="50"/>
        <v>13.579999999999998</v>
      </c>
      <c r="AH77" s="235">
        <f t="shared" si="14"/>
        <v>10.245799999999999</v>
      </c>
      <c r="AI77" s="235">
        <f t="shared" si="15"/>
        <v>97.74</v>
      </c>
      <c r="AJ77" s="256">
        <f t="shared" si="16"/>
        <v>0</v>
      </c>
      <c r="AK77" s="240">
        <f>78.1938-37.543</f>
        <v>40.650799999999997</v>
      </c>
      <c r="AL77" s="235">
        <f t="shared" si="21"/>
        <v>-0.26080000000000003</v>
      </c>
      <c r="AM77" s="235">
        <f t="shared" si="44"/>
        <v>12.8</v>
      </c>
      <c r="AN77" s="235">
        <f t="shared" si="18"/>
        <v>12.539200000000001</v>
      </c>
      <c r="AO77" s="235">
        <f t="shared" si="19"/>
        <v>53.19</v>
      </c>
      <c r="AP77" s="256">
        <f t="shared" si="20"/>
        <v>-1.9900497512437942E-2</v>
      </c>
      <c r="AQ77" s="156"/>
      <c r="AR77" s="102"/>
      <c r="AS77" s="102"/>
      <c r="AT77" s="76"/>
      <c r="AU77" s="155"/>
      <c r="AV77" s="157"/>
    </row>
    <row r="78" spans="1:48" ht="15">
      <c r="A78" s="248">
        <v>40483</v>
      </c>
      <c r="B78" s="72">
        <v>143.32</v>
      </c>
      <c r="C78" s="73">
        <f>91.5195-7.2995</f>
        <v>84.22</v>
      </c>
      <c r="D78" s="80">
        <f>2.78+2+6+0.05+0.1+5</f>
        <v>15.93</v>
      </c>
      <c r="E78" s="80">
        <f t="shared" si="46"/>
        <v>16.829999999999998</v>
      </c>
      <c r="F78" s="80">
        <f t="shared" si="58"/>
        <v>32.76</v>
      </c>
      <c r="G78" s="77">
        <f t="shared" si="65"/>
        <v>116.98</v>
      </c>
      <c r="H78" s="81">
        <f t="shared" si="53"/>
        <v>0</v>
      </c>
      <c r="I78" s="156">
        <f>97.1351-3.6664</f>
        <v>93.468699999999998</v>
      </c>
      <c r="J78" s="102">
        <f t="shared" si="45"/>
        <v>7.7513000000000005</v>
      </c>
      <c r="K78" s="102">
        <f t="shared" si="47"/>
        <v>16.829999999999998</v>
      </c>
      <c r="L78" s="76">
        <f t="shared" si="26"/>
        <v>24.581299999999999</v>
      </c>
      <c r="M78" s="155">
        <f t="shared" si="27"/>
        <v>118.05</v>
      </c>
      <c r="N78" s="157">
        <f t="shared" si="59"/>
        <v>0</v>
      </c>
      <c r="O78" s="73">
        <f>97.8522-21.0248</f>
        <v>76.827399999999997</v>
      </c>
      <c r="P78" s="61">
        <f t="shared" si="56"/>
        <v>-3.6574</v>
      </c>
      <c r="Q78" s="80">
        <f t="shared" si="48"/>
        <v>17.829999999999998</v>
      </c>
      <c r="R78" s="177">
        <f t="shared" si="60"/>
        <v>14.172599999999999</v>
      </c>
      <c r="S78" s="82">
        <f t="shared" si="57"/>
        <v>91</v>
      </c>
      <c r="T78" s="81">
        <f t="shared" si="61"/>
        <v>0</v>
      </c>
      <c r="U78" s="190">
        <f>135.8574-55.9478</f>
        <v>79.909600000000012</v>
      </c>
      <c r="V78" s="194">
        <f t="shared" si="30"/>
        <v>-12.679600000000001</v>
      </c>
      <c r="W78" s="191">
        <f t="shared" si="31"/>
        <v>16.580000000000002</v>
      </c>
      <c r="X78" s="191">
        <f t="shared" si="64"/>
        <v>3.9004000000000012</v>
      </c>
      <c r="Y78" s="192">
        <f t="shared" si="42"/>
        <v>83.810000000000016</v>
      </c>
      <c r="Z78" s="187">
        <f t="shared" si="62"/>
        <v>0</v>
      </c>
      <c r="AA78" s="73">
        <f>76.4222-14.7279</f>
        <v>61.694300000000005</v>
      </c>
      <c r="AB78" s="80">
        <f t="shared" si="33"/>
        <v>5.4657</v>
      </c>
      <c r="AC78" s="77">
        <f t="shared" si="54"/>
        <v>67.160000000000011</v>
      </c>
      <c r="AD78" s="43">
        <f t="shared" si="63"/>
        <v>0</v>
      </c>
      <c r="AE78" s="261">
        <f>97.1351-9.6409</f>
        <v>87.494199999999992</v>
      </c>
      <c r="AF78" s="20">
        <f t="shared" si="22"/>
        <v>-3.3341999999999996</v>
      </c>
      <c r="AG78" s="235">
        <f t="shared" si="50"/>
        <v>13.579999999999998</v>
      </c>
      <c r="AH78" s="235">
        <f t="shared" si="14"/>
        <v>10.245799999999999</v>
      </c>
      <c r="AI78" s="235">
        <f t="shared" si="15"/>
        <v>97.74</v>
      </c>
      <c r="AJ78" s="256">
        <f t="shared" si="16"/>
        <v>0</v>
      </c>
      <c r="AK78" s="240">
        <f>80.3151-39.3643</f>
        <v>40.950800000000001</v>
      </c>
      <c r="AL78" s="235">
        <f t="shared" si="21"/>
        <v>-0.26080000000000003</v>
      </c>
      <c r="AM78" s="235">
        <f t="shared" si="44"/>
        <v>12.8</v>
      </c>
      <c r="AN78" s="235">
        <f t="shared" si="18"/>
        <v>12.539200000000001</v>
      </c>
      <c r="AO78" s="235">
        <f t="shared" si="19"/>
        <v>53.49</v>
      </c>
      <c r="AP78" s="256">
        <f t="shared" si="20"/>
        <v>5.6401579244220734E-3</v>
      </c>
      <c r="AQ78" s="156"/>
      <c r="AR78" s="102"/>
      <c r="AS78" s="102"/>
      <c r="AT78" s="76"/>
      <c r="AU78" s="155"/>
      <c r="AV78" s="157"/>
    </row>
    <row r="79" spans="1:48" ht="15">
      <c r="A79" s="248">
        <v>40498</v>
      </c>
      <c r="B79" s="72">
        <v>143.62</v>
      </c>
      <c r="C79" s="73">
        <f>92.5585-8.3385</f>
        <v>84.22</v>
      </c>
      <c r="D79" s="80">
        <f>2.78+2+6+0.05+0.1+5</f>
        <v>15.93</v>
      </c>
      <c r="E79" s="80">
        <f t="shared" si="46"/>
        <v>16.829999999999998</v>
      </c>
      <c r="F79" s="80">
        <f t="shared" si="58"/>
        <v>32.76</v>
      </c>
      <c r="G79" s="77">
        <f t="shared" si="65"/>
        <v>116.98</v>
      </c>
      <c r="H79" s="81">
        <f t="shared" si="53"/>
        <v>0</v>
      </c>
      <c r="I79" s="156">
        <f>99.2131-5.7444</f>
        <v>93.468699999999998</v>
      </c>
      <c r="J79" s="102">
        <f t="shared" si="45"/>
        <v>7.7513000000000005</v>
      </c>
      <c r="K79" s="102">
        <f t="shared" si="47"/>
        <v>16.829999999999998</v>
      </c>
      <c r="L79" s="76">
        <f t="shared" si="26"/>
        <v>24.581299999999999</v>
      </c>
      <c r="M79" s="155">
        <f t="shared" si="27"/>
        <v>118.05</v>
      </c>
      <c r="N79" s="157">
        <f t="shared" si="59"/>
        <v>0</v>
      </c>
      <c r="O79" s="73">
        <f>100.1834-23.356</f>
        <v>76.827400000000011</v>
      </c>
      <c r="P79" s="61">
        <f t="shared" si="56"/>
        <v>-3.6574</v>
      </c>
      <c r="Q79" s="80">
        <f t="shared" si="48"/>
        <v>17.829999999999998</v>
      </c>
      <c r="R79" s="177">
        <f t="shared" si="60"/>
        <v>14.172599999999999</v>
      </c>
      <c r="S79" s="82">
        <f t="shared" si="57"/>
        <v>91.000000000000014</v>
      </c>
      <c r="T79" s="81">
        <f t="shared" si="61"/>
        <v>0</v>
      </c>
      <c r="U79" s="190">
        <f>146.7275-66.8179</f>
        <v>79.909599999999998</v>
      </c>
      <c r="V79" s="194">
        <f t="shared" si="30"/>
        <v>-12.679600000000001</v>
      </c>
      <c r="W79" s="191">
        <f t="shared" si="31"/>
        <v>16.580000000000002</v>
      </c>
      <c r="X79" s="191">
        <f t="shared" si="64"/>
        <v>3.9004000000000012</v>
      </c>
      <c r="Y79" s="192">
        <f t="shared" si="42"/>
        <v>83.809999999999988</v>
      </c>
      <c r="Z79" s="187">
        <f t="shared" si="62"/>
        <v>0</v>
      </c>
      <c r="AA79" s="73">
        <f>79.1254-17.4311</f>
        <v>61.694299999999998</v>
      </c>
      <c r="AB79" s="80">
        <f t="shared" si="33"/>
        <v>5.4657</v>
      </c>
      <c r="AC79" s="77">
        <f t="shared" si="54"/>
        <v>67.16</v>
      </c>
      <c r="AD79" s="43">
        <f t="shared" si="63"/>
        <v>0</v>
      </c>
      <c r="AE79" s="261">
        <f>99.2131-11.7189</f>
        <v>87.494199999999992</v>
      </c>
      <c r="AF79" s="20">
        <f t="shared" si="22"/>
        <v>-3.3341999999999996</v>
      </c>
      <c r="AG79" s="235">
        <f t="shared" si="50"/>
        <v>13.579999999999998</v>
      </c>
      <c r="AH79" s="235">
        <f t="shared" si="14"/>
        <v>10.245799999999999</v>
      </c>
      <c r="AI79" s="235">
        <f t="shared" si="15"/>
        <v>97.74</v>
      </c>
      <c r="AJ79" s="256">
        <f t="shared" si="16"/>
        <v>0</v>
      </c>
      <c r="AK79" s="261">
        <f>81.1186-40.1678</f>
        <v>40.950800000000001</v>
      </c>
      <c r="AL79" s="235">
        <f t="shared" si="21"/>
        <v>-0.26080000000000003</v>
      </c>
      <c r="AM79" s="235">
        <f t="shared" si="44"/>
        <v>12.8</v>
      </c>
      <c r="AN79" s="235">
        <f t="shared" si="18"/>
        <v>12.539200000000001</v>
      </c>
      <c r="AO79" s="235">
        <f t="shared" si="19"/>
        <v>53.49</v>
      </c>
      <c r="AP79" s="256">
        <f t="shared" si="20"/>
        <v>0</v>
      </c>
      <c r="AQ79" s="156"/>
      <c r="AR79" s="102"/>
      <c r="AS79" s="102"/>
      <c r="AT79" s="76"/>
      <c r="AU79" s="155"/>
      <c r="AV79" s="157"/>
    </row>
    <row r="80" spans="1:48" ht="15">
      <c r="A80" s="248">
        <v>40513</v>
      </c>
      <c r="B80" s="72">
        <v>144.03</v>
      </c>
      <c r="C80" s="73">
        <f>94.272-10.052</f>
        <v>84.22</v>
      </c>
      <c r="D80" s="80">
        <f>2.78+2+6+0.05+0.1+5</f>
        <v>15.93</v>
      </c>
      <c r="E80" s="80">
        <f t="shared" si="46"/>
        <v>16.829999999999998</v>
      </c>
      <c r="F80" s="80">
        <f t="shared" si="58"/>
        <v>32.76</v>
      </c>
      <c r="G80" s="77">
        <f t="shared" si="65"/>
        <v>116.98</v>
      </c>
      <c r="H80" s="81">
        <f t="shared" si="53"/>
        <v>0</v>
      </c>
      <c r="I80" s="156">
        <f>98.3676-4.8989</f>
        <v>93.468699999999998</v>
      </c>
      <c r="J80" s="102">
        <f t="shared" si="45"/>
        <v>7.7513000000000005</v>
      </c>
      <c r="K80" s="102">
        <f t="shared" si="47"/>
        <v>16.829999999999998</v>
      </c>
      <c r="L80" s="76">
        <f t="shared" si="26"/>
        <v>24.581299999999999</v>
      </c>
      <c r="M80" s="155">
        <f t="shared" si="27"/>
        <v>118.05</v>
      </c>
      <c r="N80" s="157">
        <f t="shared" si="59"/>
        <v>0</v>
      </c>
      <c r="O80" s="73">
        <f>99.6133-22.7859</f>
        <v>76.827399999999997</v>
      </c>
      <c r="P80" s="61">
        <f t="shared" si="56"/>
        <v>-3.6574</v>
      </c>
      <c r="Q80" s="80">
        <f t="shared" si="48"/>
        <v>17.829999999999998</v>
      </c>
      <c r="R80" s="177">
        <f t="shared" si="60"/>
        <v>14.172599999999999</v>
      </c>
      <c r="S80" s="82">
        <f t="shared" si="57"/>
        <v>91</v>
      </c>
      <c r="T80" s="81">
        <f t="shared" si="61"/>
        <v>0</v>
      </c>
      <c r="U80" s="190">
        <f>151.7911-71.8815</f>
        <v>79.909599999999998</v>
      </c>
      <c r="V80" s="194">
        <f t="shared" si="30"/>
        <v>-12.679600000000001</v>
      </c>
      <c r="W80" s="191">
        <f t="shared" si="31"/>
        <v>16.580000000000002</v>
      </c>
      <c r="X80" s="191">
        <f t="shared" si="64"/>
        <v>3.9004000000000012</v>
      </c>
      <c r="Y80" s="192">
        <f t="shared" si="42"/>
        <v>83.809999999999988</v>
      </c>
      <c r="Z80" s="187">
        <f t="shared" si="62"/>
        <v>0</v>
      </c>
      <c r="AA80" s="73">
        <f>77.1332-15.4389</f>
        <v>61.694299999999998</v>
      </c>
      <c r="AB80" s="80">
        <f t="shared" si="33"/>
        <v>5.4657</v>
      </c>
      <c r="AC80" s="77">
        <f t="shared" si="54"/>
        <v>67.16</v>
      </c>
      <c r="AD80" s="43">
        <f t="shared" si="63"/>
        <v>0</v>
      </c>
      <c r="AE80" s="240">
        <f>98.3676-10.8734</f>
        <v>87.494199999999992</v>
      </c>
      <c r="AF80" s="20">
        <f t="shared" si="22"/>
        <v>-3.3341999999999996</v>
      </c>
      <c r="AG80" s="235">
        <f t="shared" si="50"/>
        <v>13.579999999999998</v>
      </c>
      <c r="AH80" s="235">
        <f t="shared" si="14"/>
        <v>10.245799999999999</v>
      </c>
      <c r="AI80" s="235">
        <f t="shared" si="15"/>
        <v>97.74</v>
      </c>
      <c r="AJ80" s="256">
        <f t="shared" si="16"/>
        <v>0</v>
      </c>
      <c r="AK80" s="240">
        <f>82.4436-41.4928</f>
        <v>40.950800000000001</v>
      </c>
      <c r="AL80" s="235">
        <f t="shared" si="21"/>
        <v>-0.26080000000000003</v>
      </c>
      <c r="AM80" s="235">
        <f t="shared" si="44"/>
        <v>12.8</v>
      </c>
      <c r="AN80" s="235">
        <f t="shared" si="18"/>
        <v>12.539200000000001</v>
      </c>
      <c r="AO80" s="235">
        <f t="shared" si="19"/>
        <v>53.49</v>
      </c>
      <c r="AP80" s="256">
        <f t="shared" si="20"/>
        <v>0</v>
      </c>
      <c r="AQ80" s="156"/>
      <c r="AR80" s="102"/>
      <c r="AS80" s="102"/>
      <c r="AT80" s="76"/>
      <c r="AU80" s="155"/>
      <c r="AV80" s="157"/>
    </row>
    <row r="81" spans="1:48" ht="15">
      <c r="A81" s="248">
        <v>40528</v>
      </c>
      <c r="B81" s="72">
        <v>144.56</v>
      </c>
      <c r="C81" s="73">
        <f>99.6276-15.4076</f>
        <v>84.22</v>
      </c>
      <c r="D81" s="80">
        <f>2.78+2+6+0.05+0.1+5</f>
        <v>15.93</v>
      </c>
      <c r="E81" s="80">
        <f t="shared" si="46"/>
        <v>16.829999999999998</v>
      </c>
      <c r="F81" s="80">
        <f t="shared" si="58"/>
        <v>32.76</v>
      </c>
      <c r="G81" s="77">
        <f t="shared" si="65"/>
        <v>116.98</v>
      </c>
      <c r="H81" s="81">
        <f t="shared" si="53"/>
        <v>0</v>
      </c>
      <c r="I81" s="156">
        <f>103.0936-9.6249</f>
        <v>93.468699999999998</v>
      </c>
      <c r="J81" s="102">
        <f>1.8+2.5+6+0.05+0.1-2.6987</f>
        <v>7.7513000000000005</v>
      </c>
      <c r="K81" s="102">
        <f t="shared" si="47"/>
        <v>16.829999999999998</v>
      </c>
      <c r="L81" s="76">
        <f t="shared" si="26"/>
        <v>24.581299999999999</v>
      </c>
      <c r="M81" s="155">
        <f t="shared" si="27"/>
        <v>118.05</v>
      </c>
      <c r="N81" s="157">
        <f t="shared" si="59"/>
        <v>0</v>
      </c>
      <c r="O81" s="73">
        <f>104.615-27.7876</f>
        <v>76.827399999999997</v>
      </c>
      <c r="P81" s="61">
        <f t="shared" si="56"/>
        <v>-3.6574</v>
      </c>
      <c r="Q81" s="80">
        <f t="shared" si="48"/>
        <v>17.829999999999998</v>
      </c>
      <c r="R81" s="177">
        <f t="shared" si="60"/>
        <v>14.172599999999999</v>
      </c>
      <c r="S81" s="82">
        <f t="shared" si="57"/>
        <v>91</v>
      </c>
      <c r="T81" s="81">
        <f t="shared" si="61"/>
        <v>0</v>
      </c>
      <c r="U81" s="190">
        <f>149.9122-70.0026</f>
        <v>79.909600000000012</v>
      </c>
      <c r="V81" s="194">
        <f t="shared" si="30"/>
        <v>-12.679600000000001</v>
      </c>
      <c r="W81" s="191">
        <f t="shared" si="31"/>
        <v>16.580000000000002</v>
      </c>
      <c r="X81" s="191">
        <f t="shared" si="64"/>
        <v>3.9004000000000012</v>
      </c>
      <c r="Y81" s="192">
        <f t="shared" si="42"/>
        <v>83.810000000000016</v>
      </c>
      <c r="Z81" s="187">
        <f t="shared" si="62"/>
        <v>0</v>
      </c>
      <c r="AA81" s="73">
        <f>79.3501-17.6558</f>
        <v>61.694299999999998</v>
      </c>
      <c r="AB81" s="80">
        <f t="shared" si="33"/>
        <v>5.4657</v>
      </c>
      <c r="AC81" s="77">
        <f t="shared" si="54"/>
        <v>67.16</v>
      </c>
      <c r="AD81" s="43">
        <f t="shared" si="63"/>
        <v>0</v>
      </c>
      <c r="AE81" s="240">
        <f>103.0936-15.5994</f>
        <v>87.494199999999992</v>
      </c>
      <c r="AF81" s="20">
        <f t="shared" si="22"/>
        <v>-3.3341999999999996</v>
      </c>
      <c r="AG81" s="235">
        <f t="shared" si="50"/>
        <v>13.579999999999998</v>
      </c>
      <c r="AH81" s="235">
        <f t="shared" si="14"/>
        <v>10.245799999999999</v>
      </c>
      <c r="AI81" s="235">
        <f t="shared" si="15"/>
        <v>97.74</v>
      </c>
      <c r="AJ81" s="256">
        <f t="shared" si="16"/>
        <v>0</v>
      </c>
      <c r="AK81" s="240">
        <f>77.0453+9.54-45.6342</f>
        <v>40.95109999999999</v>
      </c>
      <c r="AL81" s="235">
        <f t="shared" si="21"/>
        <v>-0.26080000000000003</v>
      </c>
      <c r="AM81" s="235">
        <f t="shared" si="44"/>
        <v>12.8</v>
      </c>
      <c r="AN81" s="235">
        <f t="shared" si="18"/>
        <v>12.539200000000001</v>
      </c>
      <c r="AO81" s="235">
        <f t="shared" si="19"/>
        <v>53.490299999999991</v>
      </c>
      <c r="AP81" s="256">
        <f t="shared" si="20"/>
        <v>5.60852495778974E-6</v>
      </c>
      <c r="AQ81" s="156"/>
      <c r="AR81" s="102"/>
      <c r="AS81" s="102"/>
      <c r="AT81" s="76"/>
      <c r="AU81" s="155"/>
      <c r="AV81" s="157"/>
    </row>
    <row r="82" spans="1:48" ht="15">
      <c r="A82" s="248">
        <v>40544</v>
      </c>
      <c r="B82" s="72">
        <v>146.29000000000002</v>
      </c>
      <c r="C82" s="73">
        <f>101.1275-22.9075</f>
        <v>78.22</v>
      </c>
      <c r="D82" s="80">
        <f>2.78+8+6+0.05+0.1+5</f>
        <v>21.930000000000003</v>
      </c>
      <c r="E82" s="80">
        <f>1+2.25+5.3+8.28</f>
        <v>16.829999999999998</v>
      </c>
      <c r="F82" s="80">
        <f t="shared" si="58"/>
        <v>38.760000000000005</v>
      </c>
      <c r="G82" s="77">
        <f t="shared" si="65"/>
        <v>116.98</v>
      </c>
      <c r="H82" s="81">
        <f t="shared" si="53"/>
        <v>0</v>
      </c>
      <c r="I82" s="156">
        <f>105.9928-18.0241</f>
        <v>87.968699999999998</v>
      </c>
      <c r="J82" s="102">
        <f>1.8+8+6+0.05+0.1-2.6987</f>
        <v>13.251300000000001</v>
      </c>
      <c r="K82" s="102">
        <f>1+2.25+5.3+8.28</f>
        <v>16.829999999999998</v>
      </c>
      <c r="L82" s="76">
        <f t="shared" si="26"/>
        <v>30.081299999999999</v>
      </c>
      <c r="M82" s="155">
        <f t="shared" si="27"/>
        <v>118.05</v>
      </c>
      <c r="N82" s="157">
        <f t="shared" si="59"/>
        <v>0</v>
      </c>
      <c r="O82" s="73">
        <f>108.3106-31.4832</f>
        <v>76.827399999999997</v>
      </c>
      <c r="P82" s="78">
        <f t="shared" si="56"/>
        <v>-3.6574</v>
      </c>
      <c r="Q82" s="80">
        <f>1+2.25+6.3+8.28</f>
        <v>17.829999999999998</v>
      </c>
      <c r="R82" s="177">
        <f t="shared" si="60"/>
        <v>14.172599999999999</v>
      </c>
      <c r="S82" s="82">
        <f t="shared" si="57"/>
        <v>91</v>
      </c>
      <c r="T82" s="81">
        <f t="shared" si="61"/>
        <v>0</v>
      </c>
      <c r="U82" s="190">
        <f>136.2717-56.3621</f>
        <v>79.909600000000012</v>
      </c>
      <c r="V82" s="194">
        <f>0.7246+5-18.4042</f>
        <v>-12.679600000000001</v>
      </c>
      <c r="W82" s="191">
        <f>6.3+6.21+3.77+0.3</f>
        <v>16.580000000000002</v>
      </c>
      <c r="X82" s="191">
        <f t="shared" si="64"/>
        <v>3.9004000000000012</v>
      </c>
      <c r="Y82" s="192">
        <f t="shared" si="42"/>
        <v>83.810000000000016</v>
      </c>
      <c r="Z82" s="187">
        <f t="shared" si="62"/>
        <v>0</v>
      </c>
      <c r="AA82" s="119">
        <f>82.1715-20.4772</f>
        <v>61.694299999999998</v>
      </c>
      <c r="AB82" s="78">
        <f>3.2094+3.5+0.05+0.1-1.3937</f>
        <v>5.4657</v>
      </c>
      <c r="AC82" s="79">
        <f t="shared" si="54"/>
        <v>67.16</v>
      </c>
      <c r="AD82" s="43">
        <f t="shared" si="63"/>
        <v>0</v>
      </c>
      <c r="AE82" s="116">
        <f>105.9928-23.9986</f>
        <v>81.994200000000006</v>
      </c>
      <c r="AF82" s="20">
        <f>0.2945+8+0.1-6.2287</f>
        <v>2.1657999999999991</v>
      </c>
      <c r="AG82" s="235">
        <f t="shared" si="50"/>
        <v>13.579999999999998</v>
      </c>
      <c r="AH82" s="235">
        <f t="shared" si="14"/>
        <v>15.745799999999997</v>
      </c>
      <c r="AI82" s="235">
        <f t="shared" si="15"/>
        <v>97.740000000000009</v>
      </c>
      <c r="AJ82" s="256">
        <f t="shared" si="16"/>
        <v>0</v>
      </c>
      <c r="AK82" s="240">
        <f>78.2053+9.54-46.7945</f>
        <v>40.950799999999987</v>
      </c>
      <c r="AL82" s="235">
        <f t="shared" si="21"/>
        <v>-0.26080000000000003</v>
      </c>
      <c r="AM82" s="235">
        <f t="shared" si="44"/>
        <v>12.8</v>
      </c>
      <c r="AN82" s="235">
        <f t="shared" si="18"/>
        <v>12.539200000000001</v>
      </c>
      <c r="AO82" s="235">
        <f t="shared" si="19"/>
        <v>53.489999999999988</v>
      </c>
      <c r="AP82" s="256">
        <f t="shared" si="20"/>
        <v>-5.6084935026179394E-6</v>
      </c>
      <c r="AQ82" s="156"/>
      <c r="AR82" s="102"/>
      <c r="AS82" s="102"/>
      <c r="AT82" s="76"/>
      <c r="AU82" s="155"/>
      <c r="AV82" s="157"/>
    </row>
    <row r="83" spans="1:48" ht="15">
      <c r="A83" s="248">
        <v>40547</v>
      </c>
      <c r="B83" s="72">
        <v>146.29000000000002</v>
      </c>
      <c r="C83" s="73">
        <f>101.1261+7.7339</f>
        <v>108.86</v>
      </c>
      <c r="D83" s="80">
        <f>2.78+8+6+0.05+0.1+5</f>
        <v>21.930000000000003</v>
      </c>
      <c r="E83" s="80">
        <f>2.5+3+5.3+5.87+4.61</f>
        <v>21.28</v>
      </c>
      <c r="F83" s="80">
        <f t="shared" si="58"/>
        <v>43.210000000000008</v>
      </c>
      <c r="G83" s="77">
        <f t="shared" si="65"/>
        <v>152.07</v>
      </c>
      <c r="H83" s="81">
        <f t="shared" si="53"/>
        <v>0.29996580612070423</v>
      </c>
      <c r="I83" s="156">
        <f>105.9914+12.9373</f>
        <v>118.92869999999999</v>
      </c>
      <c r="J83" s="102">
        <f>1.8+8+6+0.05+0.1-2.6987</f>
        <v>13.251300000000001</v>
      </c>
      <c r="K83" s="102">
        <f>2.5+3+5.3+5.87+4.61</f>
        <v>21.28</v>
      </c>
      <c r="L83" s="76">
        <f t="shared" si="26"/>
        <v>34.531300000000002</v>
      </c>
      <c r="M83" s="155">
        <f t="shared" si="27"/>
        <v>153.46</v>
      </c>
      <c r="N83" s="157">
        <f t="shared" si="59"/>
        <v>0.29995764506565026</v>
      </c>
      <c r="O83" s="73">
        <f>108.3084-39.5884</f>
        <v>68.72</v>
      </c>
      <c r="P83" s="78">
        <f t="shared" si="56"/>
        <v>-3.6574</v>
      </c>
      <c r="Q83" s="80">
        <f>3.6574+2.5+3+6.3+5.87+4.61</f>
        <v>25.9374</v>
      </c>
      <c r="R83" s="177">
        <f t="shared" si="60"/>
        <v>22.28</v>
      </c>
      <c r="S83" s="82">
        <f t="shared" si="57"/>
        <v>91</v>
      </c>
      <c r="T83" s="81">
        <f t="shared" si="61"/>
        <v>0</v>
      </c>
      <c r="U83" s="190">
        <f>136.2691-50.7504</f>
        <v>85.51870000000001</v>
      </c>
      <c r="V83" s="194">
        <f>0.7246+5-18.4042</f>
        <v>-12.679600000000001</v>
      </c>
      <c r="W83" s="191">
        <f>12.6796+6.3+4.4128+3.4532+4.7753+0.3</f>
        <v>31.9209</v>
      </c>
      <c r="X83" s="191">
        <f t="shared" si="64"/>
        <v>19.241299999999999</v>
      </c>
      <c r="Y83" s="198">
        <f t="shared" si="42"/>
        <v>104.76</v>
      </c>
      <c r="Z83" s="187">
        <f t="shared" si="62"/>
        <v>0.24997017062403026</v>
      </c>
      <c r="AA83" s="73">
        <f>77.2579+0.7064</f>
        <v>77.964300000000009</v>
      </c>
      <c r="AB83" s="80">
        <f>3.2094+4+0.05+0.1-1.3937</f>
        <v>5.9657</v>
      </c>
      <c r="AC83" s="82">
        <f t="shared" si="54"/>
        <v>83.93</v>
      </c>
      <c r="AD83" s="120">
        <f>AC83/AC82-1</f>
        <v>0.24970220369267437</v>
      </c>
      <c r="AE83" s="240">
        <f>105.9914+2.8342+0.0986</f>
        <v>108.9242</v>
      </c>
      <c r="AF83" s="20">
        <f t="shared" ref="AF83:AF146" si="66">0.2945+3+0.1-6.2287</f>
        <v>-2.8341999999999996</v>
      </c>
      <c r="AG83" s="235">
        <f t="shared" ref="AG83:AG106" si="67">5.3+5.87+4.61+0.3</f>
        <v>16.080000000000002</v>
      </c>
      <c r="AH83" s="235">
        <f t="shared" si="14"/>
        <v>13.245800000000003</v>
      </c>
      <c r="AI83" s="235">
        <f t="shared" si="15"/>
        <v>122.17</v>
      </c>
      <c r="AJ83" s="256">
        <f>AI83/AI81-1</f>
        <v>0.24994884387149585</v>
      </c>
      <c r="AK83" s="240">
        <f>78.2042+9.54+0.2608-49.2542</f>
        <v>38.750800000000012</v>
      </c>
      <c r="AL83" s="235">
        <f t="shared" si="21"/>
        <v>-0.26080000000000003</v>
      </c>
      <c r="AM83" s="235">
        <f t="shared" ref="AM83:AM106" si="68">5.3+5.57+4.61+0.3</f>
        <v>15.780000000000001</v>
      </c>
      <c r="AN83" s="235">
        <f t="shared" si="18"/>
        <v>15.519200000000001</v>
      </c>
      <c r="AO83" s="235">
        <f t="shared" si="19"/>
        <v>54.27000000000001</v>
      </c>
      <c r="AP83" s="256">
        <f>AO83/AO91-1</f>
        <v>5.5282215711383031E-5</v>
      </c>
      <c r="AQ83" s="156"/>
      <c r="AR83" s="102"/>
      <c r="AS83" s="102"/>
      <c r="AT83" s="76"/>
      <c r="AU83" s="155"/>
      <c r="AV83" s="157"/>
    </row>
    <row r="84" spans="1:48" ht="15">
      <c r="A84" s="248">
        <v>40559</v>
      </c>
      <c r="B84" s="72">
        <v>148.04</v>
      </c>
      <c r="C84" s="73">
        <f>104.9288+3.9312</f>
        <v>108.86</v>
      </c>
      <c r="D84" s="80">
        <f>2.78+8+6+0.05+0.1+5</f>
        <v>21.930000000000003</v>
      </c>
      <c r="E84" s="80">
        <f>2.5+3+5.3+5.87+4.61</f>
        <v>21.28</v>
      </c>
      <c r="F84" s="80">
        <f t="shared" si="58"/>
        <v>43.210000000000008</v>
      </c>
      <c r="G84" s="77">
        <f t="shared" ref="G84:G93" si="69">SUM(C84:E84)</f>
        <v>152.07</v>
      </c>
      <c r="H84" s="81">
        <f t="shared" si="53"/>
        <v>0</v>
      </c>
      <c r="I84" s="156">
        <f>108.9982+9.9305</f>
        <v>118.92869999999999</v>
      </c>
      <c r="J84" s="102">
        <f>1.8+8+6+0.05+0.1-2.6987</f>
        <v>13.251300000000001</v>
      </c>
      <c r="K84" s="102">
        <f>2.5+3+5.3+5.87+4.61</f>
        <v>21.28</v>
      </c>
      <c r="L84" s="76">
        <f t="shared" si="26"/>
        <v>34.531300000000002</v>
      </c>
      <c r="M84" s="155">
        <f t="shared" si="27"/>
        <v>153.46</v>
      </c>
      <c r="N84" s="157">
        <f t="shared" si="59"/>
        <v>0</v>
      </c>
      <c r="O84" s="73">
        <f>111.7257-43.0057</f>
        <v>68.72</v>
      </c>
      <c r="P84" s="78">
        <f t="shared" si="56"/>
        <v>-3.6574</v>
      </c>
      <c r="Q84" s="80">
        <f>3.6574+2.5+3+6.3+5.87+4.61</f>
        <v>25.9374</v>
      </c>
      <c r="R84" s="177">
        <f t="shared" si="60"/>
        <v>22.28</v>
      </c>
      <c r="S84" s="82">
        <f t="shared" si="57"/>
        <v>91</v>
      </c>
      <c r="T84" s="81">
        <f t="shared" si="61"/>
        <v>0</v>
      </c>
      <c r="U84" s="190">
        <f>144.0518-58.5331</f>
        <v>85.518699999999995</v>
      </c>
      <c r="V84" s="194">
        <f>0.7246+5-18.4042</f>
        <v>-12.679600000000001</v>
      </c>
      <c r="W84" s="191">
        <f>12.6796+6.3+4.4128+3.4532+4.7753+0.3</f>
        <v>31.9209</v>
      </c>
      <c r="X84" s="191">
        <f t="shared" si="64"/>
        <v>19.241299999999999</v>
      </c>
      <c r="Y84" s="198">
        <f t="shared" si="42"/>
        <v>104.76</v>
      </c>
      <c r="Z84" s="187">
        <f t="shared" si="62"/>
        <v>0</v>
      </c>
      <c r="AA84" s="73">
        <f>84.1896-6.2253</f>
        <v>77.964299999999994</v>
      </c>
      <c r="AB84" s="80">
        <f>3.2094+4+0.05+0.1-1.3937</f>
        <v>5.9657</v>
      </c>
      <c r="AC84" s="82">
        <f t="shared" si="54"/>
        <v>83.929999999999993</v>
      </c>
      <c r="AD84" s="43">
        <f t="shared" si="63"/>
        <v>0</v>
      </c>
      <c r="AE84" s="116">
        <f>108.9982+2.8342-2.9082</f>
        <v>108.9242</v>
      </c>
      <c r="AF84" s="20">
        <f t="shared" si="66"/>
        <v>-2.8341999999999996</v>
      </c>
      <c r="AG84" s="235">
        <f t="shared" si="67"/>
        <v>16.080000000000002</v>
      </c>
      <c r="AH84" s="235">
        <f t="shared" si="14"/>
        <v>13.245800000000003</v>
      </c>
      <c r="AI84" s="235">
        <f t="shared" si="15"/>
        <v>122.17</v>
      </c>
      <c r="AJ84" s="256">
        <f t="shared" ref="AJ84:AJ96" si="70">AI84/AI83-1</f>
        <v>0</v>
      </c>
      <c r="AK84" s="240">
        <f>81.1449+9.54+0.2608-52.1949</f>
        <v>38.750800000000005</v>
      </c>
      <c r="AL84" s="235">
        <f t="shared" si="21"/>
        <v>-0.26080000000000003</v>
      </c>
      <c r="AM84" s="235">
        <f t="shared" si="68"/>
        <v>15.780000000000001</v>
      </c>
      <c r="AN84" s="235">
        <f t="shared" si="18"/>
        <v>15.519200000000001</v>
      </c>
      <c r="AO84" s="235">
        <f t="shared" si="19"/>
        <v>54.27000000000001</v>
      </c>
      <c r="AP84" s="256">
        <f>AO85/AO84-1</f>
        <v>0</v>
      </c>
      <c r="AQ84" s="156"/>
      <c r="AR84" s="102"/>
      <c r="AS84" s="102"/>
      <c r="AT84" s="76"/>
      <c r="AU84" s="155"/>
      <c r="AV84" s="157"/>
    </row>
    <row r="85" spans="1:48" ht="15">
      <c r="A85" s="248">
        <v>40575</v>
      </c>
      <c r="B85" s="72">
        <v>149.01</v>
      </c>
      <c r="C85" s="73">
        <f>107.4347+1.4253</f>
        <v>108.86000000000001</v>
      </c>
      <c r="D85" s="80">
        <f>2.78+8+6+0.05+0.1+5</f>
        <v>21.930000000000003</v>
      </c>
      <c r="E85" s="80">
        <f>2.5+3+5.3+5.87+4.61</f>
        <v>21.28</v>
      </c>
      <c r="F85" s="80">
        <f t="shared" si="58"/>
        <v>43.210000000000008</v>
      </c>
      <c r="G85" s="77">
        <f t="shared" si="69"/>
        <v>152.07000000000002</v>
      </c>
      <c r="H85" s="81">
        <f t="shared" si="53"/>
        <v>0</v>
      </c>
      <c r="I85" s="156">
        <f>114.0261+4.9026</f>
        <v>118.92869999999999</v>
      </c>
      <c r="J85" s="102">
        <f>1.8+8+6+0.05+0.1-2.6987</f>
        <v>13.251300000000001</v>
      </c>
      <c r="K85" s="102">
        <f>2.5+3+5.3+5.87+4.61</f>
        <v>21.28</v>
      </c>
      <c r="L85" s="76">
        <f t="shared" si="26"/>
        <v>34.531300000000002</v>
      </c>
      <c r="M85" s="155">
        <f t="shared" si="27"/>
        <v>153.46</v>
      </c>
      <c r="N85" s="157">
        <f t="shared" si="59"/>
        <v>0</v>
      </c>
      <c r="O85" s="73">
        <f>117.6249-48.9049</f>
        <v>68.72</v>
      </c>
      <c r="P85" s="78">
        <f t="shared" si="56"/>
        <v>-3.6574</v>
      </c>
      <c r="Q85" s="80">
        <f>3.6574+2.5+3+6.3+5.87+4.61</f>
        <v>25.9374</v>
      </c>
      <c r="R85" s="177">
        <f t="shared" si="60"/>
        <v>22.28</v>
      </c>
      <c r="S85" s="82">
        <f t="shared" si="57"/>
        <v>91</v>
      </c>
      <c r="T85" s="81">
        <f t="shared" si="61"/>
        <v>0</v>
      </c>
      <c r="U85" s="190">
        <f>144.3698-58.8511</f>
        <v>85.518699999999995</v>
      </c>
      <c r="V85" s="194">
        <f>0.7246+5-18.4042</f>
        <v>-12.679600000000001</v>
      </c>
      <c r="W85" s="191">
        <f>12.6796+6.3+4.4128+3.4532+4.7753+0.3</f>
        <v>31.9209</v>
      </c>
      <c r="X85" s="191">
        <f t="shared" si="64"/>
        <v>19.241299999999999</v>
      </c>
      <c r="Y85" s="198">
        <f t="shared" si="42"/>
        <v>104.76</v>
      </c>
      <c r="Z85" s="187">
        <f t="shared" si="62"/>
        <v>0</v>
      </c>
      <c r="AA85" s="73">
        <f>86.1583-8.194</f>
        <v>77.964299999999994</v>
      </c>
      <c r="AB85" s="80">
        <f>3.2094+4+0.05+0.1-1.3937</f>
        <v>5.9657</v>
      </c>
      <c r="AC85" s="82">
        <f t="shared" si="54"/>
        <v>83.929999999999993</v>
      </c>
      <c r="AD85" s="43">
        <f t="shared" si="63"/>
        <v>0</v>
      </c>
      <c r="AE85" s="116">
        <f>114.0261+2.8342-7.9361</f>
        <v>108.9242</v>
      </c>
      <c r="AF85" s="20">
        <f t="shared" si="66"/>
        <v>-2.8341999999999996</v>
      </c>
      <c r="AG85" s="235">
        <f t="shared" si="67"/>
        <v>16.080000000000002</v>
      </c>
      <c r="AH85" s="235">
        <f t="shared" si="14"/>
        <v>13.245800000000003</v>
      </c>
      <c r="AI85" s="235">
        <f t="shared" si="15"/>
        <v>122.17</v>
      </c>
      <c r="AJ85" s="256">
        <f t="shared" si="70"/>
        <v>0</v>
      </c>
      <c r="AK85" s="240">
        <f>83.0828+9.54+0.2608-54.1328</f>
        <v>38.750800000000012</v>
      </c>
      <c r="AL85" s="235">
        <f t="shared" si="21"/>
        <v>-0.26080000000000003</v>
      </c>
      <c r="AM85" s="235">
        <f t="shared" si="68"/>
        <v>15.780000000000001</v>
      </c>
      <c r="AN85" s="235">
        <f t="shared" si="18"/>
        <v>15.519200000000001</v>
      </c>
      <c r="AO85" s="235">
        <f t="shared" si="19"/>
        <v>54.27000000000001</v>
      </c>
      <c r="AP85" s="256">
        <f t="shared" ref="AP85:AP96" si="71">AO85/AO84-1</f>
        <v>0</v>
      </c>
      <c r="AQ85" s="156"/>
      <c r="AR85" s="102"/>
      <c r="AS85" s="102"/>
      <c r="AT85" s="76"/>
      <c r="AU85" s="155"/>
      <c r="AV85" s="157"/>
    </row>
    <row r="86" spans="1:48" ht="15">
      <c r="A86" s="248">
        <v>40590</v>
      </c>
      <c r="B86" s="72">
        <v>151.53</v>
      </c>
      <c r="C86" s="176">
        <f>109.6896-0.8296</f>
        <v>108.86</v>
      </c>
      <c r="D86" s="177">
        <f t="shared" ref="D86:D124" si="72">2.78+8+6+0.05+0.1+5</f>
        <v>21.930000000000003</v>
      </c>
      <c r="E86" s="177">
        <f t="shared" ref="E86:E106" si="73">2.5+3+5.3+5.87+4.61</f>
        <v>21.28</v>
      </c>
      <c r="F86" s="177">
        <f t="shared" si="58"/>
        <v>43.210000000000008</v>
      </c>
      <c r="G86" s="182">
        <f t="shared" si="69"/>
        <v>152.07</v>
      </c>
      <c r="H86" s="263">
        <f t="shared" si="53"/>
        <v>0</v>
      </c>
      <c r="I86" s="156">
        <f>120.5103-1.5816</f>
        <v>118.92870000000001</v>
      </c>
      <c r="J86" s="102">
        <f t="shared" ref="J86:J109" si="74">1.8+8+6+0.05+0.1-2.6987</f>
        <v>13.251300000000001</v>
      </c>
      <c r="K86" s="102">
        <f t="shared" ref="K86:K106" si="75">2.5+3+5.3+5.87+4.61</f>
        <v>21.28</v>
      </c>
      <c r="L86" s="76">
        <f t="shared" si="26"/>
        <v>34.531300000000002</v>
      </c>
      <c r="M86" s="155">
        <f t="shared" si="27"/>
        <v>153.46</v>
      </c>
      <c r="N86" s="157">
        <f t="shared" si="59"/>
        <v>0</v>
      </c>
      <c r="O86" s="176">
        <f>124.4205+3.6574-55.7005</f>
        <v>72.377399999999994</v>
      </c>
      <c r="P86" s="251">
        <f t="shared" si="56"/>
        <v>-3.6574</v>
      </c>
      <c r="Q86" s="177">
        <f t="shared" ref="Q86:Q106" si="76">2.5+3+6.3+5.87+4.61</f>
        <v>22.28</v>
      </c>
      <c r="R86" s="177">
        <f t="shared" si="60"/>
        <v>18.622600000000002</v>
      </c>
      <c r="S86" s="178">
        <f t="shared" ref="S86:S93" si="77">SUM(O86:Q86)</f>
        <v>91</v>
      </c>
      <c r="T86" s="263">
        <f t="shared" si="61"/>
        <v>0</v>
      </c>
      <c r="U86" s="190">
        <f>142.9428+12.6796-57.4241</f>
        <v>98.198299999999989</v>
      </c>
      <c r="V86" s="194">
        <f t="shared" ref="V86:V136" si="78">0.7246+5-18.4042</f>
        <v>-12.679600000000001</v>
      </c>
      <c r="W86" s="191">
        <f t="shared" ref="W86:W106" si="79">6.3+4.4128+3.4532+4.7753+0.3</f>
        <v>19.241299999999999</v>
      </c>
      <c r="X86" s="191">
        <f t="shared" si="64"/>
        <v>6.5616999999999983</v>
      </c>
      <c r="Y86" s="198">
        <f t="shared" ref="Y86:Y93" si="80">SUM(U86:W86)</f>
        <v>104.75999999999999</v>
      </c>
      <c r="Z86" s="187">
        <f t="shared" si="62"/>
        <v>0</v>
      </c>
      <c r="AA86" s="176">
        <f>91.6226-13.6583</f>
        <v>77.964300000000009</v>
      </c>
      <c r="AB86" s="177">
        <f t="shared" ref="AB86:AB134" si="81">3.2094+4+0.05+0.1-1.3937</f>
        <v>5.9657</v>
      </c>
      <c r="AC86" s="178">
        <f t="shared" ref="AC86:AC93" si="82">SUM(AA86:AB86)</f>
        <v>83.93</v>
      </c>
      <c r="AD86" s="263">
        <f t="shared" si="63"/>
        <v>0</v>
      </c>
      <c r="AE86" s="264">
        <f>120.5103+2.8342-14.4203</f>
        <v>108.9242</v>
      </c>
      <c r="AF86" s="20">
        <f t="shared" si="66"/>
        <v>-2.8341999999999996</v>
      </c>
      <c r="AG86" s="235">
        <f t="shared" si="67"/>
        <v>16.080000000000002</v>
      </c>
      <c r="AH86" s="235">
        <f t="shared" si="14"/>
        <v>13.245800000000003</v>
      </c>
      <c r="AI86" s="235">
        <f t="shared" si="15"/>
        <v>122.17</v>
      </c>
      <c r="AJ86" s="265">
        <f t="shared" si="70"/>
        <v>0</v>
      </c>
      <c r="AK86" s="240">
        <f>84.8266+9.54+0.2608-55.8766</f>
        <v>38.750800000000005</v>
      </c>
      <c r="AL86" s="235">
        <f t="shared" si="21"/>
        <v>-0.26080000000000003</v>
      </c>
      <c r="AM86" s="235">
        <f t="shared" si="68"/>
        <v>15.780000000000001</v>
      </c>
      <c r="AN86" s="235">
        <f t="shared" si="18"/>
        <v>15.519200000000001</v>
      </c>
      <c r="AO86" s="235">
        <f t="shared" si="19"/>
        <v>54.27000000000001</v>
      </c>
      <c r="AP86" s="265">
        <f t="shared" si="71"/>
        <v>0</v>
      </c>
      <c r="AQ86" s="156"/>
      <c r="AR86" s="102"/>
      <c r="AS86" s="102"/>
      <c r="AT86" s="76"/>
      <c r="AU86" s="155"/>
      <c r="AV86" s="157"/>
    </row>
    <row r="87" spans="1:48" ht="15">
      <c r="A87" s="248">
        <v>40603</v>
      </c>
      <c r="B87" s="72">
        <v>150.47999999999999</v>
      </c>
      <c r="C87" s="73">
        <f>114.8488-5.9888</f>
        <v>108.86</v>
      </c>
      <c r="D87" s="80">
        <f t="shared" si="72"/>
        <v>21.930000000000003</v>
      </c>
      <c r="E87" s="80">
        <f t="shared" si="73"/>
        <v>21.28</v>
      </c>
      <c r="F87" s="80">
        <f t="shared" si="58"/>
        <v>43.210000000000008</v>
      </c>
      <c r="G87" s="77">
        <f t="shared" si="69"/>
        <v>152.07</v>
      </c>
      <c r="H87" s="81">
        <f t="shared" si="53"/>
        <v>0</v>
      </c>
      <c r="I87" s="156">
        <f>124.085-5.1563</f>
        <v>118.92869999999999</v>
      </c>
      <c r="J87" s="102">
        <f t="shared" si="74"/>
        <v>13.251300000000001</v>
      </c>
      <c r="K87" s="102">
        <f t="shared" si="75"/>
        <v>21.28</v>
      </c>
      <c r="L87" s="76">
        <f t="shared" si="26"/>
        <v>34.531300000000002</v>
      </c>
      <c r="M87" s="155">
        <f t="shared" si="27"/>
        <v>153.46</v>
      </c>
      <c r="N87" s="157">
        <f t="shared" si="59"/>
        <v>0</v>
      </c>
      <c r="O87" s="73">
        <f>128.7619+3.6574-60.0419</f>
        <v>72.377399999999994</v>
      </c>
      <c r="P87" s="78">
        <f t="shared" si="56"/>
        <v>-3.6574</v>
      </c>
      <c r="Q87" s="80">
        <f t="shared" si="76"/>
        <v>22.28</v>
      </c>
      <c r="R87" s="177">
        <f t="shared" si="60"/>
        <v>18.622600000000002</v>
      </c>
      <c r="S87" s="82">
        <f t="shared" si="77"/>
        <v>91</v>
      </c>
      <c r="T87" s="81">
        <f t="shared" si="61"/>
        <v>0</v>
      </c>
      <c r="U87" s="190">
        <f>144.4608+12.6796-58.9421</f>
        <v>98.198299999999989</v>
      </c>
      <c r="V87" s="194">
        <f t="shared" si="78"/>
        <v>-12.679600000000001</v>
      </c>
      <c r="W87" s="191">
        <f t="shared" si="79"/>
        <v>19.241299999999999</v>
      </c>
      <c r="X87" s="191">
        <f t="shared" si="64"/>
        <v>6.5616999999999983</v>
      </c>
      <c r="Y87" s="198">
        <f t="shared" si="80"/>
        <v>104.75999999999999</v>
      </c>
      <c r="Z87" s="187">
        <f t="shared" si="62"/>
        <v>0</v>
      </c>
      <c r="AA87" s="73">
        <f>97.6536-19.6893</f>
        <v>77.964299999999994</v>
      </c>
      <c r="AB87" s="80">
        <f t="shared" si="81"/>
        <v>5.9657</v>
      </c>
      <c r="AC87" s="82">
        <f t="shared" si="82"/>
        <v>83.929999999999993</v>
      </c>
      <c r="AD87" s="81">
        <f t="shared" si="63"/>
        <v>0</v>
      </c>
      <c r="AE87" s="116">
        <f>124.085+2.8342-17.995</f>
        <v>108.92419999999998</v>
      </c>
      <c r="AF87" s="20">
        <f t="shared" si="66"/>
        <v>-2.8341999999999996</v>
      </c>
      <c r="AG87" s="235">
        <f t="shared" si="67"/>
        <v>16.080000000000002</v>
      </c>
      <c r="AH87" s="235">
        <f t="shared" si="14"/>
        <v>13.245800000000003</v>
      </c>
      <c r="AI87" s="235">
        <f t="shared" si="15"/>
        <v>122.16999999999999</v>
      </c>
      <c r="AJ87" s="256">
        <f t="shared" si="70"/>
        <v>0</v>
      </c>
      <c r="AK87" s="240">
        <f>88.8164+9.54+0.2608-59.8664</f>
        <v>38.750800000000012</v>
      </c>
      <c r="AL87" s="235">
        <f t="shared" si="21"/>
        <v>-0.26080000000000003</v>
      </c>
      <c r="AM87" s="235">
        <f t="shared" si="68"/>
        <v>15.780000000000001</v>
      </c>
      <c r="AN87" s="235">
        <f t="shared" si="18"/>
        <v>15.519200000000001</v>
      </c>
      <c r="AO87" s="235">
        <f t="shared" si="19"/>
        <v>54.27000000000001</v>
      </c>
      <c r="AP87" s="256">
        <f t="shared" si="71"/>
        <v>0</v>
      </c>
      <c r="AQ87" s="156"/>
      <c r="AR87" s="102"/>
      <c r="AS87" s="102"/>
      <c r="AT87" s="76"/>
      <c r="AU87" s="155"/>
      <c r="AV87" s="157"/>
    </row>
    <row r="88" spans="1:48" ht="15">
      <c r="A88" s="248">
        <v>40618</v>
      </c>
      <c r="B88" s="72">
        <v>150.93</v>
      </c>
      <c r="C88" s="73">
        <f>123.2207-14.3607</f>
        <v>108.86</v>
      </c>
      <c r="D88" s="80">
        <f t="shared" si="72"/>
        <v>21.930000000000003</v>
      </c>
      <c r="E88" s="80">
        <f t="shared" si="73"/>
        <v>21.28</v>
      </c>
      <c r="F88" s="80">
        <f t="shared" si="58"/>
        <v>43.210000000000008</v>
      </c>
      <c r="G88" s="77">
        <f t="shared" si="69"/>
        <v>152.07</v>
      </c>
      <c r="H88" s="81">
        <f t="shared" si="53"/>
        <v>0</v>
      </c>
      <c r="I88" s="156">
        <f>133.5175-14.5888</f>
        <v>118.92870000000001</v>
      </c>
      <c r="J88" s="102">
        <f t="shared" si="74"/>
        <v>13.251300000000001</v>
      </c>
      <c r="K88" s="102">
        <f t="shared" si="75"/>
        <v>21.28</v>
      </c>
      <c r="L88" s="76">
        <f t="shared" si="26"/>
        <v>34.531300000000002</v>
      </c>
      <c r="M88" s="155">
        <f t="shared" si="27"/>
        <v>153.46</v>
      </c>
      <c r="N88" s="157">
        <f t="shared" si="59"/>
        <v>0</v>
      </c>
      <c r="O88" s="73">
        <f>137.2957+3.6574-68.5757</f>
        <v>72.377400000000009</v>
      </c>
      <c r="P88" s="78">
        <f t="shared" si="56"/>
        <v>-3.6574</v>
      </c>
      <c r="Q88" s="80">
        <f t="shared" si="76"/>
        <v>22.28</v>
      </c>
      <c r="R88" s="177">
        <f t="shared" si="60"/>
        <v>18.622600000000002</v>
      </c>
      <c r="S88" s="82">
        <f t="shared" si="77"/>
        <v>91.000000000000014</v>
      </c>
      <c r="T88" s="81">
        <f t="shared" si="61"/>
        <v>0</v>
      </c>
      <c r="U88" s="190">
        <f>161.0423+12.6796-75.5236</f>
        <v>98.198300000000003</v>
      </c>
      <c r="V88" s="194">
        <f t="shared" si="78"/>
        <v>-12.679600000000001</v>
      </c>
      <c r="W88" s="191">
        <f t="shared" si="79"/>
        <v>19.241299999999999</v>
      </c>
      <c r="X88" s="191">
        <f t="shared" si="64"/>
        <v>6.5616999999999983</v>
      </c>
      <c r="Y88" s="198">
        <f t="shared" si="80"/>
        <v>104.75999999999999</v>
      </c>
      <c r="Z88" s="187">
        <f t="shared" si="62"/>
        <v>0</v>
      </c>
      <c r="AA88" s="73">
        <f>100.5794-22.6151</f>
        <v>77.964300000000009</v>
      </c>
      <c r="AB88" s="80">
        <f t="shared" si="81"/>
        <v>5.9657</v>
      </c>
      <c r="AC88" s="82">
        <f t="shared" si="82"/>
        <v>83.93</v>
      </c>
      <c r="AD88" s="81">
        <f t="shared" si="63"/>
        <v>0</v>
      </c>
      <c r="AE88" s="240">
        <f>133.5175+2.8342-27.4275</f>
        <v>108.92420000000003</v>
      </c>
      <c r="AF88" s="20">
        <f t="shared" si="66"/>
        <v>-2.8341999999999996</v>
      </c>
      <c r="AG88" s="235">
        <f t="shared" si="67"/>
        <v>16.080000000000002</v>
      </c>
      <c r="AH88" s="235">
        <f t="shared" si="14"/>
        <v>13.245800000000003</v>
      </c>
      <c r="AI88" s="235">
        <f t="shared" si="15"/>
        <v>122.17000000000003</v>
      </c>
      <c r="AJ88" s="256">
        <f t="shared" si="70"/>
        <v>0</v>
      </c>
      <c r="AK88" s="240">
        <f>95.2907+9.54+0.2608-66.3407</f>
        <v>38.750800000000012</v>
      </c>
      <c r="AL88" s="235">
        <f t="shared" si="21"/>
        <v>-0.26080000000000003</v>
      </c>
      <c r="AM88" s="235">
        <f t="shared" si="68"/>
        <v>15.780000000000001</v>
      </c>
      <c r="AN88" s="235">
        <f t="shared" si="18"/>
        <v>15.519200000000001</v>
      </c>
      <c r="AO88" s="235">
        <f t="shared" si="19"/>
        <v>54.27000000000001</v>
      </c>
      <c r="AP88" s="256">
        <f t="shared" si="71"/>
        <v>0</v>
      </c>
      <c r="AQ88" s="156"/>
      <c r="AR88" s="102"/>
      <c r="AS88" s="102"/>
      <c r="AT88" s="76"/>
      <c r="AU88" s="155"/>
      <c r="AV88" s="157"/>
    </row>
    <row r="89" spans="1:48" ht="15">
      <c r="A89" s="248">
        <v>40634</v>
      </c>
      <c r="B89" s="72">
        <v>151.29</v>
      </c>
      <c r="C89" s="73">
        <f>121.9761-13.1161</f>
        <v>108.86</v>
      </c>
      <c r="D89" s="80">
        <f t="shared" si="72"/>
        <v>21.930000000000003</v>
      </c>
      <c r="E89" s="80">
        <f t="shared" si="73"/>
        <v>21.28</v>
      </c>
      <c r="F89" s="80">
        <f t="shared" si="58"/>
        <v>43.210000000000008</v>
      </c>
      <c r="G89" s="77">
        <f t="shared" si="69"/>
        <v>152.07</v>
      </c>
      <c r="H89" s="81">
        <f t="shared" si="53"/>
        <v>0</v>
      </c>
      <c r="I89" s="156">
        <f>136.045-17.1163</f>
        <v>118.92869999999999</v>
      </c>
      <c r="J89" s="102">
        <f t="shared" si="74"/>
        <v>13.251300000000001</v>
      </c>
      <c r="K89" s="102">
        <f t="shared" si="75"/>
        <v>21.28</v>
      </c>
      <c r="L89" s="76">
        <f t="shared" si="26"/>
        <v>34.531300000000002</v>
      </c>
      <c r="M89" s="155">
        <f t="shared" si="27"/>
        <v>153.46</v>
      </c>
      <c r="N89" s="157">
        <f t="shared" si="59"/>
        <v>0</v>
      </c>
      <c r="O89" s="73">
        <f>139.7634+3.6574-71.0434</f>
        <v>72.37739999999998</v>
      </c>
      <c r="P89" s="78">
        <f t="shared" si="56"/>
        <v>-3.6574</v>
      </c>
      <c r="Q89" s="80">
        <f t="shared" si="76"/>
        <v>22.28</v>
      </c>
      <c r="R89" s="177">
        <f t="shared" si="60"/>
        <v>18.622600000000002</v>
      </c>
      <c r="S89" s="82">
        <f t="shared" si="77"/>
        <v>90.999999999999986</v>
      </c>
      <c r="T89" s="81">
        <f t="shared" si="61"/>
        <v>0</v>
      </c>
      <c r="U89" s="190">
        <f>159.0814+12.6796-73.5627</f>
        <v>98.198299999999989</v>
      </c>
      <c r="V89" s="194">
        <f t="shared" si="78"/>
        <v>-12.679600000000001</v>
      </c>
      <c r="W89" s="191">
        <f t="shared" si="79"/>
        <v>19.241299999999999</v>
      </c>
      <c r="X89" s="191">
        <f t="shared" si="64"/>
        <v>6.5616999999999983</v>
      </c>
      <c r="Y89" s="198">
        <f t="shared" si="80"/>
        <v>104.75999999999999</v>
      </c>
      <c r="Z89" s="187">
        <f t="shared" si="62"/>
        <v>0</v>
      </c>
      <c r="AA89" s="73">
        <f>105.1607-27.1964</f>
        <v>77.964300000000009</v>
      </c>
      <c r="AB89" s="80">
        <f t="shared" si="81"/>
        <v>5.9657</v>
      </c>
      <c r="AC89" s="82">
        <f t="shared" si="82"/>
        <v>83.93</v>
      </c>
      <c r="AD89" s="81">
        <f t="shared" si="63"/>
        <v>0</v>
      </c>
      <c r="AE89" s="240">
        <f>136.045+2.8342-29.955</f>
        <v>108.9242</v>
      </c>
      <c r="AF89" s="20">
        <f t="shared" si="66"/>
        <v>-2.8341999999999996</v>
      </c>
      <c r="AG89" s="235">
        <f t="shared" si="67"/>
        <v>16.080000000000002</v>
      </c>
      <c r="AH89" s="235">
        <f t="shared" si="14"/>
        <v>13.245800000000003</v>
      </c>
      <c r="AI89" s="235">
        <f t="shared" si="15"/>
        <v>122.17</v>
      </c>
      <c r="AJ89" s="256">
        <f t="shared" si="70"/>
        <v>0</v>
      </c>
      <c r="AK89" s="240">
        <f>94.3282+9.54+0.2608-65.3782</f>
        <v>38.750799999999998</v>
      </c>
      <c r="AL89" s="235">
        <f t="shared" si="21"/>
        <v>-0.26080000000000003</v>
      </c>
      <c r="AM89" s="235">
        <f t="shared" si="68"/>
        <v>15.780000000000001</v>
      </c>
      <c r="AN89" s="235">
        <f t="shared" si="18"/>
        <v>15.519200000000001</v>
      </c>
      <c r="AO89" s="235">
        <f t="shared" si="19"/>
        <v>54.269999999999996</v>
      </c>
      <c r="AP89" s="256">
        <f t="shared" si="71"/>
        <v>0</v>
      </c>
      <c r="AQ89" s="156"/>
      <c r="AR89" s="102"/>
      <c r="AS89" s="102"/>
      <c r="AT89" s="76"/>
      <c r="AU89" s="155"/>
      <c r="AV89" s="157"/>
    </row>
    <row r="90" spans="1:48" ht="15">
      <c r="A90" s="248">
        <v>40649</v>
      </c>
      <c r="B90" s="72">
        <v>151.09</v>
      </c>
      <c r="C90" s="73">
        <f>131.6798-22.8198</f>
        <v>108.86</v>
      </c>
      <c r="D90" s="80">
        <f t="shared" si="72"/>
        <v>21.930000000000003</v>
      </c>
      <c r="E90" s="80">
        <f t="shared" si="73"/>
        <v>21.28</v>
      </c>
      <c r="F90" s="80">
        <f t="shared" si="58"/>
        <v>43.210000000000008</v>
      </c>
      <c r="G90" s="77">
        <f t="shared" si="69"/>
        <v>152.07</v>
      </c>
      <c r="H90" s="81">
        <f t="shared" si="53"/>
        <v>0</v>
      </c>
      <c r="I90" s="156">
        <f>140.0439-21.1152</f>
        <v>118.92870000000001</v>
      </c>
      <c r="J90" s="102">
        <f t="shared" si="74"/>
        <v>13.251300000000001</v>
      </c>
      <c r="K90" s="102">
        <f t="shared" si="75"/>
        <v>21.28</v>
      </c>
      <c r="L90" s="76">
        <f t="shared" si="26"/>
        <v>34.531300000000002</v>
      </c>
      <c r="M90" s="155">
        <f t="shared" si="27"/>
        <v>153.46</v>
      </c>
      <c r="N90" s="157">
        <f t="shared" si="59"/>
        <v>0</v>
      </c>
      <c r="O90" s="73">
        <f>143.6122+3.6574-74.8922</f>
        <v>72.377399999999994</v>
      </c>
      <c r="P90" s="78">
        <f t="shared" si="56"/>
        <v>-3.6574</v>
      </c>
      <c r="Q90" s="80">
        <f t="shared" si="76"/>
        <v>22.28</v>
      </c>
      <c r="R90" s="177">
        <f t="shared" si="60"/>
        <v>18.622600000000002</v>
      </c>
      <c r="S90" s="82">
        <f t="shared" si="77"/>
        <v>91</v>
      </c>
      <c r="T90" s="81">
        <f t="shared" si="61"/>
        <v>0</v>
      </c>
      <c r="U90" s="190">
        <f>159.0814+12.6796-73.5627</f>
        <v>98.198299999999989</v>
      </c>
      <c r="V90" s="194">
        <f t="shared" si="78"/>
        <v>-12.679600000000001</v>
      </c>
      <c r="W90" s="191">
        <f t="shared" si="79"/>
        <v>19.241299999999999</v>
      </c>
      <c r="X90" s="191">
        <f t="shared" si="64"/>
        <v>6.5616999999999983</v>
      </c>
      <c r="Y90" s="198">
        <f t="shared" si="80"/>
        <v>104.75999999999999</v>
      </c>
      <c r="Z90" s="187">
        <f t="shared" si="62"/>
        <v>0</v>
      </c>
      <c r="AA90" s="73">
        <f>105.1607-27.1964</f>
        <v>77.964300000000009</v>
      </c>
      <c r="AB90" s="80">
        <f t="shared" si="81"/>
        <v>5.9657</v>
      </c>
      <c r="AC90" s="82">
        <f t="shared" si="82"/>
        <v>83.93</v>
      </c>
      <c r="AD90" s="81">
        <f t="shared" si="63"/>
        <v>0</v>
      </c>
      <c r="AE90" s="240">
        <f>140.0439+2.8342-33.9539</f>
        <v>108.92420000000001</v>
      </c>
      <c r="AF90" s="20">
        <f t="shared" si="66"/>
        <v>-2.8341999999999996</v>
      </c>
      <c r="AG90" s="235">
        <f t="shared" si="67"/>
        <v>16.080000000000002</v>
      </c>
      <c r="AH90" s="235">
        <f t="shared" si="14"/>
        <v>13.245800000000003</v>
      </c>
      <c r="AI90" s="235">
        <f t="shared" si="15"/>
        <v>122.17000000000002</v>
      </c>
      <c r="AJ90" s="256">
        <f t="shared" si="70"/>
        <v>0</v>
      </c>
      <c r="AK90" s="240">
        <f>101.8324+9.54+0.2608-72.8824</f>
        <v>38.750799999999998</v>
      </c>
      <c r="AL90" s="235">
        <f t="shared" si="21"/>
        <v>-0.26080000000000003</v>
      </c>
      <c r="AM90" s="235">
        <f t="shared" si="68"/>
        <v>15.780000000000001</v>
      </c>
      <c r="AN90" s="235">
        <f t="shared" si="18"/>
        <v>15.519200000000001</v>
      </c>
      <c r="AO90" s="235">
        <f t="shared" si="19"/>
        <v>54.269999999999996</v>
      </c>
      <c r="AP90" s="256">
        <f t="shared" si="71"/>
        <v>0</v>
      </c>
      <c r="AQ90" s="156"/>
      <c r="AR90" s="102"/>
      <c r="AS90" s="102"/>
      <c r="AT90" s="76"/>
      <c r="AU90" s="155"/>
      <c r="AV90" s="157"/>
    </row>
    <row r="91" spans="1:48" ht="15">
      <c r="A91" s="248">
        <v>40664</v>
      </c>
      <c r="B91" s="72">
        <v>150.85</v>
      </c>
      <c r="C91" s="73">
        <f>135.0163-26.1563</f>
        <v>108.86</v>
      </c>
      <c r="D91" s="80">
        <f t="shared" si="72"/>
        <v>21.930000000000003</v>
      </c>
      <c r="E91" s="80">
        <f t="shared" si="73"/>
        <v>21.28</v>
      </c>
      <c r="F91" s="80">
        <f t="shared" si="58"/>
        <v>43.210000000000008</v>
      </c>
      <c r="G91" s="77">
        <f t="shared" si="69"/>
        <v>152.07</v>
      </c>
      <c r="H91" s="81">
        <f t="shared" si="53"/>
        <v>0</v>
      </c>
      <c r="I91" s="156">
        <f>140.1095-21.1808</f>
        <v>118.92869999999999</v>
      </c>
      <c r="J91" s="102">
        <f t="shared" si="74"/>
        <v>13.251300000000001</v>
      </c>
      <c r="K91" s="102">
        <f t="shared" si="75"/>
        <v>21.28</v>
      </c>
      <c r="L91" s="76">
        <f t="shared" si="26"/>
        <v>34.531300000000002</v>
      </c>
      <c r="M91" s="155">
        <f t="shared" si="27"/>
        <v>153.46</v>
      </c>
      <c r="N91" s="157">
        <f t="shared" si="59"/>
        <v>0</v>
      </c>
      <c r="O91" s="73">
        <f>144.9004+3.6574-76.1804</f>
        <v>72.37739999999998</v>
      </c>
      <c r="P91" s="78">
        <f t="shared" si="56"/>
        <v>-3.6574</v>
      </c>
      <c r="Q91" s="80">
        <f t="shared" si="76"/>
        <v>22.28</v>
      </c>
      <c r="R91" s="177">
        <f t="shared" si="60"/>
        <v>18.622600000000002</v>
      </c>
      <c r="S91" s="82">
        <f t="shared" si="77"/>
        <v>90.999999999999986</v>
      </c>
      <c r="T91" s="81">
        <f t="shared" si="61"/>
        <v>0</v>
      </c>
      <c r="U91" s="190">
        <f>170.8376+12.6796-85.3189</f>
        <v>98.198300000000003</v>
      </c>
      <c r="V91" s="194">
        <f t="shared" si="78"/>
        <v>-12.679600000000001</v>
      </c>
      <c r="W91" s="191">
        <f t="shared" si="79"/>
        <v>19.241299999999999</v>
      </c>
      <c r="X91" s="191">
        <f t="shared" si="64"/>
        <v>6.5616999999999983</v>
      </c>
      <c r="Y91" s="198">
        <f t="shared" si="80"/>
        <v>104.75999999999999</v>
      </c>
      <c r="Z91" s="187">
        <f t="shared" si="62"/>
        <v>0</v>
      </c>
      <c r="AA91" s="73">
        <f>110.7362-32.7719</f>
        <v>77.964299999999994</v>
      </c>
      <c r="AB91" s="80">
        <f t="shared" si="81"/>
        <v>5.9657</v>
      </c>
      <c r="AC91" s="82">
        <f t="shared" si="82"/>
        <v>83.929999999999993</v>
      </c>
      <c r="AD91" s="81">
        <f t="shared" si="63"/>
        <v>0</v>
      </c>
      <c r="AE91" s="240">
        <f>140.1095+2.8342-34.0195</f>
        <v>108.92420000000001</v>
      </c>
      <c r="AF91" s="20">
        <f t="shared" si="66"/>
        <v>-2.8341999999999996</v>
      </c>
      <c r="AG91" s="235">
        <f t="shared" si="67"/>
        <v>16.080000000000002</v>
      </c>
      <c r="AH91" s="235">
        <f t="shared" si="14"/>
        <v>13.245800000000003</v>
      </c>
      <c r="AI91" s="235">
        <f t="shared" si="15"/>
        <v>122.17000000000002</v>
      </c>
      <c r="AJ91" s="256">
        <f t="shared" si="70"/>
        <v>0</v>
      </c>
      <c r="AK91" s="240">
        <f>104.4126+9.54+0.2608-75.4656</f>
        <v>38.747799999999998</v>
      </c>
      <c r="AL91" s="235">
        <f t="shared" si="21"/>
        <v>-0.26080000000000003</v>
      </c>
      <c r="AM91" s="235">
        <f t="shared" si="68"/>
        <v>15.780000000000001</v>
      </c>
      <c r="AN91" s="235">
        <f t="shared" si="18"/>
        <v>15.519200000000001</v>
      </c>
      <c r="AO91" s="235">
        <f t="shared" si="19"/>
        <v>54.266999999999996</v>
      </c>
      <c r="AP91" s="256">
        <f t="shared" si="71"/>
        <v>-5.5279159756782548E-5</v>
      </c>
      <c r="AQ91" s="156"/>
      <c r="AR91" s="102"/>
      <c r="AS91" s="102"/>
      <c r="AT91" s="76"/>
      <c r="AU91" s="155"/>
      <c r="AV91" s="157"/>
    </row>
    <row r="92" spans="1:48" ht="15">
      <c r="A92" s="248">
        <v>40679</v>
      </c>
      <c r="B92" s="72">
        <v>150.41</v>
      </c>
      <c r="C92" s="73">
        <f>136.1106-27.2506</f>
        <v>108.86000000000001</v>
      </c>
      <c r="D92" s="80">
        <f t="shared" si="72"/>
        <v>21.930000000000003</v>
      </c>
      <c r="E92" s="80">
        <f t="shared" si="73"/>
        <v>21.28</v>
      </c>
      <c r="F92" s="80">
        <f t="shared" si="58"/>
        <v>43.210000000000008</v>
      </c>
      <c r="G92" s="77">
        <f t="shared" si="69"/>
        <v>152.07000000000002</v>
      </c>
      <c r="H92" s="81">
        <f t="shared" si="53"/>
        <v>0</v>
      </c>
      <c r="I92" s="156">
        <f>134.6551-15.7264</f>
        <v>118.92870000000001</v>
      </c>
      <c r="J92" s="102">
        <f t="shared" si="74"/>
        <v>13.251300000000001</v>
      </c>
      <c r="K92" s="102">
        <f t="shared" si="75"/>
        <v>21.28</v>
      </c>
      <c r="L92" s="76">
        <f t="shared" si="26"/>
        <v>34.531300000000002</v>
      </c>
      <c r="M92" s="155">
        <f t="shared" si="27"/>
        <v>153.46</v>
      </c>
      <c r="N92" s="157">
        <f t="shared" si="59"/>
        <v>0</v>
      </c>
      <c r="O92" s="73">
        <f>139.3614+3.6574-70.6414</f>
        <v>72.377399999999994</v>
      </c>
      <c r="P92" s="78">
        <f t="shared" si="56"/>
        <v>-3.6574</v>
      </c>
      <c r="Q92" s="80">
        <f t="shared" si="76"/>
        <v>22.28</v>
      </c>
      <c r="R92" s="177">
        <f t="shared" si="60"/>
        <v>18.622600000000002</v>
      </c>
      <c r="S92" s="82">
        <f t="shared" si="77"/>
        <v>91</v>
      </c>
      <c r="T92" s="81">
        <f t="shared" si="61"/>
        <v>0</v>
      </c>
      <c r="U92" s="190">
        <f>165.827+12.6796-80.3083</f>
        <v>98.198299999999989</v>
      </c>
      <c r="V92" s="194">
        <f t="shared" si="78"/>
        <v>-12.679600000000001</v>
      </c>
      <c r="W92" s="191">
        <f t="shared" si="79"/>
        <v>19.241299999999999</v>
      </c>
      <c r="X92" s="191">
        <f t="shared" si="64"/>
        <v>6.5616999999999983</v>
      </c>
      <c r="Y92" s="198">
        <f t="shared" si="80"/>
        <v>104.75999999999999</v>
      </c>
      <c r="Z92" s="187">
        <f t="shared" si="62"/>
        <v>0</v>
      </c>
      <c r="AA92" s="73">
        <f>105.1658-27.2015</f>
        <v>77.964300000000009</v>
      </c>
      <c r="AB92" s="80">
        <f t="shared" si="81"/>
        <v>5.9657</v>
      </c>
      <c r="AC92" s="82">
        <f t="shared" si="82"/>
        <v>83.93</v>
      </c>
      <c r="AD92" s="81">
        <f t="shared" si="63"/>
        <v>0</v>
      </c>
      <c r="AE92" s="235">
        <f>134.6551+2.8342-28.5651</f>
        <v>108.92420000000001</v>
      </c>
      <c r="AF92" s="20">
        <f t="shared" si="66"/>
        <v>-2.8341999999999996</v>
      </c>
      <c r="AG92" s="235">
        <f t="shared" si="67"/>
        <v>16.080000000000002</v>
      </c>
      <c r="AH92" s="235">
        <f t="shared" si="14"/>
        <v>13.245800000000003</v>
      </c>
      <c r="AI92" s="235">
        <f t="shared" si="15"/>
        <v>122.17000000000002</v>
      </c>
      <c r="AJ92" s="256">
        <f t="shared" si="70"/>
        <v>0</v>
      </c>
      <c r="AK92" s="235">
        <f>105.2589+9.54+0.2608-76.3089</f>
        <v>38.750800000000012</v>
      </c>
      <c r="AL92" s="235">
        <f t="shared" si="21"/>
        <v>-0.26080000000000003</v>
      </c>
      <c r="AM92" s="235">
        <f t="shared" si="68"/>
        <v>15.780000000000001</v>
      </c>
      <c r="AN92" s="235">
        <f t="shared" si="18"/>
        <v>15.519200000000001</v>
      </c>
      <c r="AO92" s="235">
        <f t="shared" si="19"/>
        <v>54.27000000000001</v>
      </c>
      <c r="AP92" s="256">
        <f t="shared" si="71"/>
        <v>5.5282215711383031E-5</v>
      </c>
      <c r="AQ92" s="156"/>
      <c r="AR92" s="102"/>
      <c r="AS92" s="102"/>
      <c r="AT92" s="76"/>
      <c r="AU92" s="155"/>
      <c r="AV92" s="157"/>
    </row>
    <row r="93" spans="1:48" ht="15">
      <c r="A93" s="248">
        <v>40695</v>
      </c>
      <c r="B93" s="72">
        <v>150.93</v>
      </c>
      <c r="C93" s="73">
        <f>126.6569-17.7969</f>
        <v>108.85999999999999</v>
      </c>
      <c r="D93" s="80">
        <f t="shared" si="72"/>
        <v>21.930000000000003</v>
      </c>
      <c r="E93" s="80">
        <f t="shared" si="73"/>
        <v>21.28</v>
      </c>
      <c r="F93" s="80">
        <f t="shared" si="58"/>
        <v>43.210000000000008</v>
      </c>
      <c r="G93" s="77">
        <f t="shared" si="69"/>
        <v>152.07</v>
      </c>
      <c r="H93" s="81">
        <f t="shared" si="53"/>
        <v>0</v>
      </c>
      <c r="I93" s="156">
        <f>128.3153-9.3866</f>
        <v>118.92870000000001</v>
      </c>
      <c r="J93" s="102">
        <f t="shared" si="74"/>
        <v>13.251300000000001</v>
      </c>
      <c r="K93" s="102">
        <f t="shared" si="75"/>
        <v>21.28</v>
      </c>
      <c r="L93" s="76">
        <f t="shared" si="26"/>
        <v>34.531300000000002</v>
      </c>
      <c r="M93" s="155">
        <f t="shared" si="27"/>
        <v>153.46</v>
      </c>
      <c r="N93" s="157">
        <f t="shared" si="59"/>
        <v>0</v>
      </c>
      <c r="O93" s="73">
        <f>133.0729+3.6574-64.3529</f>
        <v>72.377399999999994</v>
      </c>
      <c r="P93" s="78">
        <f t="shared" si="56"/>
        <v>-3.6574</v>
      </c>
      <c r="Q93" s="80">
        <f t="shared" si="76"/>
        <v>22.28</v>
      </c>
      <c r="R93" s="177">
        <f t="shared" si="60"/>
        <v>18.622600000000002</v>
      </c>
      <c r="S93" s="82">
        <f t="shared" si="77"/>
        <v>91</v>
      </c>
      <c r="T93" s="81">
        <f t="shared" si="61"/>
        <v>0</v>
      </c>
      <c r="U93" s="190">
        <f>153.9833+12.6796-68.4646</f>
        <v>98.198300000000003</v>
      </c>
      <c r="V93" s="194">
        <f t="shared" si="78"/>
        <v>-12.679600000000001</v>
      </c>
      <c r="W93" s="191">
        <f t="shared" si="79"/>
        <v>19.241299999999999</v>
      </c>
      <c r="X93" s="191">
        <f t="shared" si="64"/>
        <v>6.5616999999999983</v>
      </c>
      <c r="Y93" s="198">
        <f t="shared" si="80"/>
        <v>104.75999999999999</v>
      </c>
      <c r="Z93" s="187">
        <f t="shared" si="62"/>
        <v>0</v>
      </c>
      <c r="AA93" s="73">
        <f>99.8778-21.9135</f>
        <v>77.964299999999994</v>
      </c>
      <c r="AB93" s="80">
        <f t="shared" si="81"/>
        <v>5.9657</v>
      </c>
      <c r="AC93" s="82">
        <f t="shared" si="82"/>
        <v>83.929999999999993</v>
      </c>
      <c r="AD93" s="81">
        <f t="shared" si="63"/>
        <v>0</v>
      </c>
      <c r="AE93" s="240">
        <f>128.3153+2.8342-22.2253</f>
        <v>108.92420000000001</v>
      </c>
      <c r="AF93" s="20">
        <f t="shared" si="66"/>
        <v>-2.8341999999999996</v>
      </c>
      <c r="AG93" s="235">
        <f t="shared" si="67"/>
        <v>16.080000000000002</v>
      </c>
      <c r="AH93" s="235">
        <f t="shared" si="14"/>
        <v>13.245800000000003</v>
      </c>
      <c r="AI93" s="235">
        <f t="shared" si="15"/>
        <v>122.17000000000002</v>
      </c>
      <c r="AJ93" s="256">
        <f t="shared" si="70"/>
        <v>0</v>
      </c>
      <c r="AK93" s="240">
        <f>97.948+9.54+0.2608-68.998</f>
        <v>38.750799999999998</v>
      </c>
      <c r="AL93" s="235">
        <f t="shared" si="21"/>
        <v>-0.26080000000000003</v>
      </c>
      <c r="AM93" s="235">
        <f t="shared" si="68"/>
        <v>15.780000000000001</v>
      </c>
      <c r="AN93" s="235">
        <f t="shared" si="18"/>
        <v>15.519200000000001</v>
      </c>
      <c r="AO93" s="235">
        <f t="shared" si="19"/>
        <v>54.269999999999996</v>
      </c>
      <c r="AP93" s="256">
        <f t="shared" si="71"/>
        <v>0</v>
      </c>
      <c r="AQ93" s="156"/>
      <c r="AR93" s="102"/>
      <c r="AS93" s="102"/>
      <c r="AT93" s="76"/>
      <c r="AU93" s="155"/>
      <c r="AV93" s="157"/>
    </row>
    <row r="94" spans="1:48" ht="15">
      <c r="A94" s="248">
        <v>40710</v>
      </c>
      <c r="B94" s="72">
        <v>151.13</v>
      </c>
      <c r="C94" s="73">
        <f>127.5532-18.6932</f>
        <v>108.86</v>
      </c>
      <c r="D94" s="80">
        <f t="shared" si="72"/>
        <v>21.930000000000003</v>
      </c>
      <c r="E94" s="80">
        <f t="shared" si="73"/>
        <v>21.28</v>
      </c>
      <c r="F94" s="80">
        <f t="shared" si="58"/>
        <v>43.210000000000008</v>
      </c>
      <c r="G94" s="77">
        <f t="shared" ref="G94:G103" si="83">SUM(C94:E94)</f>
        <v>152.07</v>
      </c>
      <c r="H94" s="81">
        <f t="shared" si="53"/>
        <v>0</v>
      </c>
      <c r="I94" s="156">
        <f>134.1899-15.2612</f>
        <v>118.92869999999999</v>
      </c>
      <c r="J94" s="102">
        <f t="shared" si="74"/>
        <v>13.251300000000001</v>
      </c>
      <c r="K94" s="102">
        <f t="shared" si="75"/>
        <v>21.28</v>
      </c>
      <c r="L94" s="76">
        <f t="shared" si="26"/>
        <v>34.531300000000002</v>
      </c>
      <c r="M94" s="155">
        <f t="shared" ref="M94:M99" si="84">SUM(I94:K94)</f>
        <v>153.46</v>
      </c>
      <c r="N94" s="157">
        <f t="shared" si="59"/>
        <v>0</v>
      </c>
      <c r="O94" s="73">
        <f>138.1111+3.6574-69.3911</f>
        <v>72.377399999999994</v>
      </c>
      <c r="P94" s="78">
        <f t="shared" si="56"/>
        <v>-3.6574</v>
      </c>
      <c r="Q94" s="80">
        <f t="shared" si="76"/>
        <v>22.28</v>
      </c>
      <c r="R94" s="177">
        <f t="shared" si="60"/>
        <v>18.622600000000002</v>
      </c>
      <c r="S94" s="82">
        <f t="shared" ref="S94:S99" si="85">SUM(O94:Q94)</f>
        <v>91</v>
      </c>
      <c r="T94" s="81">
        <f t="shared" si="61"/>
        <v>0</v>
      </c>
      <c r="U94" s="190">
        <f>149.0897+12.6796-63.5711</f>
        <v>98.198199999999986</v>
      </c>
      <c r="V94" s="194">
        <f t="shared" si="78"/>
        <v>-12.679600000000001</v>
      </c>
      <c r="W94" s="191">
        <f t="shared" si="79"/>
        <v>19.241299999999999</v>
      </c>
      <c r="X94" s="191">
        <f t="shared" si="64"/>
        <v>6.5616999999999983</v>
      </c>
      <c r="Y94" s="198">
        <f t="shared" ref="Y94:Y106" si="86">SUM(U94:W94)</f>
        <v>104.75989999999999</v>
      </c>
      <c r="Z94" s="188">
        <f t="shared" si="62"/>
        <v>-9.5456281024031142E-7</v>
      </c>
      <c r="AA94" s="121">
        <f>105.1737-27.2094</f>
        <v>77.964299999999994</v>
      </c>
      <c r="AB94" s="85">
        <f t="shared" si="81"/>
        <v>5.9657</v>
      </c>
      <c r="AC94" s="87">
        <f t="shared" ref="AC94:AC99" si="87">SUM(AA94:AB94)</f>
        <v>83.929999999999993</v>
      </c>
      <c r="AD94" s="86">
        <f t="shared" si="63"/>
        <v>0</v>
      </c>
      <c r="AE94" s="240">
        <f>134.1899+2.8342-28.0999</f>
        <v>108.9242</v>
      </c>
      <c r="AF94" s="20">
        <f t="shared" si="66"/>
        <v>-2.8341999999999996</v>
      </c>
      <c r="AG94" s="235">
        <f t="shared" si="67"/>
        <v>16.080000000000002</v>
      </c>
      <c r="AH94" s="235">
        <f t="shared" si="14"/>
        <v>13.245800000000003</v>
      </c>
      <c r="AI94" s="235">
        <f t="shared" si="15"/>
        <v>122.17</v>
      </c>
      <c r="AJ94" s="256">
        <f t="shared" si="70"/>
        <v>0</v>
      </c>
      <c r="AK94" s="240">
        <f>98.6412+9.54+0.2608-69.6912</f>
        <v>38.750799999999998</v>
      </c>
      <c r="AL94" s="235">
        <f t="shared" si="21"/>
        <v>-0.26080000000000003</v>
      </c>
      <c r="AM94" s="235">
        <f t="shared" si="68"/>
        <v>15.780000000000001</v>
      </c>
      <c r="AN94" s="235">
        <f t="shared" si="18"/>
        <v>15.519200000000001</v>
      </c>
      <c r="AO94" s="235">
        <f t="shared" si="19"/>
        <v>54.269999999999996</v>
      </c>
      <c r="AP94" s="256">
        <f t="shared" si="71"/>
        <v>0</v>
      </c>
      <c r="AQ94" s="156"/>
      <c r="AR94" s="102"/>
      <c r="AS94" s="102"/>
      <c r="AT94" s="76"/>
      <c r="AU94" s="155"/>
      <c r="AV94" s="157"/>
    </row>
    <row r="95" spans="1:48" ht="15">
      <c r="A95" s="248">
        <v>40725</v>
      </c>
      <c r="B95" s="72">
        <v>151.1</v>
      </c>
      <c r="C95" s="73">
        <f>123.5396-14.6796</f>
        <v>108.85999999999999</v>
      </c>
      <c r="D95" s="80">
        <f t="shared" si="72"/>
        <v>21.930000000000003</v>
      </c>
      <c r="E95" s="80">
        <f t="shared" si="73"/>
        <v>21.28</v>
      </c>
      <c r="F95" s="80">
        <f t="shared" si="58"/>
        <v>43.210000000000008</v>
      </c>
      <c r="G95" s="77">
        <f t="shared" si="83"/>
        <v>152.07</v>
      </c>
      <c r="H95" s="81">
        <f t="shared" si="53"/>
        <v>0</v>
      </c>
      <c r="I95" s="156">
        <f>131.3314-12.4027</f>
        <v>118.92870000000001</v>
      </c>
      <c r="J95" s="102">
        <f t="shared" si="74"/>
        <v>13.251300000000001</v>
      </c>
      <c r="K95" s="102">
        <f t="shared" si="75"/>
        <v>21.28</v>
      </c>
      <c r="L95" s="76">
        <f t="shared" si="26"/>
        <v>34.531300000000002</v>
      </c>
      <c r="M95" s="155">
        <f t="shared" si="84"/>
        <v>153.46</v>
      </c>
      <c r="N95" s="157">
        <f t="shared" si="59"/>
        <v>0</v>
      </c>
      <c r="O95" s="73">
        <f>136.0679+3.6574-67.3479</f>
        <v>72.377400000000009</v>
      </c>
      <c r="P95" s="78">
        <f t="shared" si="56"/>
        <v>-3.6574</v>
      </c>
      <c r="Q95" s="80">
        <f t="shared" si="76"/>
        <v>22.28</v>
      </c>
      <c r="R95" s="177">
        <f t="shared" si="60"/>
        <v>18.622600000000002</v>
      </c>
      <c r="S95" s="82">
        <f t="shared" si="85"/>
        <v>91.000000000000014</v>
      </c>
      <c r="T95" s="81">
        <f t="shared" si="61"/>
        <v>0</v>
      </c>
      <c r="U95" s="190">
        <f>145.8115+12.6796-60.2928</f>
        <v>98.198299999999989</v>
      </c>
      <c r="V95" s="194">
        <f t="shared" si="78"/>
        <v>-12.679600000000001</v>
      </c>
      <c r="W95" s="191">
        <f t="shared" si="79"/>
        <v>19.241299999999999</v>
      </c>
      <c r="X95" s="191">
        <f t="shared" si="64"/>
        <v>6.5616999999999983</v>
      </c>
      <c r="Y95" s="198">
        <f t="shared" si="86"/>
        <v>104.75999999999999</v>
      </c>
      <c r="Z95" s="188">
        <f t="shared" si="62"/>
        <v>9.5456372140034773E-7</v>
      </c>
      <c r="AA95" s="121">
        <f>105.5348-27.5705</f>
        <v>77.964300000000009</v>
      </c>
      <c r="AB95" s="85">
        <f t="shared" si="81"/>
        <v>5.9657</v>
      </c>
      <c r="AC95" s="87">
        <f t="shared" si="87"/>
        <v>83.93</v>
      </c>
      <c r="AD95" s="86">
        <f t="shared" si="63"/>
        <v>0</v>
      </c>
      <c r="AE95" s="240">
        <f>131.3314+2.8342-25.2414</f>
        <v>108.92420000000001</v>
      </c>
      <c r="AF95" s="20">
        <f t="shared" si="66"/>
        <v>-2.8341999999999996</v>
      </c>
      <c r="AG95" s="235">
        <f t="shared" si="67"/>
        <v>16.080000000000002</v>
      </c>
      <c r="AH95" s="235">
        <f t="shared" si="14"/>
        <v>13.245800000000003</v>
      </c>
      <c r="AI95" s="235">
        <f t="shared" si="15"/>
        <v>122.17000000000002</v>
      </c>
      <c r="AJ95" s="256">
        <f t="shared" si="70"/>
        <v>0</v>
      </c>
      <c r="AK95" s="240">
        <f>95.5373+9.54+0.2608-66.5873</f>
        <v>38.750800000000012</v>
      </c>
      <c r="AL95" s="235">
        <f t="shared" si="21"/>
        <v>-0.26080000000000003</v>
      </c>
      <c r="AM95" s="235">
        <f t="shared" si="68"/>
        <v>15.780000000000001</v>
      </c>
      <c r="AN95" s="235">
        <f t="shared" si="18"/>
        <v>15.519200000000001</v>
      </c>
      <c r="AO95" s="235">
        <f t="shared" si="19"/>
        <v>54.27000000000001</v>
      </c>
      <c r="AP95" s="256">
        <f t="shared" si="71"/>
        <v>0</v>
      </c>
      <c r="AQ95" s="156"/>
      <c r="AR95" s="102"/>
      <c r="AS95" s="102"/>
      <c r="AT95" s="76"/>
      <c r="AU95" s="155"/>
      <c r="AV95" s="157"/>
    </row>
    <row r="96" spans="1:48" ht="15">
      <c r="A96" s="248">
        <v>40740</v>
      </c>
      <c r="B96" s="72">
        <v>151.21</v>
      </c>
      <c r="C96" s="73">
        <f>125.5097-16.6497</f>
        <v>108.86</v>
      </c>
      <c r="D96" s="80">
        <f t="shared" si="72"/>
        <v>21.930000000000003</v>
      </c>
      <c r="E96" s="80">
        <f t="shared" si="73"/>
        <v>21.28</v>
      </c>
      <c r="F96" s="80">
        <f t="shared" si="58"/>
        <v>43.210000000000008</v>
      </c>
      <c r="G96" s="77">
        <f t="shared" si="83"/>
        <v>152.07</v>
      </c>
      <c r="H96" s="81">
        <f t="shared" si="53"/>
        <v>0</v>
      </c>
      <c r="I96" s="156">
        <f>130.4559-11.5272</f>
        <v>118.92870000000002</v>
      </c>
      <c r="J96" s="102">
        <f t="shared" si="74"/>
        <v>13.251300000000001</v>
      </c>
      <c r="K96" s="102">
        <f t="shared" si="75"/>
        <v>21.28</v>
      </c>
      <c r="L96" s="76">
        <f t="shared" si="26"/>
        <v>34.531300000000002</v>
      </c>
      <c r="M96" s="155">
        <f t="shared" si="84"/>
        <v>153.46</v>
      </c>
      <c r="N96" s="157">
        <f t="shared" si="59"/>
        <v>0</v>
      </c>
      <c r="O96" s="73">
        <f>134.5886+3.6574-65.8686</f>
        <v>72.377400000000009</v>
      </c>
      <c r="P96" s="78">
        <f t="shared" si="56"/>
        <v>-3.6574</v>
      </c>
      <c r="Q96" s="80">
        <f t="shared" si="76"/>
        <v>22.28</v>
      </c>
      <c r="R96" s="177">
        <f t="shared" si="60"/>
        <v>18.622600000000002</v>
      </c>
      <c r="S96" s="82">
        <f t="shared" si="85"/>
        <v>91.000000000000014</v>
      </c>
      <c r="T96" s="81">
        <f t="shared" si="61"/>
        <v>0</v>
      </c>
      <c r="U96" s="190">
        <f>152.3713+12.6796-66.8526</f>
        <v>98.198299999999989</v>
      </c>
      <c r="V96" s="194">
        <f t="shared" si="78"/>
        <v>-12.679600000000001</v>
      </c>
      <c r="W96" s="191">
        <f t="shared" si="79"/>
        <v>19.241299999999999</v>
      </c>
      <c r="X96" s="191">
        <f t="shared" si="64"/>
        <v>6.5616999999999983</v>
      </c>
      <c r="Y96" s="198">
        <f t="shared" si="86"/>
        <v>104.75999999999999</v>
      </c>
      <c r="Z96" s="188">
        <f t="shared" si="62"/>
        <v>0</v>
      </c>
      <c r="AA96" s="121">
        <f>105.9769-28.0126</f>
        <v>77.964300000000009</v>
      </c>
      <c r="AB96" s="85">
        <f t="shared" si="81"/>
        <v>5.9657</v>
      </c>
      <c r="AC96" s="87">
        <f t="shared" si="87"/>
        <v>83.93</v>
      </c>
      <c r="AD96" s="86">
        <f t="shared" si="63"/>
        <v>0</v>
      </c>
      <c r="AE96" s="240">
        <f>130.4559+2.8342-24.3659</f>
        <v>108.92420000000003</v>
      </c>
      <c r="AF96" s="20">
        <f t="shared" si="66"/>
        <v>-2.8341999999999996</v>
      </c>
      <c r="AG96" s="235">
        <f t="shared" si="67"/>
        <v>16.080000000000002</v>
      </c>
      <c r="AH96" s="235">
        <f t="shared" ref="AH96:AH159" si="88">AF96+AG96</f>
        <v>13.245800000000003</v>
      </c>
      <c r="AI96" s="235">
        <f t="shared" ref="AI96:AI159" si="89">AE96+AH96</f>
        <v>122.17000000000003</v>
      </c>
      <c r="AJ96" s="256">
        <f t="shared" si="70"/>
        <v>0</v>
      </c>
      <c r="AK96" s="240">
        <f>97.0608+9.54+0.2608-68.1108</f>
        <v>38.750799999999998</v>
      </c>
      <c r="AL96" s="235">
        <f t="shared" si="21"/>
        <v>-0.26080000000000003</v>
      </c>
      <c r="AM96" s="235">
        <f t="shared" si="68"/>
        <v>15.780000000000001</v>
      </c>
      <c r="AN96" s="235">
        <f t="shared" ref="AN96:AN159" si="90">AL96+AM96</f>
        <v>15.519200000000001</v>
      </c>
      <c r="AO96" s="235">
        <f t="shared" ref="AO96:AO159" si="91">AK96+AN96</f>
        <v>54.269999999999996</v>
      </c>
      <c r="AP96" s="256">
        <f t="shared" si="71"/>
        <v>0</v>
      </c>
      <c r="AQ96" s="156"/>
      <c r="AR96" s="102"/>
      <c r="AS96" s="102"/>
      <c r="AT96" s="76"/>
      <c r="AU96" s="155"/>
      <c r="AV96" s="157"/>
    </row>
    <row r="97" spans="1:48" ht="15">
      <c r="A97" s="248">
        <v>40756</v>
      </c>
      <c r="B97" s="72">
        <v>151.33799999999999</v>
      </c>
      <c r="C97" s="73">
        <f>131.5243-22.6643</f>
        <v>108.86000000000001</v>
      </c>
      <c r="D97" s="80">
        <f t="shared" si="72"/>
        <v>21.930000000000003</v>
      </c>
      <c r="E97" s="80">
        <f t="shared" si="73"/>
        <v>21.28</v>
      </c>
      <c r="F97" s="80">
        <f t="shared" si="58"/>
        <v>43.210000000000008</v>
      </c>
      <c r="G97" s="77">
        <f t="shared" si="83"/>
        <v>152.07000000000002</v>
      </c>
      <c r="H97" s="81">
        <f t="shared" si="53"/>
        <v>0</v>
      </c>
      <c r="I97" s="156">
        <f>137.3591-18.4304</f>
        <v>118.92870000000002</v>
      </c>
      <c r="J97" s="102">
        <f t="shared" si="74"/>
        <v>13.251300000000001</v>
      </c>
      <c r="K97" s="102">
        <f t="shared" si="75"/>
        <v>21.28</v>
      </c>
      <c r="L97" s="76">
        <f t="shared" si="26"/>
        <v>34.531300000000002</v>
      </c>
      <c r="M97" s="155">
        <f t="shared" si="84"/>
        <v>153.46</v>
      </c>
      <c r="N97" s="157">
        <f t="shared" si="59"/>
        <v>0</v>
      </c>
      <c r="O97" s="73">
        <f>140.4298+3.6574-71.7098</f>
        <v>72.377399999999994</v>
      </c>
      <c r="P97" s="78">
        <f t="shared" si="56"/>
        <v>-3.6574</v>
      </c>
      <c r="Q97" s="80">
        <f t="shared" si="76"/>
        <v>22.28</v>
      </c>
      <c r="R97" s="177">
        <f t="shared" si="60"/>
        <v>18.622600000000002</v>
      </c>
      <c r="S97" s="82">
        <f t="shared" si="85"/>
        <v>91</v>
      </c>
      <c r="T97" s="81">
        <f t="shared" si="61"/>
        <v>0</v>
      </c>
      <c r="U97" s="190">
        <f>160.9518+12.6796-75.4331</f>
        <v>98.198299999999989</v>
      </c>
      <c r="V97" s="194">
        <f t="shared" si="78"/>
        <v>-12.679600000000001</v>
      </c>
      <c r="W97" s="191">
        <f t="shared" si="79"/>
        <v>19.241299999999999</v>
      </c>
      <c r="X97" s="191">
        <f t="shared" si="64"/>
        <v>6.5616999999999983</v>
      </c>
      <c r="Y97" s="198">
        <f t="shared" si="86"/>
        <v>104.75999999999999</v>
      </c>
      <c r="Z97" s="188">
        <f t="shared" si="62"/>
        <v>0</v>
      </c>
      <c r="AA97" s="121">
        <f>109.2891-31.3248</f>
        <v>77.964300000000009</v>
      </c>
      <c r="AB97" s="85">
        <f t="shared" si="81"/>
        <v>5.9657</v>
      </c>
      <c r="AC97" s="87">
        <f t="shared" si="87"/>
        <v>83.93</v>
      </c>
      <c r="AD97" s="86">
        <f t="shared" si="63"/>
        <v>0</v>
      </c>
      <c r="AE97" s="117">
        <f>137.3591+2.8342-31.2691</f>
        <v>108.92420000000001</v>
      </c>
      <c r="AF97" s="104">
        <f t="shared" si="66"/>
        <v>-2.8341999999999996</v>
      </c>
      <c r="AG97" s="105">
        <f t="shared" si="67"/>
        <v>16.080000000000002</v>
      </c>
      <c r="AH97" s="105">
        <f t="shared" si="88"/>
        <v>13.245800000000003</v>
      </c>
      <c r="AI97" s="106">
        <f t="shared" si="89"/>
        <v>122.17000000000002</v>
      </c>
      <c r="AJ97" s="88"/>
      <c r="AK97" s="113">
        <f>101.7121+9.54+0.2608-72.7621</f>
        <v>38.750800000000012</v>
      </c>
      <c r="AL97" s="107">
        <f t="shared" si="21"/>
        <v>-0.26080000000000003</v>
      </c>
      <c r="AM97" s="107">
        <f t="shared" si="68"/>
        <v>15.780000000000001</v>
      </c>
      <c r="AN97" s="107">
        <f t="shared" si="90"/>
        <v>15.519200000000001</v>
      </c>
      <c r="AO97" s="108">
        <f t="shared" si="91"/>
        <v>54.27000000000001</v>
      </c>
      <c r="AP97" s="86"/>
      <c r="AQ97" s="156"/>
      <c r="AR97" s="102"/>
      <c r="AS97" s="102"/>
      <c r="AT97" s="76"/>
      <c r="AU97" s="155"/>
      <c r="AV97" s="157"/>
    </row>
    <row r="98" spans="1:48" ht="15">
      <c r="A98" s="248">
        <v>40771</v>
      </c>
      <c r="B98" s="72">
        <v>151.28</v>
      </c>
      <c r="C98" s="73">
        <f>126.5359-17.6759</f>
        <v>108.86</v>
      </c>
      <c r="D98" s="80">
        <f t="shared" si="72"/>
        <v>21.930000000000003</v>
      </c>
      <c r="E98" s="80">
        <f t="shared" si="73"/>
        <v>21.28</v>
      </c>
      <c r="F98" s="80">
        <f t="shared" si="58"/>
        <v>43.210000000000008</v>
      </c>
      <c r="G98" s="77">
        <f t="shared" si="83"/>
        <v>152.07</v>
      </c>
      <c r="H98" s="81">
        <f t="shared" si="53"/>
        <v>0</v>
      </c>
      <c r="I98" s="156">
        <f>132.4044-13.4757</f>
        <v>118.92870000000001</v>
      </c>
      <c r="J98" s="102">
        <f t="shared" si="74"/>
        <v>13.251300000000001</v>
      </c>
      <c r="K98" s="102">
        <f t="shared" si="75"/>
        <v>21.28</v>
      </c>
      <c r="L98" s="76">
        <f t="shared" si="26"/>
        <v>34.531300000000002</v>
      </c>
      <c r="M98" s="155">
        <f t="shared" si="84"/>
        <v>153.46</v>
      </c>
      <c r="N98" s="157">
        <f t="shared" si="59"/>
        <v>0</v>
      </c>
      <c r="O98" s="73">
        <f>134.9021+3.6574-66.1821</f>
        <v>72.37739999999998</v>
      </c>
      <c r="P98" s="78">
        <f t="shared" si="56"/>
        <v>-3.6574</v>
      </c>
      <c r="Q98" s="80">
        <f t="shared" si="76"/>
        <v>22.28</v>
      </c>
      <c r="R98" s="177">
        <f t="shared" si="60"/>
        <v>18.622600000000002</v>
      </c>
      <c r="S98" s="82">
        <f t="shared" si="85"/>
        <v>90.999999999999986</v>
      </c>
      <c r="T98" s="81">
        <f t="shared" si="61"/>
        <v>0</v>
      </c>
      <c r="U98" s="190">
        <f>154.174+12.6796-68.6553</f>
        <v>98.198300000000003</v>
      </c>
      <c r="V98" s="194">
        <f t="shared" si="78"/>
        <v>-12.679600000000001</v>
      </c>
      <c r="W98" s="191">
        <f t="shared" si="79"/>
        <v>19.241299999999999</v>
      </c>
      <c r="X98" s="191">
        <f t="shared" si="64"/>
        <v>6.5616999999999983</v>
      </c>
      <c r="Y98" s="198">
        <f t="shared" si="86"/>
        <v>104.75999999999999</v>
      </c>
      <c r="Z98" s="188">
        <f t="shared" si="62"/>
        <v>0</v>
      </c>
      <c r="AA98" s="121">
        <f>103.4646-25.5003</f>
        <v>77.964300000000009</v>
      </c>
      <c r="AB98" s="85">
        <f t="shared" si="81"/>
        <v>5.9657</v>
      </c>
      <c r="AC98" s="87">
        <f t="shared" si="87"/>
        <v>83.93</v>
      </c>
      <c r="AD98" s="86">
        <f t="shared" si="63"/>
        <v>0</v>
      </c>
      <c r="AE98" s="117">
        <f>132.4044+2.8342-26.3144</f>
        <v>108.92420000000001</v>
      </c>
      <c r="AF98" s="104">
        <f t="shared" si="66"/>
        <v>-2.8341999999999996</v>
      </c>
      <c r="AG98" s="105">
        <f t="shared" si="67"/>
        <v>16.080000000000002</v>
      </c>
      <c r="AH98" s="105">
        <f t="shared" si="88"/>
        <v>13.245800000000003</v>
      </c>
      <c r="AI98" s="106">
        <f t="shared" si="89"/>
        <v>122.17000000000002</v>
      </c>
      <c r="AJ98" s="226">
        <f t="shared" ref="AJ98:AJ161" si="92">AI98/AI97-1</f>
        <v>0</v>
      </c>
      <c r="AK98" s="113">
        <f>97.8544+9.54+0.2608-68.9044</f>
        <v>38.750799999999998</v>
      </c>
      <c r="AL98" s="107">
        <f t="shared" ref="AL98:AL109" si="93">0.1-0.3608</f>
        <v>-0.26080000000000003</v>
      </c>
      <c r="AM98" s="107">
        <f t="shared" si="68"/>
        <v>15.780000000000001</v>
      </c>
      <c r="AN98" s="107">
        <f t="shared" si="90"/>
        <v>15.519200000000001</v>
      </c>
      <c r="AO98" s="108">
        <f t="shared" si="91"/>
        <v>54.269999999999996</v>
      </c>
      <c r="AP98" s="172">
        <f>AO98/AO97-1</f>
        <v>0</v>
      </c>
      <c r="AQ98" s="156"/>
      <c r="AR98" s="102"/>
      <c r="AS98" s="102"/>
      <c r="AT98" s="76"/>
      <c r="AU98" s="155"/>
      <c r="AV98" s="157"/>
    </row>
    <row r="99" spans="1:48" ht="15">
      <c r="A99" s="248">
        <v>40787</v>
      </c>
      <c r="B99" s="72">
        <v>151.82</v>
      </c>
      <c r="C99" s="73">
        <f>(124.6655-15.8055)</f>
        <v>108.86</v>
      </c>
      <c r="D99" s="80">
        <f t="shared" si="72"/>
        <v>21.930000000000003</v>
      </c>
      <c r="E99" s="80">
        <f t="shared" si="73"/>
        <v>21.28</v>
      </c>
      <c r="F99" s="80">
        <f t="shared" si="58"/>
        <v>43.210000000000008</v>
      </c>
      <c r="G99" s="77">
        <f t="shared" si="83"/>
        <v>152.07</v>
      </c>
      <c r="H99" s="81">
        <f t="shared" si="53"/>
        <v>0</v>
      </c>
      <c r="I99" s="156">
        <f>(131.8597-12.931)</f>
        <v>118.92870000000001</v>
      </c>
      <c r="J99" s="102">
        <f t="shared" si="74"/>
        <v>13.251300000000001</v>
      </c>
      <c r="K99" s="102">
        <f t="shared" si="75"/>
        <v>21.28</v>
      </c>
      <c r="L99" s="76">
        <f t="shared" si="26"/>
        <v>34.531300000000002</v>
      </c>
      <c r="M99" s="155">
        <f t="shared" si="84"/>
        <v>153.46</v>
      </c>
      <c r="N99" s="157">
        <f t="shared" si="59"/>
        <v>0</v>
      </c>
      <c r="O99" s="73">
        <f>(133.6324+3.6574-64.9124)</f>
        <v>72.37739999999998</v>
      </c>
      <c r="P99" s="78">
        <f t="shared" si="56"/>
        <v>-3.6574</v>
      </c>
      <c r="Q99" s="80">
        <f t="shared" si="76"/>
        <v>22.28</v>
      </c>
      <c r="R99" s="177">
        <f t="shared" si="60"/>
        <v>18.622600000000002</v>
      </c>
      <c r="S99" s="82">
        <f t="shared" si="85"/>
        <v>90.999999999999986</v>
      </c>
      <c r="T99" s="81">
        <f t="shared" si="61"/>
        <v>0</v>
      </c>
      <c r="U99" s="190">
        <f>(157.8245+12.6796-72.3058)</f>
        <v>98.198299999999989</v>
      </c>
      <c r="V99" s="194">
        <f t="shared" si="78"/>
        <v>-12.679600000000001</v>
      </c>
      <c r="W99" s="191">
        <f t="shared" si="79"/>
        <v>19.241299999999999</v>
      </c>
      <c r="X99" s="191">
        <f t="shared" si="64"/>
        <v>6.5616999999999983</v>
      </c>
      <c r="Y99" s="198">
        <f t="shared" si="86"/>
        <v>104.75999999999999</v>
      </c>
      <c r="Z99" s="188">
        <f t="shared" si="62"/>
        <v>0</v>
      </c>
      <c r="AA99" s="73">
        <f>(101.0754-23.1111)</f>
        <v>77.964300000000009</v>
      </c>
      <c r="AB99" s="85">
        <f t="shared" si="81"/>
        <v>5.9657</v>
      </c>
      <c r="AC99" s="87">
        <f t="shared" si="87"/>
        <v>83.93</v>
      </c>
      <c r="AD99" s="86">
        <f t="shared" si="63"/>
        <v>0</v>
      </c>
      <c r="AE99" s="118">
        <f>(131.8597+2.8342-25.7697)</f>
        <v>108.92420000000001</v>
      </c>
      <c r="AF99" s="104">
        <f t="shared" si="66"/>
        <v>-2.8341999999999996</v>
      </c>
      <c r="AG99" s="105">
        <f t="shared" si="67"/>
        <v>16.080000000000002</v>
      </c>
      <c r="AH99" s="105">
        <f t="shared" si="88"/>
        <v>13.245800000000003</v>
      </c>
      <c r="AI99" s="106">
        <f t="shared" si="89"/>
        <v>122.17000000000002</v>
      </c>
      <c r="AJ99" s="226">
        <f t="shared" si="92"/>
        <v>0</v>
      </c>
      <c r="AK99" s="113">
        <f>(96.408+9.54+0.2608-67.458)</f>
        <v>38.750800000000012</v>
      </c>
      <c r="AL99" s="107">
        <f t="shared" si="93"/>
        <v>-0.26080000000000003</v>
      </c>
      <c r="AM99" s="107">
        <f t="shared" si="68"/>
        <v>15.780000000000001</v>
      </c>
      <c r="AN99" s="107">
        <f t="shared" si="90"/>
        <v>15.519200000000001</v>
      </c>
      <c r="AO99" s="108">
        <f t="shared" si="91"/>
        <v>54.27000000000001</v>
      </c>
      <c r="AP99" s="172">
        <f t="shared" ref="AP99:AP162" si="94">AO99/AO98-1</f>
        <v>0</v>
      </c>
      <c r="AQ99" s="156"/>
      <c r="AR99" s="102"/>
      <c r="AS99" s="102"/>
      <c r="AT99" s="76"/>
      <c r="AU99" s="155"/>
      <c r="AV99" s="157"/>
    </row>
    <row r="100" spans="1:48" ht="15">
      <c r="A100" s="248">
        <v>40802</v>
      </c>
      <c r="B100" s="72">
        <v>152.32000000000002</v>
      </c>
      <c r="C100" s="73">
        <f>130.8816-22.0216</f>
        <v>108.85999999999999</v>
      </c>
      <c r="D100" s="80">
        <f t="shared" si="72"/>
        <v>21.930000000000003</v>
      </c>
      <c r="E100" s="80">
        <f t="shared" si="73"/>
        <v>21.28</v>
      </c>
      <c r="F100" s="80">
        <f t="shared" si="58"/>
        <v>43.210000000000008</v>
      </c>
      <c r="G100" s="77">
        <f t="shared" si="83"/>
        <v>152.07</v>
      </c>
      <c r="H100" s="81">
        <f t="shared" si="53"/>
        <v>0</v>
      </c>
      <c r="I100" s="156">
        <f>135.5078-16.5791</f>
        <v>118.92870000000001</v>
      </c>
      <c r="J100" s="102">
        <f t="shared" si="74"/>
        <v>13.251300000000001</v>
      </c>
      <c r="K100" s="102">
        <f t="shared" si="75"/>
        <v>21.28</v>
      </c>
      <c r="L100" s="76">
        <f t="shared" si="26"/>
        <v>34.531300000000002</v>
      </c>
      <c r="M100" s="155">
        <f t="shared" ref="M100:M106" si="95">SUM(I100:K100)</f>
        <v>153.46</v>
      </c>
      <c r="N100" s="157">
        <f t="shared" si="59"/>
        <v>0</v>
      </c>
      <c r="O100" s="73">
        <f>136.937+3.6574-68.217</f>
        <v>72.377400000000009</v>
      </c>
      <c r="P100" s="78">
        <f t="shared" si="56"/>
        <v>-3.6574</v>
      </c>
      <c r="Q100" s="80">
        <f t="shared" si="76"/>
        <v>22.28</v>
      </c>
      <c r="R100" s="177">
        <f t="shared" si="60"/>
        <v>18.622600000000002</v>
      </c>
      <c r="S100" s="82">
        <f t="shared" ref="S100:S106" si="96">SUM(O100:Q100)</f>
        <v>91.000000000000014</v>
      </c>
      <c r="T100" s="81">
        <f t="shared" si="61"/>
        <v>0</v>
      </c>
      <c r="U100" s="190">
        <f>163.3297+12.6796-77.811</f>
        <v>98.198299999999989</v>
      </c>
      <c r="V100" s="194">
        <f t="shared" si="78"/>
        <v>-12.679600000000001</v>
      </c>
      <c r="W100" s="191">
        <f t="shared" si="79"/>
        <v>19.241299999999999</v>
      </c>
      <c r="X100" s="191">
        <f t="shared" si="64"/>
        <v>6.5616999999999983</v>
      </c>
      <c r="Y100" s="198">
        <f t="shared" si="86"/>
        <v>104.75999999999999</v>
      </c>
      <c r="Z100" s="188">
        <f t="shared" si="62"/>
        <v>0</v>
      </c>
      <c r="AA100" s="73">
        <f>104.0275-26.0632</f>
        <v>77.964300000000009</v>
      </c>
      <c r="AB100" s="85">
        <f t="shared" si="81"/>
        <v>5.9657</v>
      </c>
      <c r="AC100" s="87">
        <f t="shared" ref="AC100:AC112" si="97">SUM(AA100:AB100)</f>
        <v>83.93</v>
      </c>
      <c r="AD100" s="86">
        <f t="shared" si="63"/>
        <v>0</v>
      </c>
      <c r="AE100" s="118">
        <f>135.5078+2.8342-29.4178</f>
        <v>108.92420000000001</v>
      </c>
      <c r="AF100" s="109">
        <f t="shared" si="66"/>
        <v>-2.8341999999999996</v>
      </c>
      <c r="AG100" s="110">
        <f t="shared" si="67"/>
        <v>16.080000000000002</v>
      </c>
      <c r="AH100" s="110">
        <f t="shared" si="88"/>
        <v>13.245800000000003</v>
      </c>
      <c r="AI100" s="111">
        <f t="shared" si="89"/>
        <v>122.17000000000002</v>
      </c>
      <c r="AJ100" s="173">
        <f t="shared" si="92"/>
        <v>0</v>
      </c>
      <c r="AK100" s="114">
        <f>101.2151+9.54+0.2608-72.2651</f>
        <v>38.750799999999998</v>
      </c>
      <c r="AL100" s="107">
        <f t="shared" si="93"/>
        <v>-0.26080000000000003</v>
      </c>
      <c r="AM100" s="107">
        <f t="shared" si="68"/>
        <v>15.780000000000001</v>
      </c>
      <c r="AN100" s="107">
        <f t="shared" si="90"/>
        <v>15.519200000000001</v>
      </c>
      <c r="AO100" s="108">
        <f t="shared" si="91"/>
        <v>54.269999999999996</v>
      </c>
      <c r="AP100" s="172">
        <f t="shared" si="94"/>
        <v>0</v>
      </c>
      <c r="AQ100" s="156"/>
      <c r="AR100" s="102"/>
      <c r="AS100" s="102"/>
      <c r="AT100" s="76"/>
      <c r="AU100" s="155"/>
      <c r="AV100" s="157"/>
    </row>
    <row r="101" spans="1:48" ht="15">
      <c r="A101" s="248">
        <v>40817</v>
      </c>
      <c r="B101" s="72">
        <v>152.48999999999998</v>
      </c>
      <c r="C101" s="73">
        <f>122.2313-13.3713</f>
        <v>108.86</v>
      </c>
      <c r="D101" s="80">
        <f t="shared" si="72"/>
        <v>21.930000000000003</v>
      </c>
      <c r="E101" s="80">
        <f t="shared" si="73"/>
        <v>21.28</v>
      </c>
      <c r="F101" s="80">
        <f t="shared" si="58"/>
        <v>43.210000000000008</v>
      </c>
      <c r="G101" s="77">
        <f t="shared" si="83"/>
        <v>152.07</v>
      </c>
      <c r="H101" s="81">
        <f t="shared" si="53"/>
        <v>0</v>
      </c>
      <c r="I101" s="156">
        <f>131.4455-12.5168</f>
        <v>118.92870000000001</v>
      </c>
      <c r="J101" s="102">
        <f t="shared" si="74"/>
        <v>13.251300000000001</v>
      </c>
      <c r="K101" s="102">
        <f t="shared" si="75"/>
        <v>21.28</v>
      </c>
      <c r="L101" s="76">
        <f t="shared" si="26"/>
        <v>34.531300000000002</v>
      </c>
      <c r="M101" s="155">
        <f t="shared" si="95"/>
        <v>153.46</v>
      </c>
      <c r="N101" s="157">
        <f t="shared" si="59"/>
        <v>0</v>
      </c>
      <c r="O101" s="73">
        <f>133.0483+3.6574-64.3283</f>
        <v>72.377400000000009</v>
      </c>
      <c r="P101" s="78">
        <f t="shared" si="56"/>
        <v>-3.6574</v>
      </c>
      <c r="Q101" s="80">
        <f t="shared" si="76"/>
        <v>22.28</v>
      </c>
      <c r="R101" s="177">
        <f t="shared" si="60"/>
        <v>18.622600000000002</v>
      </c>
      <c r="S101" s="82">
        <f t="shared" si="96"/>
        <v>91.000000000000014</v>
      </c>
      <c r="T101" s="81">
        <f t="shared" si="61"/>
        <v>0</v>
      </c>
      <c r="U101" s="190">
        <f>158.1047+12.6796-72.586</f>
        <v>98.198300000000003</v>
      </c>
      <c r="V101" s="194">
        <f t="shared" si="78"/>
        <v>-12.679600000000001</v>
      </c>
      <c r="W101" s="191">
        <f t="shared" si="79"/>
        <v>19.241299999999999</v>
      </c>
      <c r="X101" s="191">
        <f t="shared" si="64"/>
        <v>6.5616999999999983</v>
      </c>
      <c r="Y101" s="198">
        <f t="shared" si="86"/>
        <v>104.75999999999999</v>
      </c>
      <c r="Z101" s="188">
        <f t="shared" si="62"/>
        <v>0</v>
      </c>
      <c r="AA101" s="73">
        <f>101.9085-23.9442</f>
        <v>77.964300000000009</v>
      </c>
      <c r="AB101" s="85">
        <f t="shared" si="81"/>
        <v>5.9657</v>
      </c>
      <c r="AC101" s="87">
        <f t="shared" si="97"/>
        <v>83.93</v>
      </c>
      <c r="AD101" s="86">
        <f t="shared" si="63"/>
        <v>0</v>
      </c>
      <c r="AE101" s="118">
        <f>131.4455+2.8342-25.3555</f>
        <v>108.92420000000001</v>
      </c>
      <c r="AF101" s="109">
        <f t="shared" si="66"/>
        <v>-2.8341999999999996</v>
      </c>
      <c r="AG101" s="110">
        <f t="shared" si="67"/>
        <v>16.080000000000002</v>
      </c>
      <c r="AH101" s="110">
        <f t="shared" si="88"/>
        <v>13.245800000000003</v>
      </c>
      <c r="AI101" s="111">
        <f t="shared" si="89"/>
        <v>122.17000000000002</v>
      </c>
      <c r="AJ101" s="173">
        <f t="shared" si="92"/>
        <v>0</v>
      </c>
      <c r="AK101" s="114">
        <f>94.5255+9.54+0.2608-65.5755</f>
        <v>38.750799999999984</v>
      </c>
      <c r="AL101" s="107">
        <f t="shared" si="93"/>
        <v>-0.26080000000000003</v>
      </c>
      <c r="AM101" s="107">
        <f t="shared" si="68"/>
        <v>15.780000000000001</v>
      </c>
      <c r="AN101" s="107">
        <f t="shared" si="90"/>
        <v>15.519200000000001</v>
      </c>
      <c r="AO101" s="108">
        <f t="shared" si="91"/>
        <v>54.269999999999982</v>
      </c>
      <c r="AP101" s="172">
        <f t="shared" si="94"/>
        <v>0</v>
      </c>
      <c r="AQ101" s="156"/>
      <c r="AR101" s="102"/>
      <c r="AS101" s="102"/>
      <c r="AT101" s="76"/>
      <c r="AU101" s="155"/>
      <c r="AV101" s="157"/>
    </row>
    <row r="102" spans="1:48" ht="15">
      <c r="A102" s="248">
        <v>40832</v>
      </c>
      <c r="B102" s="72">
        <v>152.84</v>
      </c>
      <c r="C102" s="73">
        <f>116.8344-7.9744</f>
        <v>108.86</v>
      </c>
      <c r="D102" s="80">
        <f t="shared" si="72"/>
        <v>21.930000000000003</v>
      </c>
      <c r="E102" s="80">
        <f t="shared" si="73"/>
        <v>21.28</v>
      </c>
      <c r="F102" s="80">
        <f>D102+E102</f>
        <v>43.210000000000008</v>
      </c>
      <c r="G102" s="77">
        <f t="shared" si="83"/>
        <v>152.07</v>
      </c>
      <c r="H102" s="81">
        <f t="shared" si="53"/>
        <v>0</v>
      </c>
      <c r="I102" s="156">
        <f>126.7465-7.8178</f>
        <v>118.92869999999999</v>
      </c>
      <c r="J102" s="102">
        <f t="shared" si="74"/>
        <v>13.251300000000001</v>
      </c>
      <c r="K102" s="102">
        <f t="shared" si="75"/>
        <v>21.28</v>
      </c>
      <c r="L102" s="76">
        <f t="shared" si="26"/>
        <v>34.531300000000002</v>
      </c>
      <c r="M102" s="155">
        <f t="shared" si="95"/>
        <v>153.46</v>
      </c>
      <c r="N102" s="157">
        <f t="shared" si="59"/>
        <v>0</v>
      </c>
      <c r="O102" s="73">
        <f>130.2294+3.6574-61.5094</f>
        <v>72.377399999999994</v>
      </c>
      <c r="P102" s="78">
        <f t="shared" si="56"/>
        <v>-3.6574</v>
      </c>
      <c r="Q102" s="80">
        <f t="shared" si="76"/>
        <v>22.28</v>
      </c>
      <c r="R102" s="177">
        <f t="shared" si="60"/>
        <v>18.622600000000002</v>
      </c>
      <c r="S102" s="82">
        <f t="shared" si="96"/>
        <v>91</v>
      </c>
      <c r="T102" s="81">
        <f t="shared" si="61"/>
        <v>0</v>
      </c>
      <c r="U102" s="190">
        <f>150.8179+12.6796-65.2992</f>
        <v>98.198300000000003</v>
      </c>
      <c r="V102" s="194">
        <f t="shared" si="78"/>
        <v>-12.679600000000001</v>
      </c>
      <c r="W102" s="191">
        <f t="shared" si="79"/>
        <v>19.241299999999999</v>
      </c>
      <c r="X102" s="191">
        <f t="shared" si="64"/>
        <v>6.5616999999999983</v>
      </c>
      <c r="Y102" s="198">
        <f t="shared" si="86"/>
        <v>104.75999999999999</v>
      </c>
      <c r="Z102" s="188">
        <f t="shared" si="62"/>
        <v>0</v>
      </c>
      <c r="AA102" s="73">
        <f>98.9232-20.9589</f>
        <v>77.964299999999994</v>
      </c>
      <c r="AB102" s="85">
        <f t="shared" si="81"/>
        <v>5.9657</v>
      </c>
      <c r="AC102" s="87">
        <f t="shared" si="97"/>
        <v>83.929999999999993</v>
      </c>
      <c r="AD102" s="86">
        <f t="shared" si="63"/>
        <v>0</v>
      </c>
      <c r="AE102" s="118">
        <f>126.7465+2.8342-20.6565</f>
        <v>108.92420000000001</v>
      </c>
      <c r="AF102" s="109">
        <f t="shared" si="66"/>
        <v>-2.8341999999999996</v>
      </c>
      <c r="AG102" s="110">
        <f t="shared" si="67"/>
        <v>16.080000000000002</v>
      </c>
      <c r="AH102" s="110">
        <f t="shared" si="88"/>
        <v>13.245800000000003</v>
      </c>
      <c r="AI102" s="111">
        <f t="shared" si="89"/>
        <v>122.17000000000002</v>
      </c>
      <c r="AJ102" s="173">
        <f t="shared" si="92"/>
        <v>0</v>
      </c>
      <c r="AK102" s="115">
        <f>90.352+9.54+0.2608-61.402</f>
        <v>38.750799999999998</v>
      </c>
      <c r="AL102" s="107">
        <f t="shared" si="93"/>
        <v>-0.26080000000000003</v>
      </c>
      <c r="AM102" s="107">
        <f t="shared" si="68"/>
        <v>15.780000000000001</v>
      </c>
      <c r="AN102" s="107">
        <f t="shared" si="90"/>
        <v>15.519200000000001</v>
      </c>
      <c r="AO102" s="108">
        <f t="shared" si="91"/>
        <v>54.269999999999996</v>
      </c>
      <c r="AP102" s="172">
        <f t="shared" si="94"/>
        <v>0</v>
      </c>
      <c r="AQ102" s="156"/>
      <c r="AR102" s="102"/>
      <c r="AS102" s="102"/>
      <c r="AT102" s="76"/>
      <c r="AU102" s="155"/>
      <c r="AV102" s="157"/>
    </row>
    <row r="103" spans="1:48" ht="15">
      <c r="A103" s="248">
        <v>40848</v>
      </c>
      <c r="B103" s="72">
        <v>153.39000000000001</v>
      </c>
      <c r="C103" s="73">
        <f>122.8235-13.9635</f>
        <v>108.86</v>
      </c>
      <c r="D103" s="80">
        <f t="shared" si="72"/>
        <v>21.930000000000003</v>
      </c>
      <c r="E103" s="80">
        <f t="shared" si="73"/>
        <v>21.28</v>
      </c>
      <c r="F103" s="80">
        <f t="shared" si="58"/>
        <v>43.210000000000008</v>
      </c>
      <c r="G103" s="77">
        <f t="shared" si="83"/>
        <v>152.07</v>
      </c>
      <c r="H103" s="81">
        <f t="shared" si="53"/>
        <v>0</v>
      </c>
      <c r="I103" s="156">
        <f>135.2647-16.336</f>
        <v>118.92870000000001</v>
      </c>
      <c r="J103" s="102">
        <f t="shared" si="74"/>
        <v>13.251300000000001</v>
      </c>
      <c r="K103" s="102">
        <f t="shared" si="75"/>
        <v>21.28</v>
      </c>
      <c r="L103" s="76">
        <f t="shared" si="26"/>
        <v>34.531300000000002</v>
      </c>
      <c r="M103" s="155">
        <f t="shared" si="95"/>
        <v>153.46</v>
      </c>
      <c r="N103" s="157">
        <f t="shared" si="59"/>
        <v>0</v>
      </c>
      <c r="O103" s="73">
        <f>136.5562+3.6574-67.8362</f>
        <v>72.37739999999998</v>
      </c>
      <c r="P103" s="78">
        <f t="shared" si="56"/>
        <v>-3.6574</v>
      </c>
      <c r="Q103" s="80">
        <f t="shared" si="76"/>
        <v>22.28</v>
      </c>
      <c r="R103" s="177">
        <f t="shared" si="60"/>
        <v>18.622600000000002</v>
      </c>
      <c r="S103" s="82">
        <f t="shared" si="96"/>
        <v>90.999999999999986</v>
      </c>
      <c r="T103" s="81">
        <f t="shared" si="61"/>
        <v>0</v>
      </c>
      <c r="U103" s="190">
        <f>151.9742+12.6796-66.4555</f>
        <v>98.198299999999989</v>
      </c>
      <c r="V103" s="194">
        <f t="shared" si="78"/>
        <v>-12.679600000000001</v>
      </c>
      <c r="W103" s="191">
        <f t="shared" si="79"/>
        <v>19.241299999999999</v>
      </c>
      <c r="X103" s="191">
        <f t="shared" si="64"/>
        <v>6.5616999999999983</v>
      </c>
      <c r="Y103" s="198">
        <f t="shared" si="86"/>
        <v>104.75999999999999</v>
      </c>
      <c r="Z103" s="188">
        <f t="shared" si="62"/>
        <v>0</v>
      </c>
      <c r="AA103" s="73">
        <f>104.3394-26.3751</f>
        <v>77.964299999999994</v>
      </c>
      <c r="AB103" s="85">
        <f t="shared" si="81"/>
        <v>5.9657</v>
      </c>
      <c r="AC103" s="87">
        <f t="shared" si="97"/>
        <v>83.929999999999993</v>
      </c>
      <c r="AD103" s="86">
        <f t="shared" si="63"/>
        <v>0</v>
      </c>
      <c r="AE103" s="118">
        <f>135.2647+2.8342-29.1747</f>
        <v>108.92420000000001</v>
      </c>
      <c r="AF103" s="109">
        <f t="shared" si="66"/>
        <v>-2.8341999999999996</v>
      </c>
      <c r="AG103" s="110">
        <f t="shared" si="67"/>
        <v>16.080000000000002</v>
      </c>
      <c r="AH103" s="110">
        <f t="shared" si="88"/>
        <v>13.245800000000003</v>
      </c>
      <c r="AI103" s="111">
        <f t="shared" si="89"/>
        <v>122.17000000000002</v>
      </c>
      <c r="AJ103" s="173">
        <f t="shared" si="92"/>
        <v>0</v>
      </c>
      <c r="AK103" s="115">
        <f>94.9835+11.8433+0.2608-68.3369</f>
        <v>38.750700000000009</v>
      </c>
      <c r="AL103" s="107">
        <f t="shared" si="93"/>
        <v>-0.26080000000000003</v>
      </c>
      <c r="AM103" s="107">
        <f t="shared" si="68"/>
        <v>15.780000000000001</v>
      </c>
      <c r="AN103" s="107">
        <f t="shared" si="90"/>
        <v>15.519200000000001</v>
      </c>
      <c r="AO103" s="108">
        <f t="shared" si="91"/>
        <v>54.269900000000007</v>
      </c>
      <c r="AP103" s="172">
        <f t="shared" si="94"/>
        <v>-1.8426386583225707E-6</v>
      </c>
      <c r="AQ103" s="156"/>
      <c r="AR103" s="102"/>
      <c r="AS103" s="102"/>
      <c r="AT103" s="76"/>
      <c r="AU103" s="155"/>
      <c r="AV103" s="157"/>
    </row>
    <row r="104" spans="1:48" ht="15">
      <c r="A104" s="248">
        <v>40863</v>
      </c>
      <c r="B104" s="72">
        <v>153.58000000000001</v>
      </c>
      <c r="C104" s="73">
        <f>120.1095-11.2495</f>
        <v>108.86</v>
      </c>
      <c r="D104" s="80">
        <f t="shared" si="72"/>
        <v>21.930000000000003</v>
      </c>
      <c r="E104" s="80">
        <f t="shared" si="73"/>
        <v>21.28</v>
      </c>
      <c r="F104" s="80">
        <f t="shared" si="58"/>
        <v>43.210000000000008</v>
      </c>
      <c r="G104" s="77">
        <f>SUM(C104:E104)</f>
        <v>152.07</v>
      </c>
      <c r="H104" s="81">
        <f t="shared" si="53"/>
        <v>0</v>
      </c>
      <c r="I104" s="156">
        <f>138.4002-19.4715</f>
        <v>118.92870000000002</v>
      </c>
      <c r="J104" s="102">
        <f t="shared" si="74"/>
        <v>13.251300000000001</v>
      </c>
      <c r="K104" s="102">
        <f t="shared" si="75"/>
        <v>21.28</v>
      </c>
      <c r="L104" s="76">
        <f t="shared" si="26"/>
        <v>34.531300000000002</v>
      </c>
      <c r="M104" s="155">
        <f t="shared" si="95"/>
        <v>153.46</v>
      </c>
      <c r="N104" s="157">
        <f t="shared" si="59"/>
        <v>0</v>
      </c>
      <c r="O104" s="73">
        <f>140.1383+3.6574-71.4183</f>
        <v>72.37739999999998</v>
      </c>
      <c r="P104" s="78">
        <f t="shared" si="56"/>
        <v>-3.6574</v>
      </c>
      <c r="Q104" s="80">
        <f t="shared" si="76"/>
        <v>22.28</v>
      </c>
      <c r="R104" s="177">
        <f t="shared" si="60"/>
        <v>18.622600000000002</v>
      </c>
      <c r="S104" s="82">
        <f t="shared" si="96"/>
        <v>90.999999999999986</v>
      </c>
      <c r="T104" s="81">
        <f t="shared" si="61"/>
        <v>0</v>
      </c>
      <c r="U104" s="190">
        <f>151.1872+12.6796-65.6685</f>
        <v>98.198299999999989</v>
      </c>
      <c r="V104" s="194">
        <f t="shared" si="78"/>
        <v>-12.679600000000001</v>
      </c>
      <c r="W104" s="191">
        <f t="shared" si="79"/>
        <v>19.241299999999999</v>
      </c>
      <c r="X104" s="191">
        <f t="shared" si="64"/>
        <v>6.5616999999999983</v>
      </c>
      <c r="Y104" s="198">
        <f t="shared" si="86"/>
        <v>104.75999999999999</v>
      </c>
      <c r="Z104" s="188">
        <f t="shared" si="62"/>
        <v>0</v>
      </c>
      <c r="AA104" s="73">
        <f>106.3487-28.3844</f>
        <v>77.964299999999994</v>
      </c>
      <c r="AB104" s="85">
        <f t="shared" si="81"/>
        <v>5.9657</v>
      </c>
      <c r="AC104" s="87">
        <f t="shared" si="97"/>
        <v>83.929999999999993</v>
      </c>
      <c r="AD104" s="86">
        <f t="shared" si="63"/>
        <v>0</v>
      </c>
      <c r="AE104" s="118">
        <f>138.4002+2.8342-32.3102</f>
        <v>108.92420000000001</v>
      </c>
      <c r="AF104" s="109">
        <f t="shared" si="66"/>
        <v>-2.8341999999999996</v>
      </c>
      <c r="AG104" s="110">
        <f t="shared" si="67"/>
        <v>16.080000000000002</v>
      </c>
      <c r="AH104" s="110">
        <f t="shared" si="88"/>
        <v>13.245800000000003</v>
      </c>
      <c r="AI104" s="111">
        <f t="shared" si="89"/>
        <v>122.17000000000002</v>
      </c>
      <c r="AJ104" s="173">
        <f t="shared" si="92"/>
        <v>0</v>
      </c>
      <c r="AK104" s="114">
        <f>92.8847+11.8433+0.2608-66.238</f>
        <v>38.750799999999998</v>
      </c>
      <c r="AL104" s="107">
        <f t="shared" si="93"/>
        <v>-0.26080000000000003</v>
      </c>
      <c r="AM104" s="107">
        <f t="shared" si="68"/>
        <v>15.780000000000001</v>
      </c>
      <c r="AN104" s="107">
        <f t="shared" si="90"/>
        <v>15.519200000000001</v>
      </c>
      <c r="AO104" s="108">
        <f t="shared" si="91"/>
        <v>54.269999999999996</v>
      </c>
      <c r="AP104" s="172">
        <f t="shared" si="94"/>
        <v>1.8426420536066246E-6</v>
      </c>
      <c r="AQ104" s="156"/>
      <c r="AR104" s="102"/>
      <c r="AS104" s="102"/>
      <c r="AT104" s="76"/>
      <c r="AU104" s="155"/>
      <c r="AV104" s="157"/>
    </row>
    <row r="105" spans="1:48" ht="15">
      <c r="A105" s="248">
        <v>40878</v>
      </c>
      <c r="B105" s="72">
        <v>154</v>
      </c>
      <c r="C105" s="73">
        <f>114.7818-5.9218</f>
        <v>108.86</v>
      </c>
      <c r="D105" s="80">
        <f t="shared" si="72"/>
        <v>21.930000000000003</v>
      </c>
      <c r="E105" s="80">
        <f t="shared" si="73"/>
        <v>21.28</v>
      </c>
      <c r="F105" s="80">
        <f t="shared" si="58"/>
        <v>43.210000000000008</v>
      </c>
      <c r="G105" s="77">
        <f>SUM(C105:E105)</f>
        <v>152.07</v>
      </c>
      <c r="H105" s="81">
        <f t="shared" si="53"/>
        <v>0</v>
      </c>
      <c r="I105" s="156">
        <f>139.4306-20.5019</f>
        <v>118.92869999999999</v>
      </c>
      <c r="J105" s="102">
        <f t="shared" si="74"/>
        <v>13.251300000000001</v>
      </c>
      <c r="K105" s="102">
        <f t="shared" si="75"/>
        <v>21.28</v>
      </c>
      <c r="L105" s="76">
        <f t="shared" si="26"/>
        <v>34.531300000000002</v>
      </c>
      <c r="M105" s="155">
        <f t="shared" si="95"/>
        <v>153.46</v>
      </c>
      <c r="N105" s="157">
        <f t="shared" si="59"/>
        <v>0</v>
      </c>
      <c r="O105" s="73">
        <f>139.3125+3.6574-70.5925</f>
        <v>72.377399999999994</v>
      </c>
      <c r="P105" s="78">
        <f t="shared" si="56"/>
        <v>-3.6574</v>
      </c>
      <c r="Q105" s="80">
        <f t="shared" si="76"/>
        <v>22.28</v>
      </c>
      <c r="R105" s="177">
        <f t="shared" si="60"/>
        <v>18.622600000000002</v>
      </c>
      <c r="S105" s="82">
        <f t="shared" si="96"/>
        <v>91</v>
      </c>
      <c r="T105" s="81">
        <f t="shared" si="61"/>
        <v>0</v>
      </c>
      <c r="U105" s="190">
        <f>145.4992+12.6796-59.9805</f>
        <v>98.198299999999989</v>
      </c>
      <c r="V105" s="194">
        <f t="shared" si="78"/>
        <v>-12.679600000000001</v>
      </c>
      <c r="W105" s="191">
        <f t="shared" si="79"/>
        <v>19.241299999999999</v>
      </c>
      <c r="X105" s="191">
        <f t="shared" si="64"/>
        <v>6.5616999999999983</v>
      </c>
      <c r="Y105" s="198">
        <f t="shared" si="86"/>
        <v>104.75999999999999</v>
      </c>
      <c r="Z105" s="188">
        <f t="shared" si="62"/>
        <v>0</v>
      </c>
      <c r="AA105" s="73">
        <f>104.4104-26.4461</f>
        <v>77.964299999999994</v>
      </c>
      <c r="AB105" s="85">
        <f t="shared" si="81"/>
        <v>5.9657</v>
      </c>
      <c r="AC105" s="87">
        <f t="shared" si="97"/>
        <v>83.929999999999993</v>
      </c>
      <c r="AD105" s="86">
        <f t="shared" si="63"/>
        <v>0</v>
      </c>
      <c r="AE105" s="118">
        <f>139.4306+2.8342-33.3406</f>
        <v>108.92420000000001</v>
      </c>
      <c r="AF105" s="109">
        <f t="shared" si="66"/>
        <v>-2.8341999999999996</v>
      </c>
      <c r="AG105" s="110">
        <f t="shared" si="67"/>
        <v>16.080000000000002</v>
      </c>
      <c r="AH105" s="110">
        <f t="shared" si="88"/>
        <v>13.245800000000003</v>
      </c>
      <c r="AI105" s="111">
        <f t="shared" si="89"/>
        <v>122.17000000000002</v>
      </c>
      <c r="AJ105" s="173">
        <f t="shared" si="92"/>
        <v>0</v>
      </c>
      <c r="AK105" s="114">
        <f>88.7646+11.8433+0.2608-62.1179</f>
        <v>38.750800000000005</v>
      </c>
      <c r="AL105" s="107">
        <f t="shared" si="93"/>
        <v>-0.26080000000000003</v>
      </c>
      <c r="AM105" s="107">
        <f t="shared" si="68"/>
        <v>15.780000000000001</v>
      </c>
      <c r="AN105" s="107">
        <f t="shared" si="90"/>
        <v>15.519200000000001</v>
      </c>
      <c r="AO105" s="108">
        <f t="shared" si="91"/>
        <v>54.27000000000001</v>
      </c>
      <c r="AP105" s="172">
        <f t="shared" si="94"/>
        <v>0</v>
      </c>
      <c r="AQ105" s="156"/>
      <c r="AR105" s="102"/>
      <c r="AS105" s="102"/>
      <c r="AT105" s="76"/>
      <c r="AU105" s="155"/>
      <c r="AV105" s="157"/>
    </row>
    <row r="106" spans="1:48" ht="15">
      <c r="A106" s="248">
        <v>40893</v>
      </c>
      <c r="B106" s="232">
        <v>154.35000000000002</v>
      </c>
      <c r="C106" s="73">
        <f>116.6318-7.7718</f>
        <v>108.86</v>
      </c>
      <c r="D106" s="80">
        <f t="shared" si="72"/>
        <v>21.930000000000003</v>
      </c>
      <c r="E106" s="80">
        <f t="shared" si="73"/>
        <v>21.28</v>
      </c>
      <c r="F106" s="80">
        <f t="shared" si="58"/>
        <v>43.210000000000008</v>
      </c>
      <c r="G106" s="77">
        <f>SUM(C106:E106)</f>
        <v>152.07</v>
      </c>
      <c r="H106" s="81">
        <f t="shared" si="53"/>
        <v>0</v>
      </c>
      <c r="I106" s="76">
        <f>137.0999-18.1712</f>
        <v>118.92869999999999</v>
      </c>
      <c r="J106" s="102">
        <f t="shared" si="74"/>
        <v>13.251300000000001</v>
      </c>
      <c r="K106" s="102">
        <f t="shared" si="75"/>
        <v>21.28</v>
      </c>
      <c r="L106" s="76">
        <f t="shared" si="26"/>
        <v>34.531300000000002</v>
      </c>
      <c r="M106" s="155">
        <f t="shared" si="95"/>
        <v>153.46</v>
      </c>
      <c r="N106" s="167">
        <f t="shared" si="59"/>
        <v>0</v>
      </c>
      <c r="O106" s="73">
        <f>135.8494+3.6574-67.1294</f>
        <v>72.377399999999994</v>
      </c>
      <c r="P106" s="78">
        <f t="shared" si="56"/>
        <v>-3.6574</v>
      </c>
      <c r="Q106" s="80">
        <f t="shared" si="76"/>
        <v>22.28</v>
      </c>
      <c r="R106" s="177">
        <f t="shared" si="60"/>
        <v>18.622600000000002</v>
      </c>
      <c r="S106" s="82">
        <f t="shared" si="96"/>
        <v>91</v>
      </c>
      <c r="T106" s="81">
        <f t="shared" si="61"/>
        <v>0</v>
      </c>
      <c r="U106" s="191">
        <f>145.6447+12.6796-60.126</f>
        <v>98.198299999999989</v>
      </c>
      <c r="V106" s="194">
        <f t="shared" si="78"/>
        <v>-12.679600000000001</v>
      </c>
      <c r="W106" s="191">
        <f t="shared" si="79"/>
        <v>19.241299999999999</v>
      </c>
      <c r="X106" s="191">
        <f t="shared" si="64"/>
        <v>6.5616999999999983</v>
      </c>
      <c r="Y106" s="198">
        <f t="shared" si="86"/>
        <v>104.75999999999999</v>
      </c>
      <c r="Z106" s="189">
        <f t="shared" si="62"/>
        <v>0</v>
      </c>
      <c r="AA106" s="73">
        <f>105.6974-27.7331</f>
        <v>77.964300000000009</v>
      </c>
      <c r="AB106" s="85">
        <f t="shared" si="81"/>
        <v>5.9657</v>
      </c>
      <c r="AC106" s="87">
        <f t="shared" si="97"/>
        <v>83.93</v>
      </c>
      <c r="AD106" s="86">
        <f t="shared" si="63"/>
        <v>0</v>
      </c>
      <c r="AE106" s="168">
        <f>137.0999+2.8342-31.0099</f>
        <v>108.9242</v>
      </c>
      <c r="AF106" s="109">
        <f t="shared" si="66"/>
        <v>-2.8341999999999996</v>
      </c>
      <c r="AG106" s="110">
        <f t="shared" si="67"/>
        <v>16.080000000000002</v>
      </c>
      <c r="AH106" s="110">
        <f t="shared" si="88"/>
        <v>13.245800000000003</v>
      </c>
      <c r="AI106" s="111">
        <f t="shared" si="89"/>
        <v>122.17</v>
      </c>
      <c r="AJ106" s="227">
        <f t="shared" si="92"/>
        <v>0</v>
      </c>
      <c r="AK106" s="114">
        <f>90.1953+11.8433+0.2608-63.5486</f>
        <v>38.750800000000005</v>
      </c>
      <c r="AL106" s="107">
        <f t="shared" si="93"/>
        <v>-0.26080000000000003</v>
      </c>
      <c r="AM106" s="107">
        <f t="shared" si="68"/>
        <v>15.780000000000001</v>
      </c>
      <c r="AN106" s="107">
        <f t="shared" si="90"/>
        <v>15.519200000000001</v>
      </c>
      <c r="AO106" s="108">
        <f t="shared" si="91"/>
        <v>54.27000000000001</v>
      </c>
      <c r="AP106" s="172">
        <f t="shared" si="94"/>
        <v>0</v>
      </c>
      <c r="AQ106" s="76"/>
      <c r="AR106" s="102"/>
      <c r="AS106" s="102"/>
      <c r="AT106" s="76"/>
      <c r="AU106" s="155"/>
      <c r="AV106" s="167"/>
    </row>
    <row r="107" spans="1:48" ht="15">
      <c r="A107" s="248">
        <v>40906</v>
      </c>
      <c r="B107" s="72">
        <v>154.63999999999999</v>
      </c>
      <c r="C107" s="73">
        <f>116.6666+14.6034</f>
        <v>131.27000000000001</v>
      </c>
      <c r="D107" s="80">
        <f t="shared" si="72"/>
        <v>21.930000000000003</v>
      </c>
      <c r="E107" s="80">
        <f>2.5+3+5.3+5.87+4.61+1</f>
        <v>22.28</v>
      </c>
      <c r="F107" s="80">
        <f t="shared" si="58"/>
        <v>44.210000000000008</v>
      </c>
      <c r="G107" s="77">
        <f>SUM(C107:E107)</f>
        <v>175.48000000000002</v>
      </c>
      <c r="H107" s="81">
        <f t="shared" si="53"/>
        <v>0.15394226343131479</v>
      </c>
      <c r="I107" s="156">
        <f>131.5491+10.0096</f>
        <v>141.55870000000002</v>
      </c>
      <c r="J107" s="102">
        <f t="shared" si="74"/>
        <v>13.251300000000001</v>
      </c>
      <c r="K107" s="102">
        <f>2.5+3+5.3+5.87+4.61+1</f>
        <v>22.28</v>
      </c>
      <c r="L107" s="76">
        <f t="shared" ref="L107:L170" si="98">J107+K107</f>
        <v>35.531300000000002</v>
      </c>
      <c r="M107" s="155">
        <f t="shared" ref="M107:M112" si="99">SUM(I107:K107)</f>
        <v>177.09</v>
      </c>
      <c r="N107" s="157">
        <f t="shared" si="59"/>
        <v>0.15398149354880752</v>
      </c>
      <c r="O107" s="73">
        <f>131.1785+3.6574-70.4585</f>
        <v>64.377400000000009</v>
      </c>
      <c r="P107" s="78">
        <f t="shared" si="56"/>
        <v>-3.6574</v>
      </c>
      <c r="Q107" s="80">
        <f>2.5+3+6.3+5.87+4.61+7+1</f>
        <v>30.28</v>
      </c>
      <c r="R107" s="177">
        <f t="shared" si="60"/>
        <v>26.622600000000002</v>
      </c>
      <c r="S107" s="82">
        <f t="shared" ref="S107:S112" si="100">SUM(O107:Q107)</f>
        <v>91</v>
      </c>
      <c r="T107" s="81">
        <f t="shared" si="61"/>
        <v>0</v>
      </c>
      <c r="U107" s="190">
        <f>152.7689+12.6796-36.5202</f>
        <v>128.92829999999998</v>
      </c>
      <c r="V107" s="194">
        <f t="shared" si="78"/>
        <v>-12.679600000000001</v>
      </c>
      <c r="W107" s="191">
        <f>6.3+4.4128+3.4532+4.7753+1</f>
        <v>19.941299999999998</v>
      </c>
      <c r="X107" s="191">
        <f t="shared" si="64"/>
        <v>7.2616999999999976</v>
      </c>
      <c r="Y107" s="198">
        <f t="shared" ref="Y107:Y112" si="101">SUM(U107:W107)</f>
        <v>136.19</v>
      </c>
      <c r="Z107" s="188">
        <f t="shared" si="62"/>
        <v>0.30001909125620485</v>
      </c>
      <c r="AA107" s="73">
        <f>104.6717-26.7074</f>
        <v>77.964300000000009</v>
      </c>
      <c r="AB107" s="85">
        <f t="shared" si="81"/>
        <v>5.9657</v>
      </c>
      <c r="AC107" s="87">
        <f t="shared" si="97"/>
        <v>83.93</v>
      </c>
      <c r="AD107" s="86">
        <f t="shared" si="63"/>
        <v>0</v>
      </c>
      <c r="AE107" s="118">
        <f>131.5491+2.8342+10.1909</f>
        <v>144.57420000000002</v>
      </c>
      <c r="AF107" s="109">
        <f t="shared" si="66"/>
        <v>-2.8341999999999996</v>
      </c>
      <c r="AG107" s="110">
        <f>5.3+5.87+4.61+0.3+1</f>
        <v>17.080000000000002</v>
      </c>
      <c r="AH107" s="110">
        <f t="shared" si="88"/>
        <v>14.245800000000003</v>
      </c>
      <c r="AI107" s="111">
        <f t="shared" si="89"/>
        <v>158.82000000000002</v>
      </c>
      <c r="AJ107" s="173">
        <f t="shared" si="92"/>
        <v>0.29999181468445624</v>
      </c>
      <c r="AK107" s="115">
        <f>90.2222+11.8433+0.2608-64.5755</f>
        <v>37.750799999999998</v>
      </c>
      <c r="AL107" s="107">
        <f t="shared" si="93"/>
        <v>-0.26080000000000003</v>
      </c>
      <c r="AM107" s="107">
        <f>5.3+5.57+4.61+0.3+1</f>
        <v>16.78</v>
      </c>
      <c r="AN107" s="107">
        <f t="shared" si="90"/>
        <v>16.519200000000001</v>
      </c>
      <c r="AO107" s="108">
        <f t="shared" si="91"/>
        <v>54.269999999999996</v>
      </c>
      <c r="AP107" s="172">
        <f t="shared" si="94"/>
        <v>0</v>
      </c>
      <c r="AQ107" s="156"/>
      <c r="AR107" s="102"/>
      <c r="AS107" s="102"/>
      <c r="AT107" s="76"/>
      <c r="AU107" s="155"/>
      <c r="AV107" s="157"/>
    </row>
    <row r="108" spans="1:48" ht="15">
      <c r="A108" s="248">
        <v>40924</v>
      </c>
      <c r="B108" s="72">
        <v>156.65</v>
      </c>
      <c r="C108" s="73">
        <f>123.0496+8.2204</f>
        <v>131.27000000000001</v>
      </c>
      <c r="D108" s="80">
        <f t="shared" si="72"/>
        <v>21.930000000000003</v>
      </c>
      <c r="E108" s="80">
        <f>2.5+3+1+5.3+5.87+4.61</f>
        <v>22.28</v>
      </c>
      <c r="F108" s="80">
        <f t="shared" si="58"/>
        <v>44.210000000000008</v>
      </c>
      <c r="G108" s="77">
        <f>SUM(C108:E108)</f>
        <v>175.48000000000002</v>
      </c>
      <c r="H108" s="43">
        <f t="shared" si="53"/>
        <v>0</v>
      </c>
      <c r="I108" s="156">
        <f>138.5776+2.9811</f>
        <v>141.55869999999999</v>
      </c>
      <c r="J108" s="102">
        <f t="shared" si="74"/>
        <v>13.251300000000001</v>
      </c>
      <c r="K108" s="102">
        <f>2.5+3+5.3+5.87+4.61+1</f>
        <v>22.28</v>
      </c>
      <c r="L108" s="76">
        <f t="shared" si="98"/>
        <v>35.531300000000002</v>
      </c>
      <c r="M108" s="155">
        <f t="shared" si="99"/>
        <v>177.09</v>
      </c>
      <c r="N108" s="151">
        <f t="shared" si="59"/>
        <v>0</v>
      </c>
      <c r="O108" s="73">
        <f>137.3409+3.6574-76.6209</f>
        <v>64.377399999999994</v>
      </c>
      <c r="P108" s="78">
        <f t="shared" si="56"/>
        <v>-3.6574</v>
      </c>
      <c r="Q108" s="80">
        <f>2.5+3+6.3+5.87+4.61+7+1</f>
        <v>30.28</v>
      </c>
      <c r="R108" s="177">
        <f t="shared" si="60"/>
        <v>26.622600000000002</v>
      </c>
      <c r="S108" s="82">
        <f t="shared" si="100"/>
        <v>91</v>
      </c>
      <c r="T108" s="81">
        <f t="shared" si="61"/>
        <v>0</v>
      </c>
      <c r="U108" s="190">
        <f>168.3126+12.6796-52.0639</f>
        <v>128.92830000000001</v>
      </c>
      <c r="V108" s="194">
        <f t="shared" si="78"/>
        <v>-12.679600000000001</v>
      </c>
      <c r="W108" s="191">
        <f>6.3+4.4128+3.4532+4.7753+1</f>
        <v>19.941299999999998</v>
      </c>
      <c r="X108" s="191">
        <f t="shared" si="64"/>
        <v>7.2616999999999976</v>
      </c>
      <c r="Y108" s="198">
        <f t="shared" si="101"/>
        <v>136.19</v>
      </c>
      <c r="Z108" s="188">
        <f t="shared" si="62"/>
        <v>0</v>
      </c>
      <c r="AA108" s="73">
        <f>111.0537-33.0894</f>
        <v>77.964300000000009</v>
      </c>
      <c r="AB108" s="85">
        <f t="shared" si="81"/>
        <v>5.9657</v>
      </c>
      <c r="AC108" s="87">
        <f t="shared" si="97"/>
        <v>83.93</v>
      </c>
      <c r="AD108" s="86">
        <f t="shared" si="63"/>
        <v>0</v>
      </c>
      <c r="AE108" s="118">
        <f>138.5776+2.8342+3.1624</f>
        <v>144.57419999999999</v>
      </c>
      <c r="AF108" s="109">
        <f t="shared" si="66"/>
        <v>-2.8341999999999996</v>
      </c>
      <c r="AG108" s="110">
        <f>5.3+5.87+4.61+0.3+1</f>
        <v>17.080000000000002</v>
      </c>
      <c r="AH108" s="110">
        <f t="shared" si="88"/>
        <v>14.245800000000003</v>
      </c>
      <c r="AI108" s="111">
        <f t="shared" si="89"/>
        <v>158.82</v>
      </c>
      <c r="AJ108" s="173">
        <f t="shared" si="92"/>
        <v>0</v>
      </c>
      <c r="AK108" s="115">
        <f>101.1058+11.8433+0.2608-75.4591</f>
        <v>37.750799999999998</v>
      </c>
      <c r="AL108" s="107">
        <f t="shared" si="93"/>
        <v>-0.26080000000000003</v>
      </c>
      <c r="AM108" s="107">
        <f>5.3+5.57+4.61+0.3+1</f>
        <v>16.78</v>
      </c>
      <c r="AN108" s="107">
        <f t="shared" si="90"/>
        <v>16.519200000000001</v>
      </c>
      <c r="AO108" s="108">
        <f t="shared" si="91"/>
        <v>54.269999999999996</v>
      </c>
      <c r="AP108" s="172">
        <f t="shared" si="94"/>
        <v>0</v>
      </c>
      <c r="AQ108" s="156"/>
      <c r="AR108" s="102"/>
      <c r="AS108" s="102"/>
      <c r="AT108" s="76"/>
      <c r="AU108" s="155"/>
      <c r="AV108" s="151"/>
    </row>
    <row r="109" spans="1:48" ht="15">
      <c r="A109" s="249">
        <v>40940</v>
      </c>
      <c r="B109" s="72">
        <v>164.34</v>
      </c>
      <c r="C109" s="80">
        <f>131.2634+0.0066</f>
        <v>131.26999999999998</v>
      </c>
      <c r="D109" s="80">
        <f t="shared" si="72"/>
        <v>21.930000000000003</v>
      </c>
      <c r="E109" s="80">
        <f>2.5+3+1+5.3+5.87+4.61</f>
        <v>22.28</v>
      </c>
      <c r="F109" s="80">
        <f t="shared" si="58"/>
        <v>44.210000000000008</v>
      </c>
      <c r="G109" s="77">
        <f t="shared" ref="G109:G119" si="102">SUM(C109:E109)</f>
        <v>175.48</v>
      </c>
      <c r="H109" s="62">
        <f t="shared" si="53"/>
        <v>0</v>
      </c>
      <c r="I109" s="156">
        <f>144.55-2.9913</f>
        <v>141.55870000000002</v>
      </c>
      <c r="J109" s="102">
        <f t="shared" si="74"/>
        <v>13.251300000000001</v>
      </c>
      <c r="K109" s="102">
        <f>2.5+3+5.3+5.87+4.61+1</f>
        <v>22.28</v>
      </c>
      <c r="L109" s="76">
        <f t="shared" si="98"/>
        <v>35.531300000000002</v>
      </c>
      <c r="M109" s="155">
        <f t="shared" si="99"/>
        <v>177.09</v>
      </c>
      <c r="N109" s="151">
        <f t="shared" si="59"/>
        <v>0</v>
      </c>
      <c r="O109" s="80">
        <f>145.2063+3.6574-84.4863</f>
        <v>64.377399999999994</v>
      </c>
      <c r="P109" s="78">
        <f t="shared" si="56"/>
        <v>-3.6574</v>
      </c>
      <c r="Q109" s="80">
        <f>2.5+3+6.3+5.87+4.61+7+1</f>
        <v>30.28</v>
      </c>
      <c r="R109" s="177">
        <f t="shared" si="60"/>
        <v>26.622600000000002</v>
      </c>
      <c r="S109" s="82">
        <f t="shared" si="100"/>
        <v>91</v>
      </c>
      <c r="T109" s="170">
        <f t="shared" si="61"/>
        <v>0</v>
      </c>
      <c r="U109" s="190">
        <f>178.3533+12.6796-62.1046</f>
        <v>128.92829999999998</v>
      </c>
      <c r="V109" s="194">
        <f t="shared" si="78"/>
        <v>-12.679600000000001</v>
      </c>
      <c r="W109" s="191">
        <f>6.3+4.4128+3.4532+4.7753+1</f>
        <v>19.941299999999998</v>
      </c>
      <c r="X109" s="191">
        <f t="shared" si="64"/>
        <v>7.2616999999999976</v>
      </c>
      <c r="Y109" s="198">
        <f t="shared" si="101"/>
        <v>136.19</v>
      </c>
      <c r="Z109" s="188">
        <f t="shared" si="62"/>
        <v>0</v>
      </c>
      <c r="AA109" s="80">
        <f>116.7361-38.7718</f>
        <v>77.964299999999994</v>
      </c>
      <c r="AB109" s="85">
        <f t="shared" si="81"/>
        <v>5.9657</v>
      </c>
      <c r="AC109" s="87">
        <f t="shared" si="97"/>
        <v>83.929999999999993</v>
      </c>
      <c r="AD109" s="171">
        <f t="shared" si="63"/>
        <v>0</v>
      </c>
      <c r="AE109" s="118">
        <f>144.55+2.8342-2.81</f>
        <v>144.57420000000002</v>
      </c>
      <c r="AF109" s="109">
        <f t="shared" si="66"/>
        <v>-2.8341999999999996</v>
      </c>
      <c r="AG109" s="110">
        <f>5.3+5.87+4.61+0.3+1</f>
        <v>17.080000000000002</v>
      </c>
      <c r="AH109" s="110">
        <f t="shared" si="88"/>
        <v>14.245800000000003</v>
      </c>
      <c r="AI109" s="111">
        <f t="shared" si="89"/>
        <v>158.82000000000002</v>
      </c>
      <c r="AJ109" s="173">
        <f t="shared" si="92"/>
        <v>0</v>
      </c>
      <c r="AK109" s="115">
        <f>107.8547+11.84335+0.2608-82.2081</f>
        <v>37.750749999999996</v>
      </c>
      <c r="AL109" s="107">
        <f t="shared" si="93"/>
        <v>-0.26080000000000003</v>
      </c>
      <c r="AM109" s="107">
        <f>5.3+5.57+4.61+0.3+1</f>
        <v>16.78</v>
      </c>
      <c r="AN109" s="107">
        <f t="shared" si="90"/>
        <v>16.519200000000001</v>
      </c>
      <c r="AO109" s="108">
        <f t="shared" si="91"/>
        <v>54.269949999999994</v>
      </c>
      <c r="AP109" s="172">
        <f t="shared" si="94"/>
        <v>-9.2131932927230764E-7</v>
      </c>
      <c r="AQ109" s="156"/>
      <c r="AR109" s="102"/>
      <c r="AS109" s="102"/>
      <c r="AT109" s="76"/>
      <c r="AU109" s="155"/>
      <c r="AV109" s="151"/>
    </row>
    <row r="110" spans="1:48" ht="15">
      <c r="A110" s="249">
        <v>40950</v>
      </c>
      <c r="B110" s="72">
        <v>165.56</v>
      </c>
      <c r="C110" s="80">
        <f>137.3627-12.9627</f>
        <v>124.39999999999999</v>
      </c>
      <c r="D110" s="80">
        <f t="shared" si="72"/>
        <v>21.930000000000003</v>
      </c>
      <c r="E110" s="80">
        <f>2.5+3+1+5.3+7.1+5.57</f>
        <v>24.47</v>
      </c>
      <c r="F110" s="80">
        <f t="shared" si="58"/>
        <v>46.400000000000006</v>
      </c>
      <c r="G110" s="77">
        <f t="shared" si="102"/>
        <v>170.79999999999998</v>
      </c>
      <c r="H110" s="62">
        <f>G110/G109-1</f>
        <v>-2.6669705949395994E-2</v>
      </c>
      <c r="I110" s="156">
        <f>149.0086-14.3699</f>
        <v>134.6387</v>
      </c>
      <c r="J110" s="102">
        <f>1.8+8+6+0.05+0.1-2.6987</f>
        <v>13.251300000000001</v>
      </c>
      <c r="K110" s="102">
        <f>2.5+3+1+5.3+7.1+5.57</f>
        <v>24.47</v>
      </c>
      <c r="L110" s="76">
        <f t="shared" si="98"/>
        <v>37.721299999999999</v>
      </c>
      <c r="M110" s="155">
        <f t="shared" si="99"/>
        <v>172.35999999999999</v>
      </c>
      <c r="N110" s="151">
        <f t="shared" si="59"/>
        <v>-2.6709582698063228E-2</v>
      </c>
      <c r="O110" s="80">
        <f>148.9092+3.6574-90.3792</f>
        <v>62.187399999999997</v>
      </c>
      <c r="P110" s="78">
        <f>1.0375+0.05+0.1-4.8449</f>
        <v>-3.6574</v>
      </c>
      <c r="Q110" s="80">
        <f>2.5+3+1+6.3+7.1+5.57+7</f>
        <v>32.47</v>
      </c>
      <c r="R110" s="177">
        <f t="shared" si="60"/>
        <v>28.8126</v>
      </c>
      <c r="S110" s="82">
        <f t="shared" si="100"/>
        <v>91</v>
      </c>
      <c r="T110" s="62">
        <f t="shared" si="61"/>
        <v>0</v>
      </c>
      <c r="U110" s="190">
        <f>184.4421+12.6796-76.1394</f>
        <v>120.98230000000001</v>
      </c>
      <c r="V110" s="194">
        <f t="shared" si="78"/>
        <v>-12.679600000000001</v>
      </c>
      <c r="W110" s="191">
        <f>6.3+5.3418+4.1801+4.7753+1</f>
        <v>21.597200000000001</v>
      </c>
      <c r="X110" s="191">
        <f t="shared" si="64"/>
        <v>8.9176000000000002</v>
      </c>
      <c r="Y110" s="198">
        <f t="shared" si="101"/>
        <v>129.8999</v>
      </c>
      <c r="Z110" s="188">
        <f t="shared" si="62"/>
        <v>-4.6186210441295228E-2</v>
      </c>
      <c r="AA110" s="80">
        <f>120.5094-42.5451</f>
        <v>77.964300000000009</v>
      </c>
      <c r="AB110" s="85">
        <f t="shared" si="81"/>
        <v>5.9657</v>
      </c>
      <c r="AC110" s="87">
        <f t="shared" si="97"/>
        <v>83.93</v>
      </c>
      <c r="AD110" s="171">
        <f t="shared" si="63"/>
        <v>0</v>
      </c>
      <c r="AE110" s="118">
        <f>149.0086+2.8342-16.7886</f>
        <v>135.05420000000001</v>
      </c>
      <c r="AF110" s="109">
        <f t="shared" si="66"/>
        <v>-2.8341999999999996</v>
      </c>
      <c r="AG110" s="110">
        <f>1+5.3+7.1+5.57+0.3</f>
        <v>19.27</v>
      </c>
      <c r="AH110" s="110">
        <f t="shared" si="88"/>
        <v>16.4358</v>
      </c>
      <c r="AI110" s="111">
        <f t="shared" si="89"/>
        <v>151.49</v>
      </c>
      <c r="AJ110" s="173">
        <f t="shared" si="92"/>
        <v>-4.6152877471351328E-2</v>
      </c>
      <c r="AK110" s="115">
        <f>112.8663+11.84335+0.2608-89.4097</f>
        <v>35.560749999999999</v>
      </c>
      <c r="AL110" s="107">
        <f>0.1-0.3608</f>
        <v>-0.26080000000000003</v>
      </c>
      <c r="AM110" s="107">
        <f>1+5.3+6.8+5.57+0.3</f>
        <v>18.970000000000002</v>
      </c>
      <c r="AN110" s="107">
        <f t="shared" si="90"/>
        <v>18.709200000000003</v>
      </c>
      <c r="AO110" s="108">
        <f t="shared" si="91"/>
        <v>54.269950000000001</v>
      </c>
      <c r="AP110" s="172">
        <f t="shared" si="94"/>
        <v>0</v>
      </c>
      <c r="AQ110" s="156"/>
      <c r="AR110" s="102"/>
      <c r="AS110" s="102"/>
      <c r="AT110" s="76"/>
      <c r="AU110" s="155"/>
      <c r="AV110" s="151"/>
    </row>
    <row r="111" spans="1:48" ht="15">
      <c r="A111" s="249">
        <v>40969</v>
      </c>
      <c r="B111" s="72">
        <v>167.51</v>
      </c>
      <c r="C111" s="80">
        <f>145.8755-21.4755</f>
        <v>124.39999999999999</v>
      </c>
      <c r="D111" s="80">
        <f t="shared" si="72"/>
        <v>21.930000000000003</v>
      </c>
      <c r="E111" s="80">
        <f>2.5+3+1+5.3+7.1+5.57</f>
        <v>24.47</v>
      </c>
      <c r="F111" s="80">
        <f t="shared" si="58"/>
        <v>46.400000000000006</v>
      </c>
      <c r="G111" s="77">
        <f t="shared" si="102"/>
        <v>170.79999999999998</v>
      </c>
      <c r="H111" s="62">
        <f t="shared" si="53"/>
        <v>0</v>
      </c>
      <c r="I111" s="156">
        <f>156.9634-22.3247</f>
        <v>134.6387</v>
      </c>
      <c r="J111" s="102">
        <f>1.8+8+6+0.05+0.1-2.6987</f>
        <v>13.251300000000001</v>
      </c>
      <c r="K111" s="102">
        <f>2.5+3+1+5.3+7.1+5.57</f>
        <v>24.47</v>
      </c>
      <c r="L111" s="76">
        <f t="shared" si="98"/>
        <v>37.721299999999999</v>
      </c>
      <c r="M111" s="155">
        <f t="shared" si="99"/>
        <v>172.35999999999999</v>
      </c>
      <c r="N111" s="151">
        <f t="shared" si="59"/>
        <v>0</v>
      </c>
      <c r="O111" s="80">
        <f>156.2558+3.6574-97.7258</f>
        <v>62.187399999999982</v>
      </c>
      <c r="P111" s="78">
        <f>1.0375+0.05+0.1-4.8449</f>
        <v>-3.6574</v>
      </c>
      <c r="Q111" s="80">
        <f>2.5+3+1+6.3+7.1+5.57+7</f>
        <v>32.47</v>
      </c>
      <c r="R111" s="177">
        <f t="shared" si="60"/>
        <v>28.8126</v>
      </c>
      <c r="S111" s="82">
        <f t="shared" si="100"/>
        <v>90.999999999999972</v>
      </c>
      <c r="T111" s="62">
        <f t="shared" si="61"/>
        <v>0</v>
      </c>
      <c r="U111" s="190">
        <f>192.3517+12.6796-84.049</f>
        <v>120.98229999999998</v>
      </c>
      <c r="V111" s="194">
        <f t="shared" si="78"/>
        <v>-12.679600000000001</v>
      </c>
      <c r="W111" s="191">
        <f>6.3+5.3418+4.1801+4.7753+1</f>
        <v>21.597200000000001</v>
      </c>
      <c r="X111" s="191">
        <f t="shared" si="64"/>
        <v>8.9176000000000002</v>
      </c>
      <c r="Y111" s="198">
        <f t="shared" si="101"/>
        <v>129.8999</v>
      </c>
      <c r="Z111" s="188">
        <f t="shared" si="62"/>
        <v>0</v>
      </c>
      <c r="AA111" s="80">
        <f>126.9451-48.9808</f>
        <v>77.964299999999994</v>
      </c>
      <c r="AB111" s="85">
        <f t="shared" si="81"/>
        <v>5.9657</v>
      </c>
      <c r="AC111" s="87">
        <f t="shared" si="97"/>
        <v>83.929999999999993</v>
      </c>
      <c r="AD111" s="171">
        <f t="shared" si="63"/>
        <v>0</v>
      </c>
      <c r="AE111" s="118">
        <f>156.9634+2.8342-24.7434</f>
        <v>135.05420000000001</v>
      </c>
      <c r="AF111" s="109">
        <f t="shared" si="66"/>
        <v>-2.8341999999999996</v>
      </c>
      <c r="AG111" s="110">
        <f>1+5.3+7.1+5.57+0.3</f>
        <v>19.27</v>
      </c>
      <c r="AH111" s="110">
        <f t="shared" si="88"/>
        <v>16.4358</v>
      </c>
      <c r="AI111" s="111">
        <f t="shared" si="89"/>
        <v>151.49</v>
      </c>
      <c r="AJ111" s="173">
        <f t="shared" si="92"/>
        <v>0</v>
      </c>
      <c r="AK111" s="115">
        <f>119.8611+11.8433+0.2608-96.4044</f>
        <v>35.560799999999986</v>
      </c>
      <c r="AL111" s="107">
        <f>0.1-0.3608</f>
        <v>-0.26080000000000003</v>
      </c>
      <c r="AM111" s="107">
        <f>1+5.3+6.8+5.57+0.3</f>
        <v>18.970000000000002</v>
      </c>
      <c r="AN111" s="107">
        <f t="shared" si="90"/>
        <v>18.709200000000003</v>
      </c>
      <c r="AO111" s="108">
        <f t="shared" si="91"/>
        <v>54.269999999999989</v>
      </c>
      <c r="AP111" s="172">
        <f t="shared" si="94"/>
        <v>9.2132017792678766E-7</v>
      </c>
      <c r="AQ111" s="156"/>
      <c r="AR111" s="102"/>
      <c r="AS111" s="102"/>
      <c r="AT111" s="76"/>
      <c r="AU111" s="155"/>
      <c r="AV111" s="151"/>
    </row>
    <row r="112" spans="1:48" ht="15">
      <c r="A112" s="249">
        <v>40984</v>
      </c>
      <c r="B112" s="72">
        <v>168.23</v>
      </c>
      <c r="C112" s="80">
        <f>152.3217-27.9217</f>
        <v>124.39999999999999</v>
      </c>
      <c r="D112" s="80">
        <f t="shared" si="72"/>
        <v>21.930000000000003</v>
      </c>
      <c r="E112" s="80">
        <f>2.5+3+1+5.3+7.1+5.57</f>
        <v>24.47</v>
      </c>
      <c r="F112" s="80">
        <f t="shared" si="58"/>
        <v>46.400000000000006</v>
      </c>
      <c r="G112" s="77">
        <f t="shared" si="102"/>
        <v>170.79999999999998</v>
      </c>
      <c r="H112" s="62">
        <f>G112/G111-1</f>
        <v>0</v>
      </c>
      <c r="I112" s="156">
        <f>158.0489-23.4102</f>
        <v>134.6387</v>
      </c>
      <c r="J112" s="102">
        <f>1.8+8+6+0.05+0.1-2.6987</f>
        <v>13.251300000000001</v>
      </c>
      <c r="K112" s="102">
        <f>2.5+3+1+5.3+7.1+5.57</f>
        <v>24.47</v>
      </c>
      <c r="L112" s="76">
        <f t="shared" si="98"/>
        <v>37.721299999999999</v>
      </c>
      <c r="M112" s="155">
        <f t="shared" si="99"/>
        <v>172.35999999999999</v>
      </c>
      <c r="N112" s="151">
        <f t="shared" si="59"/>
        <v>0</v>
      </c>
      <c r="O112" s="80">
        <f>158.8164+3.6574-100.2864</f>
        <v>62.187399999999982</v>
      </c>
      <c r="P112" s="78">
        <f>1.0375+0.05+0.1-4.8449</f>
        <v>-3.6574</v>
      </c>
      <c r="Q112" s="80">
        <f>2.5+3+1+6.3+7.1+5.57+7</f>
        <v>32.47</v>
      </c>
      <c r="R112" s="177">
        <f t="shared" si="60"/>
        <v>28.8126</v>
      </c>
      <c r="S112" s="82">
        <f t="shared" si="100"/>
        <v>90.999999999999972</v>
      </c>
      <c r="T112" s="62">
        <f t="shared" si="61"/>
        <v>0</v>
      </c>
      <c r="U112" s="190">
        <f>198.4105+12.6796-90.1077</f>
        <v>120.98240000000001</v>
      </c>
      <c r="V112" s="194">
        <f t="shared" si="78"/>
        <v>-12.679600000000001</v>
      </c>
      <c r="W112" s="191">
        <f>6.3+5.3418+4.1801+4.7753+1</f>
        <v>21.597200000000001</v>
      </c>
      <c r="X112" s="191">
        <f t="shared" si="64"/>
        <v>8.9176000000000002</v>
      </c>
      <c r="Y112" s="198">
        <f t="shared" si="101"/>
        <v>129.90000000000003</v>
      </c>
      <c r="Z112" s="188">
        <f t="shared" si="62"/>
        <v>7.6982353358623357E-7</v>
      </c>
      <c r="AA112" s="80">
        <f>130.9754-53.0111</f>
        <v>77.964300000000009</v>
      </c>
      <c r="AB112" s="85">
        <f t="shared" si="81"/>
        <v>5.9657</v>
      </c>
      <c r="AC112" s="87">
        <f t="shared" si="97"/>
        <v>83.93</v>
      </c>
      <c r="AD112" s="171">
        <f t="shared" si="63"/>
        <v>0</v>
      </c>
      <c r="AE112" s="118">
        <f>158.0489+2.8342-25.8289</f>
        <v>135.05420000000001</v>
      </c>
      <c r="AF112" s="109">
        <f t="shared" si="66"/>
        <v>-2.8341999999999996</v>
      </c>
      <c r="AG112" s="110">
        <f>1+5.3+7.1+5.57+0.3</f>
        <v>19.27</v>
      </c>
      <c r="AH112" s="110">
        <f t="shared" si="88"/>
        <v>16.4358</v>
      </c>
      <c r="AI112" s="111">
        <f t="shared" si="89"/>
        <v>151.49</v>
      </c>
      <c r="AJ112" s="173">
        <f t="shared" si="92"/>
        <v>0</v>
      </c>
      <c r="AK112" s="115">
        <f>125.1576+11.8433+0.2608-101.701</f>
        <v>35.560699999999997</v>
      </c>
      <c r="AL112" s="107">
        <f>0.1-0.3608</f>
        <v>-0.26080000000000003</v>
      </c>
      <c r="AM112" s="107">
        <f>1+5.3+6.8+5.57+0.3</f>
        <v>18.970000000000002</v>
      </c>
      <c r="AN112" s="107">
        <f t="shared" si="90"/>
        <v>18.709200000000003</v>
      </c>
      <c r="AO112" s="108">
        <f t="shared" si="91"/>
        <v>54.2699</v>
      </c>
      <c r="AP112" s="172">
        <f t="shared" si="94"/>
        <v>-1.8426386583225707E-6</v>
      </c>
      <c r="AQ112" s="156"/>
      <c r="AR112" s="102"/>
      <c r="AS112" s="102"/>
      <c r="AT112" s="76"/>
      <c r="AU112" s="155"/>
      <c r="AV112" s="151"/>
    </row>
    <row r="113" spans="1:48" ht="15">
      <c r="A113" s="249">
        <v>41000</v>
      </c>
      <c r="B113" s="72">
        <v>168.33</v>
      </c>
      <c r="C113" s="80">
        <f>157.661-33.261</f>
        <v>124.4</v>
      </c>
      <c r="D113" s="80">
        <f t="shared" si="72"/>
        <v>21.930000000000003</v>
      </c>
      <c r="E113" s="80">
        <f>2.5+3+1+5.3+7.1+5.57</f>
        <v>24.47</v>
      </c>
      <c r="F113" s="80">
        <f t="shared" si="58"/>
        <v>46.400000000000006</v>
      </c>
      <c r="G113" s="77">
        <f t="shared" si="102"/>
        <v>170.8</v>
      </c>
      <c r="H113" s="62">
        <f>G113/G112-1</f>
        <v>0</v>
      </c>
      <c r="I113" s="156">
        <f>159.9537-25.315</f>
        <v>134.6387</v>
      </c>
      <c r="J113" s="102">
        <f>1.8+8+6+0.05+0.1-2.6987</f>
        <v>13.251300000000001</v>
      </c>
      <c r="K113" s="102">
        <f>2.5+3+1+5.3+7.1+5.57</f>
        <v>24.47</v>
      </c>
      <c r="L113" s="76">
        <f t="shared" si="98"/>
        <v>37.721299999999999</v>
      </c>
      <c r="M113" s="155">
        <f t="shared" ref="M113:M135" si="103">SUM(I113:K113)</f>
        <v>172.35999999999999</v>
      </c>
      <c r="N113" s="151">
        <f t="shared" si="59"/>
        <v>0</v>
      </c>
      <c r="O113" s="80">
        <f>160.633+3.6574-102.103</f>
        <v>62.187400000000011</v>
      </c>
      <c r="P113" s="78">
        <f>1.0375+0.05+0.1-4.8449</f>
        <v>-3.6574</v>
      </c>
      <c r="Q113" s="80">
        <f>2.5+3+1+6.3+7.1+5.57+7</f>
        <v>32.47</v>
      </c>
      <c r="R113" s="177">
        <f t="shared" si="60"/>
        <v>28.8126</v>
      </c>
      <c r="S113" s="82">
        <f t="shared" ref="S113:S127" si="104">SUM(O113:Q113)</f>
        <v>91</v>
      </c>
      <c r="T113" s="62">
        <f t="shared" si="61"/>
        <v>0</v>
      </c>
      <c r="U113" s="190">
        <f>196.7525+12.6796-88.4497</f>
        <v>120.98239999999998</v>
      </c>
      <c r="V113" s="194">
        <f t="shared" si="78"/>
        <v>-12.679600000000001</v>
      </c>
      <c r="W113" s="191">
        <f>6.3+5.3418+4.1801+4.7753+1</f>
        <v>21.597200000000001</v>
      </c>
      <c r="X113" s="191">
        <f t="shared" si="64"/>
        <v>8.9176000000000002</v>
      </c>
      <c r="Y113" s="198">
        <f t="shared" ref="Y113:Y127" si="105">SUM(U113:W113)</f>
        <v>129.89999999999998</v>
      </c>
      <c r="Z113" s="188">
        <f>Y113/Y112-1</f>
        <v>0</v>
      </c>
      <c r="AA113" s="80">
        <f>132.8496-54.8853</f>
        <v>77.964300000000009</v>
      </c>
      <c r="AB113" s="85">
        <f t="shared" si="81"/>
        <v>5.9657</v>
      </c>
      <c r="AC113" s="87">
        <f t="shared" ref="AC113:AC127" si="106">SUM(AA113:AB113)</f>
        <v>83.93</v>
      </c>
      <c r="AD113" s="171">
        <f t="shared" si="63"/>
        <v>0</v>
      </c>
      <c r="AE113" s="118">
        <f>159.9537+2.8342-27.7337</f>
        <v>135.05420000000001</v>
      </c>
      <c r="AF113" s="109">
        <f t="shared" si="66"/>
        <v>-2.8341999999999996</v>
      </c>
      <c r="AG113" s="110">
        <f>1+5.3+7.1+5.57+0.3</f>
        <v>19.27</v>
      </c>
      <c r="AH113" s="110">
        <f t="shared" si="88"/>
        <v>16.4358</v>
      </c>
      <c r="AI113" s="111">
        <f t="shared" si="89"/>
        <v>151.49</v>
      </c>
      <c r="AJ113" s="173">
        <f t="shared" si="92"/>
        <v>0</v>
      </c>
      <c r="AK113" s="115">
        <f>144.7853+11.8433+0.2608-121.3286</f>
        <v>35.5608</v>
      </c>
      <c r="AL113" s="107">
        <f>0.1-0.3608</f>
        <v>-0.26080000000000003</v>
      </c>
      <c r="AM113" s="107">
        <f>1+5.3+6.8+5.57+0.3</f>
        <v>18.970000000000002</v>
      </c>
      <c r="AN113" s="107">
        <f t="shared" si="90"/>
        <v>18.709200000000003</v>
      </c>
      <c r="AO113" s="108">
        <f t="shared" si="91"/>
        <v>54.27</v>
      </c>
      <c r="AP113" s="172">
        <f t="shared" si="94"/>
        <v>1.8426420540507138E-6</v>
      </c>
      <c r="AQ113" s="156"/>
      <c r="AR113" s="102"/>
      <c r="AS113" s="102"/>
      <c r="AT113" s="76"/>
      <c r="AU113" s="155"/>
      <c r="AV113" s="151"/>
    </row>
    <row r="114" spans="1:48" ht="15">
      <c r="A114" s="249">
        <v>41015</v>
      </c>
      <c r="B114" s="72">
        <v>169.92000000000002</v>
      </c>
      <c r="C114" s="80">
        <f>164.0325-39.6325</f>
        <v>124.4</v>
      </c>
      <c r="D114" s="80">
        <f t="shared" si="72"/>
        <v>21.930000000000003</v>
      </c>
      <c r="E114" s="80">
        <f>2.5+3+1+5.3+7.1+5.57</f>
        <v>24.47</v>
      </c>
      <c r="F114" s="80">
        <f t="shared" si="58"/>
        <v>46.400000000000006</v>
      </c>
      <c r="G114" s="77">
        <f t="shared" si="102"/>
        <v>170.8</v>
      </c>
      <c r="H114" s="62">
        <f t="shared" ref="H114:H177" si="107">G114/G113-1</f>
        <v>0</v>
      </c>
      <c r="I114" s="156">
        <f>159.4916-24.8529</f>
        <v>134.6387</v>
      </c>
      <c r="J114" s="102">
        <f>1.8+8+6+0.05+0.1-2.6987</f>
        <v>13.251300000000001</v>
      </c>
      <c r="K114" s="102">
        <f>2.5+3+1+5.3+7.1+5.57</f>
        <v>24.47</v>
      </c>
      <c r="L114" s="76">
        <f t="shared" si="98"/>
        <v>37.721299999999999</v>
      </c>
      <c r="M114" s="155">
        <f t="shared" si="103"/>
        <v>172.35999999999999</v>
      </c>
      <c r="N114" s="151">
        <f t="shared" si="59"/>
        <v>0</v>
      </c>
      <c r="O114" s="80">
        <f>160.9767+3.6574-102.4467</f>
        <v>62.187399999999982</v>
      </c>
      <c r="P114" s="78">
        <f>1.0375+0.05+0.1-4.8449</f>
        <v>-3.6574</v>
      </c>
      <c r="Q114" s="80">
        <f>2.5+3+1+6.3+7.1+5.57+7</f>
        <v>32.47</v>
      </c>
      <c r="R114" s="177">
        <f t="shared" si="60"/>
        <v>28.8126</v>
      </c>
      <c r="S114" s="82">
        <f t="shared" si="104"/>
        <v>90.999999999999972</v>
      </c>
      <c r="T114" s="62">
        <f t="shared" si="61"/>
        <v>0</v>
      </c>
      <c r="U114" s="190">
        <f>195.5745+12.6796-87.2717</f>
        <v>120.9824</v>
      </c>
      <c r="V114" s="194">
        <f t="shared" si="78"/>
        <v>-12.679600000000001</v>
      </c>
      <c r="W114" s="191">
        <f>6.3+5.3418+4.1801+4.7753+1</f>
        <v>21.597200000000001</v>
      </c>
      <c r="X114" s="191">
        <f t="shared" si="64"/>
        <v>8.9176000000000002</v>
      </c>
      <c r="Y114" s="198">
        <f t="shared" si="105"/>
        <v>129.89999999999998</v>
      </c>
      <c r="Z114" s="188">
        <f t="shared" ref="Z114:Z177" si="108">Y114/Y113-1</f>
        <v>0</v>
      </c>
      <c r="AA114" s="80">
        <f>133.4024-55.4381</f>
        <v>77.964300000000009</v>
      </c>
      <c r="AB114" s="85">
        <f t="shared" si="81"/>
        <v>5.9657</v>
      </c>
      <c r="AC114" s="87">
        <f t="shared" si="106"/>
        <v>83.93</v>
      </c>
      <c r="AD114" s="171">
        <f t="shared" si="63"/>
        <v>0</v>
      </c>
      <c r="AE114" s="118">
        <f>159.4916+2.8342-27.2716</f>
        <v>135.05420000000001</v>
      </c>
      <c r="AF114" s="109">
        <f t="shared" si="66"/>
        <v>-2.8341999999999996</v>
      </c>
      <c r="AG114" s="110">
        <f>1+5.3+7.1+5.57+0.3</f>
        <v>19.27</v>
      </c>
      <c r="AH114" s="110">
        <f t="shared" si="88"/>
        <v>16.4358</v>
      </c>
      <c r="AI114" s="111">
        <f t="shared" si="89"/>
        <v>151.49</v>
      </c>
      <c r="AJ114" s="173">
        <f t="shared" si="92"/>
        <v>0</v>
      </c>
      <c r="AK114" s="115">
        <f>158.5648+11.8433+0.2608-135.1081</f>
        <v>35.560799999999972</v>
      </c>
      <c r="AL114" s="107">
        <f>0.1-0.3608</f>
        <v>-0.26080000000000003</v>
      </c>
      <c r="AM114" s="107">
        <f>1+5.3+6.8+5.57+0.3</f>
        <v>18.970000000000002</v>
      </c>
      <c r="AN114" s="107">
        <f t="shared" si="90"/>
        <v>18.709200000000003</v>
      </c>
      <c r="AO114" s="108">
        <f t="shared" si="91"/>
        <v>54.269999999999975</v>
      </c>
      <c r="AP114" s="172">
        <f t="shared" si="94"/>
        <v>0</v>
      </c>
      <c r="AQ114" s="156"/>
      <c r="AR114" s="102"/>
      <c r="AS114" s="102"/>
      <c r="AT114" s="76"/>
      <c r="AU114" s="155"/>
      <c r="AV114" s="151"/>
    </row>
    <row r="115" spans="1:48" ht="15">
      <c r="A115" s="249">
        <v>41030</v>
      </c>
      <c r="B115" s="72">
        <v>170.67000000000002</v>
      </c>
      <c r="C115" s="80">
        <f>145.8369-21.4369</f>
        <v>124.4</v>
      </c>
      <c r="D115" s="80">
        <f t="shared" si="72"/>
        <v>21.930000000000003</v>
      </c>
      <c r="E115" s="80">
        <f t="shared" ref="E115:E134" si="109">2.5+3+1+5.3+7.1+5.57</f>
        <v>24.47</v>
      </c>
      <c r="F115" s="80">
        <f t="shared" si="58"/>
        <v>46.400000000000006</v>
      </c>
      <c r="G115" s="77">
        <f t="shared" si="102"/>
        <v>170.8</v>
      </c>
      <c r="H115" s="62">
        <f t="shared" si="107"/>
        <v>0</v>
      </c>
      <c r="I115" s="156">
        <f>157.8645-23.2258</f>
        <v>134.6387</v>
      </c>
      <c r="J115" s="102">
        <f t="shared" ref="J115:J124" si="110">1.8+8+6+0.05+0.1-2.6987</f>
        <v>13.251300000000001</v>
      </c>
      <c r="K115" s="102">
        <f t="shared" ref="K115:K124" si="111">2.5+3+1+5.3+7.1+5.57</f>
        <v>24.47</v>
      </c>
      <c r="L115" s="76">
        <f t="shared" si="98"/>
        <v>37.721299999999999</v>
      </c>
      <c r="M115" s="155">
        <f t="shared" si="103"/>
        <v>172.35999999999999</v>
      </c>
      <c r="N115" s="151">
        <f t="shared" si="59"/>
        <v>0</v>
      </c>
      <c r="O115" s="80">
        <f>158.7018+3.6574-100.1718</f>
        <v>62.187399999999982</v>
      </c>
      <c r="P115" s="78">
        <f t="shared" ref="P115:P137" si="112">1.0375+0.05+0.1-4.8449</f>
        <v>-3.6574</v>
      </c>
      <c r="Q115" s="80">
        <f t="shared" ref="Q115:Q131" si="113">2.5+3+1+6.3+7.1+5.57+7</f>
        <v>32.47</v>
      </c>
      <c r="R115" s="177">
        <f t="shared" si="60"/>
        <v>28.8126</v>
      </c>
      <c r="S115" s="82">
        <f t="shared" si="104"/>
        <v>90.999999999999972</v>
      </c>
      <c r="T115" s="62">
        <f t="shared" si="61"/>
        <v>0</v>
      </c>
      <c r="U115" s="190">
        <f>190.1129+12.6796-81.8101</f>
        <v>120.98239999999998</v>
      </c>
      <c r="V115" s="194">
        <f t="shared" si="78"/>
        <v>-12.679600000000001</v>
      </c>
      <c r="W115" s="191">
        <f t="shared" ref="W115:W131" si="114">6.3+5.3418+4.1801+4.7753+1</f>
        <v>21.597200000000001</v>
      </c>
      <c r="X115" s="191">
        <f t="shared" si="64"/>
        <v>8.9176000000000002</v>
      </c>
      <c r="Y115" s="198">
        <f t="shared" si="105"/>
        <v>129.89999999999998</v>
      </c>
      <c r="Z115" s="188">
        <f t="shared" si="108"/>
        <v>0</v>
      </c>
      <c r="AA115" s="80">
        <f>129.9328-51.9685</f>
        <v>77.96429999999998</v>
      </c>
      <c r="AB115" s="85">
        <f t="shared" si="81"/>
        <v>5.9657</v>
      </c>
      <c r="AC115" s="87">
        <f t="shared" si="106"/>
        <v>83.929999999999978</v>
      </c>
      <c r="AD115" s="171">
        <f t="shared" si="63"/>
        <v>0</v>
      </c>
      <c r="AE115" s="219">
        <f>157.8645+2.8342-25.6445</f>
        <v>135.05420000000001</v>
      </c>
      <c r="AF115" s="220">
        <f t="shared" si="66"/>
        <v>-2.8341999999999996</v>
      </c>
      <c r="AG115" s="221">
        <f t="shared" ref="AG115:AG131" si="115">1+5.3+7.1+5.57+0.3</f>
        <v>19.27</v>
      </c>
      <c r="AH115" s="221">
        <f t="shared" si="88"/>
        <v>16.4358</v>
      </c>
      <c r="AI115" s="222">
        <f t="shared" si="89"/>
        <v>151.49</v>
      </c>
      <c r="AJ115" s="173">
        <f t="shared" si="92"/>
        <v>0</v>
      </c>
      <c r="AK115" s="223">
        <f>140.9757+11.8433+0.2608-117.519</f>
        <v>35.560799999999972</v>
      </c>
      <c r="AL115" s="224">
        <f t="shared" ref="AL115:AL131" si="116">0.1-0.3608</f>
        <v>-0.26080000000000003</v>
      </c>
      <c r="AM115" s="224">
        <f t="shared" ref="AM115:AM131" si="117">1+5.3+6.8+5.57+0.3</f>
        <v>18.970000000000002</v>
      </c>
      <c r="AN115" s="224">
        <f t="shared" si="90"/>
        <v>18.709200000000003</v>
      </c>
      <c r="AO115" s="225">
        <f t="shared" si="91"/>
        <v>54.269999999999975</v>
      </c>
      <c r="AP115" s="172">
        <f t="shared" si="94"/>
        <v>0</v>
      </c>
      <c r="AQ115" s="156"/>
      <c r="AR115" s="102"/>
      <c r="AS115" s="102"/>
      <c r="AT115" s="76"/>
      <c r="AU115" s="155"/>
      <c r="AV115" s="151"/>
    </row>
    <row r="116" spans="1:48" ht="15">
      <c r="A116" s="249">
        <v>41045</v>
      </c>
      <c r="B116" s="72">
        <v>170.94</v>
      </c>
      <c r="C116" s="80">
        <f>146.7236-22.3236</f>
        <v>124.4</v>
      </c>
      <c r="D116" s="80">
        <f t="shared" si="72"/>
        <v>21.930000000000003</v>
      </c>
      <c r="E116" s="80">
        <f t="shared" si="109"/>
        <v>24.47</v>
      </c>
      <c r="F116" s="80">
        <f t="shared" si="58"/>
        <v>46.400000000000006</v>
      </c>
      <c r="G116" s="77">
        <f t="shared" si="102"/>
        <v>170.8</v>
      </c>
      <c r="H116" s="62">
        <f t="shared" si="107"/>
        <v>0</v>
      </c>
      <c r="I116" s="156">
        <f>155.4189-20.7802</f>
        <v>134.6387</v>
      </c>
      <c r="J116" s="102">
        <f t="shared" si="110"/>
        <v>13.251300000000001</v>
      </c>
      <c r="K116" s="102">
        <f t="shared" si="111"/>
        <v>24.47</v>
      </c>
      <c r="L116" s="76">
        <f t="shared" si="98"/>
        <v>37.721299999999999</v>
      </c>
      <c r="M116" s="155">
        <f t="shared" si="103"/>
        <v>172.35999999999999</v>
      </c>
      <c r="N116" s="151">
        <f t="shared" si="59"/>
        <v>0</v>
      </c>
      <c r="O116" s="80">
        <f>156.218+3.6574-97.688</f>
        <v>62.187399999999982</v>
      </c>
      <c r="P116" s="78">
        <f t="shared" si="112"/>
        <v>-3.6574</v>
      </c>
      <c r="Q116" s="80">
        <f t="shared" si="113"/>
        <v>32.47</v>
      </c>
      <c r="R116" s="177">
        <f t="shared" si="60"/>
        <v>28.8126</v>
      </c>
      <c r="S116" s="82">
        <f t="shared" si="104"/>
        <v>90.999999999999972</v>
      </c>
      <c r="T116" s="62">
        <f t="shared" si="61"/>
        <v>0</v>
      </c>
      <c r="U116" s="190">
        <f>175.3643+12.6796-67.0615</f>
        <v>120.98239999999998</v>
      </c>
      <c r="V116" s="194">
        <f t="shared" si="78"/>
        <v>-12.679600000000001</v>
      </c>
      <c r="W116" s="191">
        <f t="shared" si="114"/>
        <v>21.597200000000001</v>
      </c>
      <c r="X116" s="191">
        <f t="shared" si="64"/>
        <v>8.9176000000000002</v>
      </c>
      <c r="Y116" s="198">
        <f t="shared" si="105"/>
        <v>129.89999999999998</v>
      </c>
      <c r="Z116" s="188">
        <f t="shared" si="108"/>
        <v>0</v>
      </c>
      <c r="AA116" s="80">
        <f>125.2778-47.3135</f>
        <v>77.964300000000009</v>
      </c>
      <c r="AB116" s="85">
        <f t="shared" si="81"/>
        <v>5.9657</v>
      </c>
      <c r="AC116" s="87">
        <f t="shared" si="106"/>
        <v>83.93</v>
      </c>
      <c r="AD116" s="171">
        <f t="shared" si="63"/>
        <v>0</v>
      </c>
      <c r="AE116" s="219">
        <f>155.4189+2.8342-23.1989</f>
        <v>135.05420000000001</v>
      </c>
      <c r="AF116" s="220">
        <f t="shared" si="66"/>
        <v>-2.8341999999999996</v>
      </c>
      <c r="AG116" s="221">
        <f t="shared" si="115"/>
        <v>19.27</v>
      </c>
      <c r="AH116" s="221">
        <f t="shared" si="88"/>
        <v>16.4358</v>
      </c>
      <c r="AI116" s="222">
        <f t="shared" si="89"/>
        <v>151.49</v>
      </c>
      <c r="AJ116" s="173">
        <f t="shared" si="92"/>
        <v>0</v>
      </c>
      <c r="AK116" s="223">
        <f>141.8329+11.8433+0.2608-118.3762</f>
        <v>35.560799999999986</v>
      </c>
      <c r="AL116" s="224">
        <f t="shared" si="116"/>
        <v>-0.26080000000000003</v>
      </c>
      <c r="AM116" s="224">
        <f t="shared" si="117"/>
        <v>18.970000000000002</v>
      </c>
      <c r="AN116" s="224">
        <f t="shared" si="90"/>
        <v>18.709200000000003</v>
      </c>
      <c r="AO116" s="225">
        <f t="shared" si="91"/>
        <v>54.269999999999989</v>
      </c>
      <c r="AP116" s="172">
        <f t="shared" si="94"/>
        <v>0</v>
      </c>
      <c r="AQ116" s="156"/>
      <c r="AR116" s="102"/>
      <c r="AS116" s="102"/>
      <c r="AT116" s="76"/>
      <c r="AU116" s="155"/>
      <c r="AV116" s="151"/>
    </row>
    <row r="117" spans="1:48" ht="15">
      <c r="A117" s="249">
        <v>41061</v>
      </c>
      <c r="B117" s="72">
        <v>173.31</v>
      </c>
      <c r="C117" s="80">
        <f>142.6607-18.2607</f>
        <v>124.39999999999999</v>
      </c>
      <c r="D117" s="80">
        <f t="shared" si="72"/>
        <v>21.930000000000003</v>
      </c>
      <c r="E117" s="80">
        <f t="shared" si="109"/>
        <v>24.47</v>
      </c>
      <c r="F117" s="80">
        <f t="shared" si="58"/>
        <v>46.400000000000006</v>
      </c>
      <c r="G117" s="77">
        <f t="shared" si="102"/>
        <v>170.79999999999998</v>
      </c>
      <c r="H117" s="62">
        <f t="shared" si="107"/>
        <v>0</v>
      </c>
      <c r="I117" s="156">
        <f>148.9919-14.3532</f>
        <v>134.6387</v>
      </c>
      <c r="J117" s="102">
        <f t="shared" si="110"/>
        <v>13.251300000000001</v>
      </c>
      <c r="K117" s="102">
        <f t="shared" si="111"/>
        <v>24.47</v>
      </c>
      <c r="L117" s="76">
        <f t="shared" si="98"/>
        <v>37.721299999999999</v>
      </c>
      <c r="M117" s="155">
        <f t="shared" si="103"/>
        <v>172.35999999999999</v>
      </c>
      <c r="N117" s="151">
        <f t="shared" si="59"/>
        <v>0</v>
      </c>
      <c r="O117" s="80">
        <f>150.844+3.6574-92.314</f>
        <v>62.187399999999997</v>
      </c>
      <c r="P117" s="78">
        <f t="shared" si="112"/>
        <v>-3.6574</v>
      </c>
      <c r="Q117" s="80">
        <f t="shared" si="113"/>
        <v>32.47</v>
      </c>
      <c r="R117" s="177">
        <f t="shared" si="60"/>
        <v>28.8126</v>
      </c>
      <c r="S117" s="82">
        <f t="shared" si="104"/>
        <v>91</v>
      </c>
      <c r="T117" s="62">
        <f t="shared" si="61"/>
        <v>0</v>
      </c>
      <c r="U117" s="190">
        <f>158.2677+12.6796-49.965</f>
        <v>120.98229999999998</v>
      </c>
      <c r="V117" s="194">
        <f t="shared" si="78"/>
        <v>-12.679600000000001</v>
      </c>
      <c r="W117" s="191">
        <f t="shared" si="114"/>
        <v>21.597200000000001</v>
      </c>
      <c r="X117" s="191">
        <f t="shared" si="64"/>
        <v>8.9176000000000002</v>
      </c>
      <c r="Y117" s="198">
        <f t="shared" si="105"/>
        <v>129.8999</v>
      </c>
      <c r="Z117" s="188">
        <f t="shared" si="108"/>
        <v>-7.6982294050509381E-7</v>
      </c>
      <c r="AA117" s="80">
        <f>119.2078-41.2435</f>
        <v>77.964300000000009</v>
      </c>
      <c r="AB117" s="85">
        <f t="shared" si="81"/>
        <v>5.9657</v>
      </c>
      <c r="AC117" s="87">
        <f t="shared" si="106"/>
        <v>83.93</v>
      </c>
      <c r="AD117" s="171">
        <f t="shared" si="63"/>
        <v>0</v>
      </c>
      <c r="AE117" s="219">
        <f>148.9919+2.8342-16.7719</f>
        <v>135.05420000000001</v>
      </c>
      <c r="AF117" s="220">
        <f t="shared" si="66"/>
        <v>-2.8341999999999996</v>
      </c>
      <c r="AG117" s="221">
        <f t="shared" si="115"/>
        <v>19.27</v>
      </c>
      <c r="AH117" s="221">
        <f t="shared" si="88"/>
        <v>16.4358</v>
      </c>
      <c r="AI117" s="222">
        <f t="shared" si="89"/>
        <v>151.49</v>
      </c>
      <c r="AJ117" s="173">
        <f t="shared" si="92"/>
        <v>0</v>
      </c>
      <c r="AK117" s="223">
        <f>137.905325844141+11.8433333333333+0.2608-114.4487</f>
        <v>35.560759177474296</v>
      </c>
      <c r="AL117" s="224">
        <f t="shared" si="116"/>
        <v>-0.26080000000000003</v>
      </c>
      <c r="AM117" s="224">
        <f t="shared" si="117"/>
        <v>18.970000000000002</v>
      </c>
      <c r="AN117" s="224">
        <f t="shared" si="90"/>
        <v>18.709200000000003</v>
      </c>
      <c r="AO117" s="225">
        <f t="shared" si="91"/>
        <v>54.269959177474298</v>
      </c>
      <c r="AP117" s="172">
        <f t="shared" si="94"/>
        <v>-7.5221163975403016E-7</v>
      </c>
      <c r="AQ117" s="156"/>
      <c r="AR117" s="102"/>
      <c r="AS117" s="102"/>
      <c r="AT117" s="76"/>
      <c r="AU117" s="155"/>
      <c r="AV117" s="151"/>
    </row>
    <row r="118" spans="1:48" ht="15">
      <c r="A118" s="249">
        <v>41076</v>
      </c>
      <c r="B118" s="72">
        <v>182.95</v>
      </c>
      <c r="C118" s="80">
        <f>144.3939-19.9939</f>
        <v>124.4</v>
      </c>
      <c r="D118" s="80">
        <f t="shared" si="72"/>
        <v>21.930000000000003</v>
      </c>
      <c r="E118" s="80">
        <f t="shared" si="109"/>
        <v>24.47</v>
      </c>
      <c r="F118" s="80">
        <f t="shared" si="58"/>
        <v>46.400000000000006</v>
      </c>
      <c r="G118" s="77">
        <f t="shared" si="102"/>
        <v>170.8</v>
      </c>
      <c r="H118" s="62">
        <f t="shared" si="107"/>
        <v>0</v>
      </c>
      <c r="I118" s="156">
        <f>149.6565-15.0178</f>
        <v>134.6387</v>
      </c>
      <c r="J118" s="102">
        <f t="shared" si="110"/>
        <v>13.251300000000001</v>
      </c>
      <c r="K118" s="102">
        <f t="shared" si="111"/>
        <v>24.47</v>
      </c>
      <c r="L118" s="76">
        <f t="shared" si="98"/>
        <v>37.721299999999999</v>
      </c>
      <c r="M118" s="155">
        <f t="shared" si="103"/>
        <v>172.35999999999999</v>
      </c>
      <c r="N118" s="151">
        <f t="shared" si="59"/>
        <v>0</v>
      </c>
      <c r="O118" s="80">
        <f>150.2884+3.6574-91.7584</f>
        <v>62.187399999999997</v>
      </c>
      <c r="P118" s="78">
        <f t="shared" si="112"/>
        <v>-3.6574</v>
      </c>
      <c r="Q118" s="80">
        <f t="shared" si="113"/>
        <v>32.47</v>
      </c>
      <c r="R118" s="177">
        <f t="shared" si="60"/>
        <v>28.8126</v>
      </c>
      <c r="S118" s="82">
        <f t="shared" si="104"/>
        <v>91</v>
      </c>
      <c r="T118" s="62">
        <f t="shared" si="61"/>
        <v>0</v>
      </c>
      <c r="U118" s="231">
        <f>145.9607+12.6796-37.658</f>
        <v>120.9823</v>
      </c>
      <c r="V118" s="194">
        <f t="shared" si="78"/>
        <v>-12.679600000000001</v>
      </c>
      <c r="W118" s="191">
        <f t="shared" si="114"/>
        <v>21.597200000000001</v>
      </c>
      <c r="X118" s="191">
        <f t="shared" si="64"/>
        <v>8.9176000000000002</v>
      </c>
      <c r="Y118" s="198">
        <f t="shared" si="105"/>
        <v>129.8999</v>
      </c>
      <c r="Z118" s="188">
        <f t="shared" si="108"/>
        <v>0</v>
      </c>
      <c r="AA118" s="80">
        <f>119.5334-41.5691</f>
        <v>77.964300000000009</v>
      </c>
      <c r="AB118" s="85">
        <f t="shared" si="81"/>
        <v>5.9657</v>
      </c>
      <c r="AC118" s="87">
        <f t="shared" si="106"/>
        <v>83.93</v>
      </c>
      <c r="AD118" s="171">
        <f t="shared" si="63"/>
        <v>0</v>
      </c>
      <c r="AE118" s="219">
        <f>149.6565+2.8342-17.4365</f>
        <v>135.05420000000001</v>
      </c>
      <c r="AF118" s="220">
        <f t="shared" si="66"/>
        <v>-2.8341999999999996</v>
      </c>
      <c r="AG118" s="221">
        <f t="shared" si="115"/>
        <v>19.27</v>
      </c>
      <c r="AH118" s="221">
        <f t="shared" si="88"/>
        <v>16.4358</v>
      </c>
      <c r="AI118" s="222">
        <f t="shared" si="89"/>
        <v>151.49</v>
      </c>
      <c r="AJ118" s="173">
        <f t="shared" si="92"/>
        <v>0</v>
      </c>
      <c r="AK118" s="230">
        <f>139.5808+11.8433+0.2608-116.1241</f>
        <v>35.5608</v>
      </c>
      <c r="AL118" s="224">
        <f t="shared" si="116"/>
        <v>-0.26080000000000003</v>
      </c>
      <c r="AM118" s="224">
        <f t="shared" si="117"/>
        <v>18.970000000000002</v>
      </c>
      <c r="AN118" s="224">
        <f t="shared" si="90"/>
        <v>18.709200000000003</v>
      </c>
      <c r="AO118" s="225">
        <f t="shared" si="91"/>
        <v>54.27</v>
      </c>
      <c r="AP118" s="172">
        <f t="shared" si="94"/>
        <v>7.5221220585675042E-7</v>
      </c>
      <c r="AQ118" s="156"/>
      <c r="AR118" s="102"/>
      <c r="AS118" s="102"/>
      <c r="AT118" s="76"/>
      <c r="AU118" s="155"/>
      <c r="AV118" s="151"/>
    </row>
    <row r="119" spans="1:48" ht="15">
      <c r="A119" s="249">
        <v>41091</v>
      </c>
      <c r="B119" s="72">
        <v>187.01000000000002</v>
      </c>
      <c r="C119" s="80">
        <f>142.5341-18.1341</f>
        <v>124.39999999999999</v>
      </c>
      <c r="D119" s="80">
        <f t="shared" si="72"/>
        <v>21.930000000000003</v>
      </c>
      <c r="E119" s="80">
        <f t="shared" si="109"/>
        <v>24.47</v>
      </c>
      <c r="F119" s="80">
        <f t="shared" si="58"/>
        <v>46.400000000000006</v>
      </c>
      <c r="G119" s="77">
        <f t="shared" si="102"/>
        <v>170.79999999999998</v>
      </c>
      <c r="H119" s="62">
        <f t="shared" si="107"/>
        <v>0</v>
      </c>
      <c r="I119" s="156">
        <f>147.5842-12.9455</f>
        <v>134.6387</v>
      </c>
      <c r="J119" s="102">
        <f t="shared" si="110"/>
        <v>13.251300000000001</v>
      </c>
      <c r="K119" s="102">
        <f t="shared" si="111"/>
        <v>24.47</v>
      </c>
      <c r="L119" s="76">
        <f t="shared" si="98"/>
        <v>37.721299999999999</v>
      </c>
      <c r="M119" s="155">
        <f t="shared" si="103"/>
        <v>172.35999999999999</v>
      </c>
      <c r="N119" s="151">
        <f t="shared" si="59"/>
        <v>0</v>
      </c>
      <c r="O119" s="80">
        <f>146.8899+3.6574-88.3599</f>
        <v>62.187400000000011</v>
      </c>
      <c r="P119" s="78">
        <f t="shared" si="112"/>
        <v>-3.6574</v>
      </c>
      <c r="Q119" s="80">
        <f t="shared" si="113"/>
        <v>32.47</v>
      </c>
      <c r="R119" s="177">
        <f t="shared" si="60"/>
        <v>28.8126</v>
      </c>
      <c r="S119" s="82">
        <f t="shared" si="104"/>
        <v>91</v>
      </c>
      <c r="T119" s="62">
        <f t="shared" si="61"/>
        <v>0</v>
      </c>
      <c r="U119" s="231">
        <f>136.287+12.6796-27.9842</f>
        <v>120.9824</v>
      </c>
      <c r="V119" s="194">
        <f t="shared" si="78"/>
        <v>-12.679600000000001</v>
      </c>
      <c r="W119" s="191">
        <f t="shared" si="114"/>
        <v>21.597200000000001</v>
      </c>
      <c r="X119" s="191">
        <f t="shared" si="64"/>
        <v>8.9176000000000002</v>
      </c>
      <c r="Y119" s="198">
        <f t="shared" si="105"/>
        <v>129.89999999999998</v>
      </c>
      <c r="Z119" s="188">
        <f t="shared" si="108"/>
        <v>7.6982353314214436E-7</v>
      </c>
      <c r="AA119" s="80">
        <f>116.2192-38.2549</f>
        <v>77.964300000000009</v>
      </c>
      <c r="AB119" s="85">
        <f t="shared" si="81"/>
        <v>5.9657</v>
      </c>
      <c r="AC119" s="87">
        <f t="shared" si="106"/>
        <v>83.93</v>
      </c>
      <c r="AD119" s="171">
        <f t="shared" si="63"/>
        <v>0</v>
      </c>
      <c r="AE119" s="219">
        <f>147.5842+2.8342-15.3642</f>
        <v>135.05420000000001</v>
      </c>
      <c r="AF119" s="220">
        <f t="shared" si="66"/>
        <v>-2.8341999999999996</v>
      </c>
      <c r="AG119" s="221">
        <f t="shared" si="115"/>
        <v>19.27</v>
      </c>
      <c r="AH119" s="221">
        <f t="shared" si="88"/>
        <v>16.4358</v>
      </c>
      <c r="AI119" s="222">
        <f t="shared" si="89"/>
        <v>151.49</v>
      </c>
      <c r="AJ119" s="173">
        <f t="shared" si="92"/>
        <v>0</v>
      </c>
      <c r="AK119" s="229">
        <f>137.78294+11.84334+0.26082-114.3263</f>
        <v>35.5608</v>
      </c>
      <c r="AL119" s="224">
        <f t="shared" si="116"/>
        <v>-0.26080000000000003</v>
      </c>
      <c r="AM119" s="224">
        <f t="shared" si="117"/>
        <v>18.970000000000002</v>
      </c>
      <c r="AN119" s="224">
        <f t="shared" si="90"/>
        <v>18.709200000000003</v>
      </c>
      <c r="AO119" s="225">
        <f t="shared" si="91"/>
        <v>54.27</v>
      </c>
      <c r="AP119" s="172">
        <f t="shared" si="94"/>
        <v>0</v>
      </c>
      <c r="AQ119" s="156"/>
      <c r="AR119" s="102"/>
      <c r="AS119" s="102"/>
      <c r="AT119" s="76"/>
      <c r="AU119" s="155"/>
      <c r="AV119" s="151"/>
    </row>
    <row r="120" spans="1:48" ht="15">
      <c r="A120" s="249">
        <v>41106</v>
      </c>
      <c r="B120" s="72">
        <v>187.64000000000001</v>
      </c>
      <c r="C120" s="80">
        <f>147.933-23.533</f>
        <v>124.39999999999999</v>
      </c>
      <c r="D120" s="80">
        <f t="shared" si="72"/>
        <v>21.930000000000003</v>
      </c>
      <c r="E120" s="80">
        <f t="shared" si="109"/>
        <v>24.47</v>
      </c>
      <c r="F120" s="80">
        <f t="shared" si="58"/>
        <v>46.400000000000006</v>
      </c>
      <c r="G120" s="77">
        <v>170.79999999999998</v>
      </c>
      <c r="H120" s="62">
        <f t="shared" si="107"/>
        <v>0</v>
      </c>
      <c r="I120" s="156">
        <f>151.6646-17.0259</f>
        <v>134.6387</v>
      </c>
      <c r="J120" s="102">
        <f t="shared" si="110"/>
        <v>13.251300000000001</v>
      </c>
      <c r="K120" s="102">
        <f t="shared" si="111"/>
        <v>24.47</v>
      </c>
      <c r="L120" s="76">
        <f t="shared" si="98"/>
        <v>37.721299999999999</v>
      </c>
      <c r="M120" s="155">
        <f t="shared" si="103"/>
        <v>172.35999999999999</v>
      </c>
      <c r="N120" s="151">
        <f t="shared" si="59"/>
        <v>0</v>
      </c>
      <c r="O120" s="80">
        <f>151.7996+3.6574-93.2696</f>
        <v>62.187399999999997</v>
      </c>
      <c r="P120" s="78">
        <f t="shared" si="112"/>
        <v>-3.6574</v>
      </c>
      <c r="Q120" s="80">
        <f t="shared" si="113"/>
        <v>32.47</v>
      </c>
      <c r="R120" s="177">
        <f t="shared" si="60"/>
        <v>28.8126</v>
      </c>
      <c r="S120" s="82">
        <f t="shared" si="104"/>
        <v>91</v>
      </c>
      <c r="T120" s="62">
        <f t="shared" si="61"/>
        <v>0</v>
      </c>
      <c r="U120" s="231">
        <f>151.8402+12.6796-43.5374</f>
        <v>120.98240000000001</v>
      </c>
      <c r="V120" s="194">
        <f t="shared" si="78"/>
        <v>-12.679600000000001</v>
      </c>
      <c r="W120" s="191">
        <f t="shared" si="114"/>
        <v>21.597200000000001</v>
      </c>
      <c r="X120" s="191">
        <f t="shared" si="64"/>
        <v>8.9176000000000002</v>
      </c>
      <c r="Y120" s="198">
        <f t="shared" si="105"/>
        <v>129.90000000000003</v>
      </c>
      <c r="Z120" s="188">
        <f t="shared" si="108"/>
        <v>0</v>
      </c>
      <c r="AA120" s="80">
        <f>119.9709-42.0066</f>
        <v>77.964300000000009</v>
      </c>
      <c r="AB120" s="85">
        <f t="shared" si="81"/>
        <v>5.9657</v>
      </c>
      <c r="AC120" s="87">
        <f t="shared" si="106"/>
        <v>83.93</v>
      </c>
      <c r="AD120" s="171">
        <f t="shared" si="63"/>
        <v>0</v>
      </c>
      <c r="AE120" s="219">
        <f>151.6646+2.8342-19.4446</f>
        <v>135.05420000000001</v>
      </c>
      <c r="AF120" s="220">
        <f t="shared" si="66"/>
        <v>-2.8341999999999996</v>
      </c>
      <c r="AG120" s="221">
        <f t="shared" si="115"/>
        <v>19.27</v>
      </c>
      <c r="AH120" s="221">
        <f t="shared" si="88"/>
        <v>16.4358</v>
      </c>
      <c r="AI120" s="222">
        <f t="shared" si="89"/>
        <v>151.49</v>
      </c>
      <c r="AJ120" s="173">
        <f t="shared" si="92"/>
        <v>0</v>
      </c>
      <c r="AK120" s="230">
        <f>143.00214+11.84334+0.26082-119.5455</f>
        <v>35.5608</v>
      </c>
      <c r="AL120" s="224">
        <f t="shared" si="116"/>
        <v>-0.26080000000000003</v>
      </c>
      <c r="AM120" s="224">
        <f t="shared" si="117"/>
        <v>18.970000000000002</v>
      </c>
      <c r="AN120" s="224">
        <f t="shared" si="90"/>
        <v>18.709200000000003</v>
      </c>
      <c r="AO120" s="225">
        <f t="shared" si="91"/>
        <v>54.27</v>
      </c>
      <c r="AP120" s="172">
        <f t="shared" si="94"/>
        <v>0</v>
      </c>
      <c r="AQ120" s="156"/>
      <c r="AR120" s="102"/>
      <c r="AS120" s="102"/>
      <c r="AT120" s="76"/>
      <c r="AU120" s="155"/>
      <c r="AV120" s="151"/>
    </row>
    <row r="121" spans="1:48" ht="15">
      <c r="A121" s="249">
        <v>41122</v>
      </c>
      <c r="B121" s="72">
        <v>188.43</v>
      </c>
      <c r="C121" s="73">
        <f>153.1074-28.7074</f>
        <v>124.4</v>
      </c>
      <c r="D121" s="80">
        <f t="shared" si="72"/>
        <v>21.930000000000003</v>
      </c>
      <c r="E121" s="80">
        <f t="shared" si="109"/>
        <v>24.47</v>
      </c>
      <c r="F121" s="80">
        <f t="shared" si="58"/>
        <v>46.400000000000006</v>
      </c>
      <c r="G121" s="77">
        <v>170.8</v>
      </c>
      <c r="H121" s="43">
        <f t="shared" si="107"/>
        <v>0</v>
      </c>
      <c r="I121" s="76">
        <f>157.6063-22.9676</f>
        <v>134.6387</v>
      </c>
      <c r="J121" s="102">
        <f t="shared" si="110"/>
        <v>13.251300000000001</v>
      </c>
      <c r="K121" s="102">
        <f t="shared" si="111"/>
        <v>24.47</v>
      </c>
      <c r="L121" s="76">
        <f t="shared" si="98"/>
        <v>37.721299999999999</v>
      </c>
      <c r="M121" s="155">
        <f t="shared" si="103"/>
        <v>172.35999999999999</v>
      </c>
      <c r="N121" s="151">
        <f t="shared" si="59"/>
        <v>0</v>
      </c>
      <c r="O121" s="80">
        <f>159.6032+3.6574-101.0732</f>
        <v>62.187399999999982</v>
      </c>
      <c r="P121" s="78">
        <f t="shared" si="112"/>
        <v>-3.6574</v>
      </c>
      <c r="Q121" s="80">
        <f t="shared" si="113"/>
        <v>32.47</v>
      </c>
      <c r="R121" s="177">
        <f t="shared" si="60"/>
        <v>28.8126</v>
      </c>
      <c r="S121" s="82">
        <f t="shared" si="104"/>
        <v>90.999999999999972</v>
      </c>
      <c r="T121" s="62">
        <f t="shared" si="61"/>
        <v>0</v>
      </c>
      <c r="U121" s="231">
        <f>165.88534+12.67964-57.5826</f>
        <v>120.98238000000002</v>
      </c>
      <c r="V121" s="194">
        <f t="shared" si="78"/>
        <v>-12.679600000000001</v>
      </c>
      <c r="W121" s="191">
        <f t="shared" si="114"/>
        <v>21.597200000000001</v>
      </c>
      <c r="X121" s="191">
        <f t="shared" si="64"/>
        <v>8.9176000000000002</v>
      </c>
      <c r="Y121" s="198">
        <f t="shared" si="105"/>
        <v>129.89998000000003</v>
      </c>
      <c r="Z121" s="188">
        <f t="shared" si="108"/>
        <v>-1.539645881898366E-7</v>
      </c>
      <c r="AA121" s="80">
        <f>126.1275-48.1632</f>
        <v>77.964299999999994</v>
      </c>
      <c r="AB121" s="85">
        <f t="shared" si="81"/>
        <v>5.9657</v>
      </c>
      <c r="AC121" s="87">
        <f t="shared" si="106"/>
        <v>83.929999999999993</v>
      </c>
      <c r="AD121" s="86">
        <f t="shared" si="63"/>
        <v>0</v>
      </c>
      <c r="AE121" s="228">
        <f>157.6063+2.8342-25.3863</f>
        <v>135.05420000000001</v>
      </c>
      <c r="AF121" s="220">
        <f t="shared" si="66"/>
        <v>-2.8341999999999996</v>
      </c>
      <c r="AG121" s="221">
        <f t="shared" si="115"/>
        <v>19.27</v>
      </c>
      <c r="AH121" s="221">
        <f t="shared" si="88"/>
        <v>16.4358</v>
      </c>
      <c r="AI121" s="222">
        <f t="shared" si="89"/>
        <v>151.49</v>
      </c>
      <c r="AJ121" s="173">
        <f t="shared" si="92"/>
        <v>0</v>
      </c>
      <c r="AK121" s="230">
        <f>148.0038+11.8433+0.2608-124.5471</f>
        <v>35.5608</v>
      </c>
      <c r="AL121" s="224">
        <f t="shared" si="116"/>
        <v>-0.26080000000000003</v>
      </c>
      <c r="AM121" s="224">
        <f t="shared" si="117"/>
        <v>18.970000000000002</v>
      </c>
      <c r="AN121" s="224">
        <f t="shared" si="90"/>
        <v>18.709200000000003</v>
      </c>
      <c r="AO121" s="225">
        <f t="shared" si="91"/>
        <v>54.27</v>
      </c>
      <c r="AP121" s="172">
        <f t="shared" si="94"/>
        <v>0</v>
      </c>
      <c r="AQ121" s="76"/>
      <c r="AR121" s="102"/>
      <c r="AS121" s="102"/>
      <c r="AT121" s="76"/>
      <c r="AU121" s="155"/>
      <c r="AV121" s="151"/>
    </row>
    <row r="122" spans="1:48" ht="15">
      <c r="A122" s="249">
        <v>41137</v>
      </c>
      <c r="B122" s="72">
        <v>188.76</v>
      </c>
      <c r="C122" s="73">
        <f>159.2705-34.8705</f>
        <v>124.4</v>
      </c>
      <c r="D122" s="80">
        <f t="shared" si="72"/>
        <v>21.930000000000003</v>
      </c>
      <c r="E122" s="80">
        <f t="shared" si="109"/>
        <v>24.47</v>
      </c>
      <c r="F122" s="80">
        <f t="shared" si="58"/>
        <v>46.400000000000006</v>
      </c>
      <c r="G122" s="77">
        <f t="shared" ref="G122:G127" si="118">SUM(C122:E122)</f>
        <v>170.8</v>
      </c>
      <c r="H122" s="43">
        <f t="shared" si="107"/>
        <v>0</v>
      </c>
      <c r="I122" s="76">
        <f>163.1981-28.5594</f>
        <v>134.6387</v>
      </c>
      <c r="J122" s="102">
        <f t="shared" si="110"/>
        <v>13.251300000000001</v>
      </c>
      <c r="K122" s="102">
        <f t="shared" si="111"/>
        <v>24.47</v>
      </c>
      <c r="L122" s="76">
        <f t="shared" si="98"/>
        <v>37.721299999999999</v>
      </c>
      <c r="M122" s="155">
        <f t="shared" si="103"/>
        <v>172.35999999999999</v>
      </c>
      <c r="N122" s="151">
        <f t="shared" si="59"/>
        <v>0</v>
      </c>
      <c r="O122" s="80">
        <f>166.4303+3.6574-107.9003</f>
        <v>62.187399999999982</v>
      </c>
      <c r="P122" s="78">
        <f t="shared" si="112"/>
        <v>-3.6574</v>
      </c>
      <c r="Q122" s="80">
        <f t="shared" si="113"/>
        <v>32.47</v>
      </c>
      <c r="R122" s="177">
        <f t="shared" si="60"/>
        <v>28.8126</v>
      </c>
      <c r="S122" s="82">
        <f t="shared" si="104"/>
        <v>90.999999999999972</v>
      </c>
      <c r="T122" s="62">
        <f t="shared" si="61"/>
        <v>0</v>
      </c>
      <c r="U122" s="231">
        <f>179.7767+12.6796-71.474</f>
        <v>120.9823</v>
      </c>
      <c r="V122" s="194">
        <f t="shared" si="78"/>
        <v>-12.679600000000001</v>
      </c>
      <c r="W122" s="191">
        <f t="shared" si="114"/>
        <v>21.597200000000001</v>
      </c>
      <c r="X122" s="191">
        <f t="shared" si="64"/>
        <v>8.9176000000000002</v>
      </c>
      <c r="Y122" s="198">
        <f t="shared" si="105"/>
        <v>129.8999</v>
      </c>
      <c r="Z122" s="188">
        <f t="shared" si="108"/>
        <v>-6.1585844757239272E-7</v>
      </c>
      <c r="AA122" s="80">
        <f>131.4802-53.5159</f>
        <v>77.964299999999994</v>
      </c>
      <c r="AB122" s="85">
        <f t="shared" si="81"/>
        <v>5.9657</v>
      </c>
      <c r="AC122" s="87">
        <f t="shared" si="106"/>
        <v>83.929999999999993</v>
      </c>
      <c r="AD122" s="172">
        <f t="shared" si="63"/>
        <v>0</v>
      </c>
      <c r="AE122" s="228">
        <f>163.1981+2.8342-30.9781</f>
        <v>135.05420000000001</v>
      </c>
      <c r="AF122" s="220">
        <f t="shared" si="66"/>
        <v>-2.8341999999999996</v>
      </c>
      <c r="AG122" s="221">
        <f t="shared" si="115"/>
        <v>19.27</v>
      </c>
      <c r="AH122" s="221">
        <f t="shared" si="88"/>
        <v>16.4358</v>
      </c>
      <c r="AI122" s="222">
        <f t="shared" si="89"/>
        <v>151.49</v>
      </c>
      <c r="AJ122" s="173">
        <f t="shared" si="92"/>
        <v>0</v>
      </c>
      <c r="AK122" s="230">
        <f>153.9615+11.8433+0.2608-130.5048</f>
        <v>35.5608</v>
      </c>
      <c r="AL122" s="224">
        <f t="shared" si="116"/>
        <v>-0.26080000000000003</v>
      </c>
      <c r="AM122" s="224">
        <f t="shared" si="117"/>
        <v>18.970000000000002</v>
      </c>
      <c r="AN122" s="224">
        <f t="shared" si="90"/>
        <v>18.709200000000003</v>
      </c>
      <c r="AO122" s="225">
        <f t="shared" si="91"/>
        <v>54.27</v>
      </c>
      <c r="AP122" s="172">
        <f t="shared" si="94"/>
        <v>0</v>
      </c>
      <c r="AQ122" s="76"/>
      <c r="AR122" s="102"/>
      <c r="AS122" s="102"/>
      <c r="AT122" s="76"/>
      <c r="AU122" s="155"/>
      <c r="AV122" s="151"/>
    </row>
    <row r="123" spans="1:48" ht="15">
      <c r="A123" s="249">
        <v>41153</v>
      </c>
      <c r="B123" s="72">
        <v>189.17</v>
      </c>
      <c r="C123" s="73">
        <f>170.099-45.699</f>
        <v>124.39999999999999</v>
      </c>
      <c r="D123" s="80">
        <f t="shared" si="72"/>
        <v>21.930000000000003</v>
      </c>
      <c r="E123" s="80">
        <f t="shared" si="109"/>
        <v>24.47</v>
      </c>
      <c r="F123" s="80">
        <f t="shared" si="58"/>
        <v>46.400000000000006</v>
      </c>
      <c r="G123" s="77">
        <f t="shared" si="118"/>
        <v>170.79999999999998</v>
      </c>
      <c r="H123" s="43">
        <f t="shared" si="107"/>
        <v>0</v>
      </c>
      <c r="I123" s="76">
        <f>171.2833-36.6446</f>
        <v>134.6387</v>
      </c>
      <c r="J123" s="102">
        <f t="shared" si="110"/>
        <v>13.251300000000001</v>
      </c>
      <c r="K123" s="102">
        <f t="shared" si="111"/>
        <v>24.47</v>
      </c>
      <c r="L123" s="76">
        <f t="shared" si="98"/>
        <v>37.721299999999999</v>
      </c>
      <c r="M123" s="155">
        <f t="shared" si="103"/>
        <v>172.35999999999999</v>
      </c>
      <c r="N123" s="151">
        <f t="shared" si="59"/>
        <v>0</v>
      </c>
      <c r="O123" s="80">
        <f>175.0712+3.6574-116.5412</f>
        <v>62.187399999999997</v>
      </c>
      <c r="P123" s="78">
        <f t="shared" si="112"/>
        <v>-3.6574</v>
      </c>
      <c r="Q123" s="80">
        <f t="shared" si="113"/>
        <v>32.47</v>
      </c>
      <c r="R123" s="177">
        <f t="shared" si="60"/>
        <v>28.8126</v>
      </c>
      <c r="S123" s="82">
        <f t="shared" si="104"/>
        <v>91</v>
      </c>
      <c r="T123" s="62">
        <f t="shared" si="61"/>
        <v>0</v>
      </c>
      <c r="U123" s="231">
        <f>193.7596+12.6796-85.4569</f>
        <v>120.9823</v>
      </c>
      <c r="V123" s="194">
        <f t="shared" si="78"/>
        <v>-12.679600000000001</v>
      </c>
      <c r="W123" s="191">
        <f t="shared" si="114"/>
        <v>21.597200000000001</v>
      </c>
      <c r="X123" s="191">
        <f t="shared" si="64"/>
        <v>8.9176000000000002</v>
      </c>
      <c r="Y123" s="198">
        <f t="shared" si="105"/>
        <v>129.8999</v>
      </c>
      <c r="Z123" s="188">
        <f t="shared" si="108"/>
        <v>0</v>
      </c>
      <c r="AA123" s="80">
        <f>139.0086-61.0443</f>
        <v>77.964300000000009</v>
      </c>
      <c r="AB123" s="85">
        <f t="shared" si="81"/>
        <v>5.9657</v>
      </c>
      <c r="AC123" s="87">
        <f t="shared" si="106"/>
        <v>83.93</v>
      </c>
      <c r="AD123" s="172">
        <f t="shared" si="63"/>
        <v>0</v>
      </c>
      <c r="AE123" s="228">
        <f>171.2833+2.8342-39.0633</f>
        <v>135.05420000000001</v>
      </c>
      <c r="AF123" s="220">
        <f t="shared" si="66"/>
        <v>-2.8341999999999996</v>
      </c>
      <c r="AG123" s="221">
        <f t="shared" si="115"/>
        <v>19.27</v>
      </c>
      <c r="AH123" s="221">
        <f t="shared" si="88"/>
        <v>16.4358</v>
      </c>
      <c r="AI123" s="222">
        <f t="shared" si="89"/>
        <v>151.49</v>
      </c>
      <c r="AJ123" s="173">
        <f t="shared" si="92"/>
        <v>0</v>
      </c>
      <c r="AK123" s="230">
        <f>164.429+11.8433+0.2608-140.9724</f>
        <v>35.560699999999997</v>
      </c>
      <c r="AL123" s="224">
        <f t="shared" si="116"/>
        <v>-0.26080000000000003</v>
      </c>
      <c r="AM123" s="224">
        <f t="shared" si="117"/>
        <v>18.970000000000002</v>
      </c>
      <c r="AN123" s="224">
        <f t="shared" si="90"/>
        <v>18.709200000000003</v>
      </c>
      <c r="AO123" s="225">
        <f t="shared" si="91"/>
        <v>54.2699</v>
      </c>
      <c r="AP123" s="172">
        <f t="shared" si="94"/>
        <v>-1.8426386586556376E-6</v>
      </c>
      <c r="AQ123" s="76"/>
      <c r="AR123" s="102"/>
      <c r="AS123" s="102"/>
      <c r="AT123" s="76"/>
      <c r="AU123" s="155"/>
      <c r="AV123" s="151"/>
    </row>
    <row r="124" spans="1:48" ht="15">
      <c r="A124" s="249">
        <v>41168</v>
      </c>
      <c r="B124" s="72">
        <v>189.34</v>
      </c>
      <c r="C124" s="73">
        <f>174.5432-50.1432</f>
        <v>124.4</v>
      </c>
      <c r="D124" s="80">
        <f t="shared" si="72"/>
        <v>21.930000000000003</v>
      </c>
      <c r="E124" s="80">
        <f t="shared" si="109"/>
        <v>24.47</v>
      </c>
      <c r="F124" s="80">
        <f t="shared" si="58"/>
        <v>46.400000000000006</v>
      </c>
      <c r="G124" s="77">
        <f t="shared" si="118"/>
        <v>170.8</v>
      </c>
      <c r="H124" s="43">
        <f t="shared" si="107"/>
        <v>0</v>
      </c>
      <c r="I124" s="76">
        <f>173.2924-38.6537</f>
        <v>134.63869999999997</v>
      </c>
      <c r="J124" s="102">
        <f t="shared" si="110"/>
        <v>13.251300000000001</v>
      </c>
      <c r="K124" s="102">
        <f t="shared" si="111"/>
        <v>24.47</v>
      </c>
      <c r="L124" s="76">
        <f t="shared" si="98"/>
        <v>37.721299999999999</v>
      </c>
      <c r="M124" s="155">
        <f t="shared" si="103"/>
        <v>172.35999999999999</v>
      </c>
      <c r="N124" s="151">
        <f t="shared" si="59"/>
        <v>0</v>
      </c>
      <c r="O124" s="80">
        <f>178.6456+3.6574-120.1156</f>
        <v>62.187399999999997</v>
      </c>
      <c r="P124" s="78">
        <f t="shared" si="112"/>
        <v>-3.6574</v>
      </c>
      <c r="Q124" s="80">
        <f t="shared" si="113"/>
        <v>32.47</v>
      </c>
      <c r="R124" s="177">
        <f t="shared" si="60"/>
        <v>28.8126</v>
      </c>
      <c r="S124" s="82">
        <f t="shared" si="104"/>
        <v>91</v>
      </c>
      <c r="T124" s="62">
        <f t="shared" si="61"/>
        <v>0</v>
      </c>
      <c r="U124" s="231">
        <f>209.2515+12.6796-100.9488</f>
        <v>120.98229999999998</v>
      </c>
      <c r="V124" s="194">
        <f t="shared" si="78"/>
        <v>-12.679600000000001</v>
      </c>
      <c r="W124" s="191">
        <f t="shared" si="114"/>
        <v>21.597200000000001</v>
      </c>
      <c r="X124" s="191">
        <f t="shared" si="64"/>
        <v>8.9176000000000002</v>
      </c>
      <c r="Y124" s="198">
        <f t="shared" si="105"/>
        <v>129.8999</v>
      </c>
      <c r="Z124" s="188">
        <f t="shared" si="108"/>
        <v>0</v>
      </c>
      <c r="AA124" s="80">
        <f>140.5252-62.5609</f>
        <v>77.964300000000009</v>
      </c>
      <c r="AB124" s="85">
        <f t="shared" si="81"/>
        <v>5.9657</v>
      </c>
      <c r="AC124" s="87">
        <f t="shared" si="106"/>
        <v>83.93</v>
      </c>
      <c r="AD124" s="172">
        <f t="shared" si="63"/>
        <v>0</v>
      </c>
      <c r="AE124" s="228">
        <f>173.2924+2.8342-41.0724</f>
        <v>135.05419999999998</v>
      </c>
      <c r="AF124" s="220">
        <f t="shared" si="66"/>
        <v>-2.8341999999999996</v>
      </c>
      <c r="AG124" s="221">
        <f t="shared" si="115"/>
        <v>19.27</v>
      </c>
      <c r="AH124" s="221">
        <f t="shared" si="88"/>
        <v>16.4358</v>
      </c>
      <c r="AI124" s="222">
        <f t="shared" si="89"/>
        <v>151.48999999999998</v>
      </c>
      <c r="AJ124" s="173">
        <f t="shared" si="92"/>
        <v>0</v>
      </c>
      <c r="AK124" s="230">
        <f>168.7251+11.8433+0.2608-145.2684</f>
        <v>35.560799999999972</v>
      </c>
      <c r="AL124" s="224">
        <f t="shared" si="116"/>
        <v>-0.26080000000000003</v>
      </c>
      <c r="AM124" s="224">
        <f t="shared" si="117"/>
        <v>18.970000000000002</v>
      </c>
      <c r="AN124" s="224">
        <f t="shared" si="90"/>
        <v>18.709200000000003</v>
      </c>
      <c r="AO124" s="225">
        <f t="shared" si="91"/>
        <v>54.269999999999975</v>
      </c>
      <c r="AP124" s="172">
        <f t="shared" si="94"/>
        <v>1.84264205338458E-6</v>
      </c>
      <c r="AQ124" s="76"/>
      <c r="AR124" s="102"/>
      <c r="AS124" s="102"/>
      <c r="AT124" s="76"/>
      <c r="AU124" s="155"/>
      <c r="AV124" s="151"/>
    </row>
    <row r="125" spans="1:48" ht="15">
      <c r="A125" s="249">
        <v>41183</v>
      </c>
      <c r="B125" s="72">
        <v>189.42000000000002</v>
      </c>
      <c r="C125" s="80">
        <f>168.9327-44.5327</f>
        <v>124.4</v>
      </c>
      <c r="D125" s="80">
        <f>2.78+8+6+0.05+0.1+5</f>
        <v>21.930000000000003</v>
      </c>
      <c r="E125" s="80">
        <f t="shared" si="109"/>
        <v>24.47</v>
      </c>
      <c r="F125" s="80">
        <f t="shared" si="58"/>
        <v>46.400000000000006</v>
      </c>
      <c r="G125" s="77">
        <f t="shared" si="118"/>
        <v>170.8</v>
      </c>
      <c r="H125" s="43">
        <f t="shared" si="107"/>
        <v>0</v>
      </c>
      <c r="I125" s="76">
        <f>172.5612-37.9225</f>
        <v>134.63870000000003</v>
      </c>
      <c r="J125" s="76">
        <f>1.8+8+6+0.05+0.1-2.6987</f>
        <v>13.251300000000001</v>
      </c>
      <c r="K125" s="76">
        <f>2.5+3+1+5.3+7.1+5.57</f>
        <v>24.47</v>
      </c>
      <c r="L125" s="76">
        <f t="shared" si="98"/>
        <v>37.721299999999999</v>
      </c>
      <c r="M125" s="155">
        <f t="shared" si="103"/>
        <v>172.36000000000004</v>
      </c>
      <c r="N125" s="151">
        <f t="shared" si="59"/>
        <v>0</v>
      </c>
      <c r="O125" s="80">
        <f>175.5105+3.6574-116.9805</f>
        <v>62.187399999999997</v>
      </c>
      <c r="P125" s="78">
        <f t="shared" si="112"/>
        <v>-3.6574</v>
      </c>
      <c r="Q125" s="80">
        <f t="shared" si="113"/>
        <v>32.47</v>
      </c>
      <c r="R125" s="177">
        <f t="shared" si="60"/>
        <v>28.8126</v>
      </c>
      <c r="S125" s="82">
        <f t="shared" si="104"/>
        <v>91</v>
      </c>
      <c r="T125" s="62">
        <f t="shared" si="61"/>
        <v>0</v>
      </c>
      <c r="U125" s="231">
        <f>205.624+12.6796-97.3213</f>
        <v>120.9823</v>
      </c>
      <c r="V125" s="194">
        <f t="shared" si="78"/>
        <v>-12.679600000000001</v>
      </c>
      <c r="W125" s="191">
        <f t="shared" si="114"/>
        <v>21.597200000000001</v>
      </c>
      <c r="X125" s="191">
        <f t="shared" si="64"/>
        <v>8.9176000000000002</v>
      </c>
      <c r="Y125" s="198">
        <f t="shared" si="105"/>
        <v>129.8999</v>
      </c>
      <c r="Z125" s="188">
        <f t="shared" si="108"/>
        <v>0</v>
      </c>
      <c r="AA125" s="80">
        <f>148.6061-70.6418</f>
        <v>77.964299999999994</v>
      </c>
      <c r="AB125" s="85">
        <f t="shared" si="81"/>
        <v>5.9657</v>
      </c>
      <c r="AC125" s="87">
        <f t="shared" si="106"/>
        <v>83.929999999999993</v>
      </c>
      <c r="AD125" s="172">
        <f t="shared" si="63"/>
        <v>0</v>
      </c>
      <c r="AE125" s="228">
        <f>172.5612+2.8342-40.3412</f>
        <v>135.05420000000004</v>
      </c>
      <c r="AF125" s="220">
        <f t="shared" si="66"/>
        <v>-2.8341999999999996</v>
      </c>
      <c r="AG125" s="221">
        <f t="shared" si="115"/>
        <v>19.27</v>
      </c>
      <c r="AH125" s="221">
        <f t="shared" si="88"/>
        <v>16.4358</v>
      </c>
      <c r="AI125" s="222">
        <f t="shared" si="89"/>
        <v>151.49000000000004</v>
      </c>
      <c r="AJ125" s="173">
        <f t="shared" si="92"/>
        <v>0</v>
      </c>
      <c r="AK125" s="230">
        <f>163.3016+11.8433+0.2608-139.845</f>
        <v>35.560699999999997</v>
      </c>
      <c r="AL125" s="224">
        <f t="shared" si="116"/>
        <v>-0.26080000000000003</v>
      </c>
      <c r="AM125" s="224">
        <f t="shared" si="117"/>
        <v>18.970000000000002</v>
      </c>
      <c r="AN125" s="224">
        <f t="shared" si="90"/>
        <v>18.709200000000003</v>
      </c>
      <c r="AO125" s="225">
        <f t="shared" si="91"/>
        <v>54.2699</v>
      </c>
      <c r="AP125" s="172">
        <f t="shared" si="94"/>
        <v>-1.8426386581005261E-6</v>
      </c>
      <c r="AQ125" s="76"/>
      <c r="AR125" s="76"/>
      <c r="AS125" s="76"/>
      <c r="AT125" s="76"/>
      <c r="AU125" s="76"/>
      <c r="AV125" s="151"/>
    </row>
    <row r="126" spans="1:48" ht="15">
      <c r="A126" s="249">
        <v>41198</v>
      </c>
      <c r="B126" s="72">
        <v>189.25</v>
      </c>
      <c r="C126" s="80">
        <f>170.1557-45.7557</f>
        <v>124.4</v>
      </c>
      <c r="D126" s="80">
        <f>2.78+8+6+0.05+0.1+5</f>
        <v>21.930000000000003</v>
      </c>
      <c r="E126" s="80">
        <f t="shared" si="109"/>
        <v>24.47</v>
      </c>
      <c r="F126" s="80">
        <f t="shared" si="58"/>
        <v>46.400000000000006</v>
      </c>
      <c r="G126" s="77">
        <f t="shared" si="118"/>
        <v>170.8</v>
      </c>
      <c r="H126" s="43">
        <f t="shared" si="107"/>
        <v>0</v>
      </c>
      <c r="I126" s="76">
        <f>173.6241-38.9854</f>
        <v>134.6387</v>
      </c>
      <c r="J126" s="76">
        <f>1.8+8+6+0.05+0.1-2.6987</f>
        <v>13.251300000000001</v>
      </c>
      <c r="K126" s="76">
        <f>2.5+3+1+5.3+7.1+5.57</f>
        <v>24.47</v>
      </c>
      <c r="L126" s="76">
        <f t="shared" si="98"/>
        <v>37.721299999999999</v>
      </c>
      <c r="M126" s="155">
        <f t="shared" si="103"/>
        <v>172.35999999999999</v>
      </c>
      <c r="N126" s="151">
        <f t="shared" si="59"/>
        <v>0</v>
      </c>
      <c r="O126" s="80">
        <f>174.7567+3.6574-116.2267</f>
        <v>62.187399999999997</v>
      </c>
      <c r="P126" s="78">
        <f t="shared" si="112"/>
        <v>-3.6574</v>
      </c>
      <c r="Q126" s="80">
        <f t="shared" si="113"/>
        <v>32.47</v>
      </c>
      <c r="R126" s="177">
        <f t="shared" si="60"/>
        <v>28.8126</v>
      </c>
      <c r="S126" s="82">
        <f t="shared" si="104"/>
        <v>91</v>
      </c>
      <c r="T126" s="62">
        <f t="shared" si="61"/>
        <v>0</v>
      </c>
      <c r="U126" s="231">
        <f>207.5172+12.6796-99.2145</f>
        <v>120.9823</v>
      </c>
      <c r="V126" s="194">
        <f t="shared" si="78"/>
        <v>-12.679600000000001</v>
      </c>
      <c r="W126" s="191">
        <f t="shared" si="114"/>
        <v>21.597200000000001</v>
      </c>
      <c r="X126" s="191">
        <f t="shared" si="64"/>
        <v>8.9176000000000002</v>
      </c>
      <c r="Y126" s="198">
        <f t="shared" si="105"/>
        <v>129.8999</v>
      </c>
      <c r="Z126" s="188">
        <f t="shared" si="108"/>
        <v>0</v>
      </c>
      <c r="AA126" s="80">
        <f>142.4343-64.47</f>
        <v>77.964300000000009</v>
      </c>
      <c r="AB126" s="85">
        <f t="shared" si="81"/>
        <v>5.9657</v>
      </c>
      <c r="AC126" s="87">
        <f t="shared" si="106"/>
        <v>83.93</v>
      </c>
      <c r="AD126" s="172">
        <f t="shared" si="63"/>
        <v>0</v>
      </c>
      <c r="AE126" s="228">
        <f>173.6241+2.8342-41.4041</f>
        <v>135.05420000000001</v>
      </c>
      <c r="AF126" s="220">
        <f t="shared" si="66"/>
        <v>-2.8341999999999996</v>
      </c>
      <c r="AG126" s="221">
        <f t="shared" si="115"/>
        <v>19.27</v>
      </c>
      <c r="AH126" s="221">
        <f t="shared" si="88"/>
        <v>16.4358</v>
      </c>
      <c r="AI126" s="222">
        <f t="shared" si="89"/>
        <v>151.49</v>
      </c>
      <c r="AJ126" s="173">
        <f t="shared" si="92"/>
        <v>0</v>
      </c>
      <c r="AK126" s="230">
        <f>164.4839+11.8433+0.2608-141.0272</f>
        <v>35.5608</v>
      </c>
      <c r="AL126" s="224">
        <f t="shared" si="116"/>
        <v>-0.26080000000000003</v>
      </c>
      <c r="AM126" s="224">
        <f t="shared" si="117"/>
        <v>18.970000000000002</v>
      </c>
      <c r="AN126" s="224">
        <f t="shared" si="90"/>
        <v>18.709200000000003</v>
      </c>
      <c r="AO126" s="225">
        <f t="shared" si="91"/>
        <v>54.27</v>
      </c>
      <c r="AP126" s="172">
        <f t="shared" si="94"/>
        <v>1.8426420540507138E-6</v>
      </c>
      <c r="AQ126" s="76"/>
      <c r="AR126" s="76"/>
      <c r="AS126" s="76"/>
      <c r="AT126" s="76"/>
      <c r="AU126" s="76"/>
      <c r="AV126" s="151"/>
    </row>
    <row r="127" spans="1:48" ht="15">
      <c r="A127" s="249">
        <v>41214</v>
      </c>
      <c r="B127" s="72">
        <v>188.97</v>
      </c>
      <c r="C127" s="80">
        <f>153.2989-28.8989</f>
        <v>124.4</v>
      </c>
      <c r="D127" s="80">
        <f>2.78+8+6+0.05+0.1+5</f>
        <v>21.930000000000003</v>
      </c>
      <c r="E127" s="80">
        <f t="shared" si="109"/>
        <v>24.47</v>
      </c>
      <c r="F127" s="80">
        <f t="shared" si="58"/>
        <v>46.400000000000006</v>
      </c>
      <c r="G127" s="77">
        <f t="shared" si="118"/>
        <v>170.8</v>
      </c>
      <c r="H127" s="43">
        <f t="shared" si="107"/>
        <v>0</v>
      </c>
      <c r="I127" s="76">
        <f>173.8142-39.1755</f>
        <v>134.6387</v>
      </c>
      <c r="J127" s="76">
        <f>1.8+8+6+0.05+0.1-2.6987</f>
        <v>13.251300000000001</v>
      </c>
      <c r="K127" s="76">
        <f>2.5+3+1+5.3+7.1+5.57</f>
        <v>24.47</v>
      </c>
      <c r="L127" s="76">
        <f t="shared" si="98"/>
        <v>37.721299999999999</v>
      </c>
      <c r="M127" s="155">
        <f t="shared" si="103"/>
        <v>172.35999999999999</v>
      </c>
      <c r="N127" s="151">
        <f t="shared" si="59"/>
        <v>0</v>
      </c>
      <c r="O127" s="80">
        <f>171.4387+3.6574-112.9087</f>
        <v>62.187400000000011</v>
      </c>
      <c r="P127" s="78">
        <f t="shared" si="112"/>
        <v>-3.6574</v>
      </c>
      <c r="Q127" s="80">
        <f t="shared" si="113"/>
        <v>32.47</v>
      </c>
      <c r="R127" s="177">
        <f t="shared" si="60"/>
        <v>28.8126</v>
      </c>
      <c r="S127" s="82">
        <f t="shared" si="104"/>
        <v>91</v>
      </c>
      <c r="T127" s="62">
        <f t="shared" si="61"/>
        <v>0</v>
      </c>
      <c r="U127" s="231">
        <f>216.2773+12.6796-107.9746</f>
        <v>120.9823</v>
      </c>
      <c r="V127" s="194">
        <f t="shared" si="78"/>
        <v>-12.679600000000001</v>
      </c>
      <c r="W127" s="191">
        <f t="shared" si="114"/>
        <v>21.597200000000001</v>
      </c>
      <c r="X127" s="191">
        <f t="shared" si="64"/>
        <v>8.9176000000000002</v>
      </c>
      <c r="Y127" s="198">
        <f t="shared" si="105"/>
        <v>129.8999</v>
      </c>
      <c r="Z127" s="188">
        <f t="shared" si="108"/>
        <v>0</v>
      </c>
      <c r="AA127" s="80">
        <f>136.0197-58.0554</f>
        <v>77.964300000000009</v>
      </c>
      <c r="AB127" s="85">
        <f t="shared" si="81"/>
        <v>5.9657</v>
      </c>
      <c r="AC127" s="87">
        <f t="shared" si="106"/>
        <v>83.93</v>
      </c>
      <c r="AD127" s="172">
        <f t="shared" si="63"/>
        <v>0</v>
      </c>
      <c r="AE127" s="228">
        <f>173.8142+2.8342-41.5942</f>
        <v>135.05420000000001</v>
      </c>
      <c r="AF127" s="220">
        <f t="shared" si="66"/>
        <v>-2.8341999999999996</v>
      </c>
      <c r="AG127" s="221">
        <f t="shared" si="115"/>
        <v>19.27</v>
      </c>
      <c r="AH127" s="221">
        <f t="shared" si="88"/>
        <v>16.4358</v>
      </c>
      <c r="AI127" s="222">
        <f t="shared" si="89"/>
        <v>151.49</v>
      </c>
      <c r="AJ127" s="173">
        <f t="shared" si="92"/>
        <v>0</v>
      </c>
      <c r="AK127" s="229">
        <f>148.1889+11.8433+0.2608-124.7322</f>
        <v>35.560799999999972</v>
      </c>
      <c r="AL127" s="224">
        <f t="shared" si="116"/>
        <v>-0.26080000000000003</v>
      </c>
      <c r="AM127" s="224">
        <f t="shared" si="117"/>
        <v>18.970000000000002</v>
      </c>
      <c r="AN127" s="224">
        <f t="shared" si="90"/>
        <v>18.709200000000003</v>
      </c>
      <c r="AO127" s="225">
        <f t="shared" si="91"/>
        <v>54.269999999999975</v>
      </c>
      <c r="AP127" s="172">
        <f t="shared" si="94"/>
        <v>0</v>
      </c>
      <c r="AQ127" s="76"/>
      <c r="AR127" s="76"/>
      <c r="AS127" s="76"/>
      <c r="AT127" s="76"/>
      <c r="AU127" s="76"/>
      <c r="AV127" s="151"/>
    </row>
    <row r="128" spans="1:48" ht="15">
      <c r="A128" s="249">
        <v>41229</v>
      </c>
      <c r="B128" s="72">
        <v>188.35</v>
      </c>
      <c r="C128" s="80">
        <f>145.8594-21.4594</f>
        <v>124.39999999999999</v>
      </c>
      <c r="D128" s="80">
        <f t="shared" ref="D128:D161" si="119">2.78+8+6+0.05+0.1+5</f>
        <v>21.930000000000003</v>
      </c>
      <c r="E128" s="80">
        <f t="shared" si="109"/>
        <v>24.47</v>
      </c>
      <c r="F128" s="80">
        <f t="shared" si="58"/>
        <v>46.400000000000006</v>
      </c>
      <c r="G128" s="77">
        <f t="shared" ref="G128:G135" si="120">SUM(C128:E128)</f>
        <v>170.79999999999998</v>
      </c>
      <c r="H128" s="43">
        <f t="shared" si="107"/>
        <v>0</v>
      </c>
      <c r="I128" s="76">
        <f>164.9684-30.3297</f>
        <v>134.6387</v>
      </c>
      <c r="J128" s="76">
        <f t="shared" ref="J128:J136" si="121">1.8+8+6+0.05+0.1-2.6987</f>
        <v>13.251300000000001</v>
      </c>
      <c r="K128" s="76">
        <f t="shared" ref="K128:K134" si="122">2.5+3+1+5.3+7.1+5.57</f>
        <v>24.47</v>
      </c>
      <c r="L128" s="76">
        <f t="shared" si="98"/>
        <v>37.721299999999999</v>
      </c>
      <c r="M128" s="155">
        <f t="shared" si="103"/>
        <v>172.35999999999999</v>
      </c>
      <c r="N128" s="151">
        <f t="shared" si="59"/>
        <v>0</v>
      </c>
      <c r="O128" s="80">
        <f>164.8222+3.6574-106.2922</f>
        <v>62.187400000000011</v>
      </c>
      <c r="P128" s="78">
        <f t="shared" si="112"/>
        <v>-3.6574</v>
      </c>
      <c r="Q128" s="80">
        <f t="shared" si="113"/>
        <v>32.47</v>
      </c>
      <c r="R128" s="177">
        <f t="shared" si="60"/>
        <v>28.8126</v>
      </c>
      <c r="S128" s="82">
        <f t="shared" ref="S128:S135" si="123">SUM(O128:Q128)</f>
        <v>91</v>
      </c>
      <c r="T128" s="62">
        <f t="shared" si="61"/>
        <v>0</v>
      </c>
      <c r="U128" s="231">
        <f>221.7821+12.6796-113.4794</f>
        <v>120.98230000000001</v>
      </c>
      <c r="V128" s="194">
        <f t="shared" si="78"/>
        <v>-12.679600000000001</v>
      </c>
      <c r="W128" s="191">
        <f t="shared" si="114"/>
        <v>21.597200000000001</v>
      </c>
      <c r="X128" s="191">
        <f t="shared" si="64"/>
        <v>8.9176000000000002</v>
      </c>
      <c r="Y128" s="198">
        <f t="shared" ref="Y128:Y135" si="124">SUM(U128:W128)</f>
        <v>129.8999</v>
      </c>
      <c r="Z128" s="188">
        <f t="shared" si="108"/>
        <v>0</v>
      </c>
      <c r="AA128" s="80">
        <f>131.0353-53.071</f>
        <v>77.964300000000009</v>
      </c>
      <c r="AB128" s="85">
        <f t="shared" si="81"/>
        <v>5.9657</v>
      </c>
      <c r="AC128" s="87">
        <f t="shared" ref="AC128:AC135" si="125">SUM(AA128:AB128)</f>
        <v>83.93</v>
      </c>
      <c r="AD128" s="172">
        <f t="shared" si="63"/>
        <v>0</v>
      </c>
      <c r="AE128" s="228">
        <f>164.9684+2.8342-32.7484</f>
        <v>135.05420000000001</v>
      </c>
      <c r="AF128" s="220">
        <f t="shared" si="66"/>
        <v>-2.8341999999999996</v>
      </c>
      <c r="AG128" s="221">
        <f t="shared" si="115"/>
        <v>19.27</v>
      </c>
      <c r="AH128" s="221">
        <f t="shared" si="88"/>
        <v>16.4358</v>
      </c>
      <c r="AI128" s="222">
        <f t="shared" si="89"/>
        <v>151.49</v>
      </c>
      <c r="AJ128" s="173">
        <f t="shared" si="92"/>
        <v>0</v>
      </c>
      <c r="AK128" s="229">
        <f>140.9974+11.8433+0.2608-117.5408</f>
        <v>35.560699999999983</v>
      </c>
      <c r="AL128" s="224">
        <f t="shared" si="116"/>
        <v>-0.26080000000000003</v>
      </c>
      <c r="AM128" s="224">
        <f t="shared" si="117"/>
        <v>18.970000000000002</v>
      </c>
      <c r="AN128" s="224">
        <f t="shared" si="90"/>
        <v>18.709200000000003</v>
      </c>
      <c r="AO128" s="225">
        <f t="shared" si="91"/>
        <v>54.269899999999986</v>
      </c>
      <c r="AP128" s="172">
        <f t="shared" si="94"/>
        <v>-1.8426386583225707E-6</v>
      </c>
      <c r="AQ128" s="76"/>
      <c r="AR128" s="76"/>
      <c r="AS128" s="76"/>
      <c r="AT128" s="76"/>
      <c r="AU128" s="76"/>
      <c r="AV128" s="151"/>
    </row>
    <row r="129" spans="1:48" ht="15">
      <c r="A129" s="249">
        <v>41244</v>
      </c>
      <c r="B129" s="72">
        <v>188.39999999999998</v>
      </c>
      <c r="C129" s="80">
        <f>149.2477-24.8477</f>
        <v>124.4</v>
      </c>
      <c r="D129" s="80">
        <f t="shared" si="119"/>
        <v>21.930000000000003</v>
      </c>
      <c r="E129" s="80">
        <f t="shared" si="109"/>
        <v>24.47</v>
      </c>
      <c r="F129" s="80">
        <f t="shared" si="58"/>
        <v>46.400000000000006</v>
      </c>
      <c r="G129" s="77">
        <f t="shared" si="120"/>
        <v>170.8</v>
      </c>
      <c r="H129" s="43">
        <f t="shared" si="107"/>
        <v>0</v>
      </c>
      <c r="I129" s="76">
        <f>164.6678-30.0291</f>
        <v>134.6387</v>
      </c>
      <c r="J129" s="76">
        <f t="shared" si="121"/>
        <v>13.251300000000001</v>
      </c>
      <c r="K129" s="76">
        <f t="shared" si="122"/>
        <v>24.47</v>
      </c>
      <c r="L129" s="76">
        <f t="shared" si="98"/>
        <v>37.721299999999999</v>
      </c>
      <c r="M129" s="155">
        <f t="shared" si="103"/>
        <v>172.35999999999999</v>
      </c>
      <c r="N129" s="151">
        <f t="shared" si="59"/>
        <v>0</v>
      </c>
      <c r="O129" s="80">
        <f>167.3838+3.6574-108.8538</f>
        <v>62.187399999999997</v>
      </c>
      <c r="P129" s="78">
        <f t="shared" si="112"/>
        <v>-3.6574</v>
      </c>
      <c r="Q129" s="80">
        <f t="shared" si="113"/>
        <v>32.47</v>
      </c>
      <c r="R129" s="177">
        <f t="shared" si="60"/>
        <v>28.8126</v>
      </c>
      <c r="S129" s="82">
        <f t="shared" si="123"/>
        <v>91</v>
      </c>
      <c r="T129" s="62">
        <f t="shared" si="61"/>
        <v>0</v>
      </c>
      <c r="U129" s="231">
        <f>219.0846+12.6796-110.7818</f>
        <v>120.98239999999998</v>
      </c>
      <c r="V129" s="194">
        <f t="shared" si="78"/>
        <v>-12.679600000000001</v>
      </c>
      <c r="W129" s="191">
        <f t="shared" si="114"/>
        <v>21.597200000000001</v>
      </c>
      <c r="X129" s="191">
        <f t="shared" si="64"/>
        <v>8.9176000000000002</v>
      </c>
      <c r="Y129" s="198">
        <f t="shared" si="124"/>
        <v>129.89999999999998</v>
      </c>
      <c r="Z129" s="188">
        <f t="shared" si="108"/>
        <v>7.6982353314214436E-7</v>
      </c>
      <c r="AA129" s="80">
        <f>131.2165-53.2522</f>
        <v>77.964299999999994</v>
      </c>
      <c r="AB129" s="85">
        <f t="shared" si="81"/>
        <v>5.9657</v>
      </c>
      <c r="AC129" s="87">
        <f t="shared" si="125"/>
        <v>83.929999999999993</v>
      </c>
      <c r="AD129" s="172">
        <f t="shared" si="63"/>
        <v>0</v>
      </c>
      <c r="AE129" s="228">
        <f>164.6678+2.8342-32.4478</f>
        <v>135.05420000000001</v>
      </c>
      <c r="AF129" s="220">
        <f t="shared" si="66"/>
        <v>-2.8341999999999996</v>
      </c>
      <c r="AG129" s="221">
        <f t="shared" si="115"/>
        <v>19.27</v>
      </c>
      <c r="AH129" s="221">
        <f t="shared" si="88"/>
        <v>16.4358</v>
      </c>
      <c r="AI129" s="222">
        <f t="shared" si="89"/>
        <v>151.49</v>
      </c>
      <c r="AJ129" s="173">
        <f t="shared" si="92"/>
        <v>0</v>
      </c>
      <c r="AK129" s="229">
        <f>144.2728+11.8433+0.2609-120.8161</f>
        <v>35.560899999999975</v>
      </c>
      <c r="AL129" s="224">
        <f t="shared" si="116"/>
        <v>-0.26080000000000003</v>
      </c>
      <c r="AM129" s="224">
        <f t="shared" si="117"/>
        <v>18.970000000000002</v>
      </c>
      <c r="AN129" s="224">
        <f t="shared" si="90"/>
        <v>18.709200000000003</v>
      </c>
      <c r="AO129" s="225">
        <f t="shared" si="91"/>
        <v>54.270099999999978</v>
      </c>
      <c r="AP129" s="172">
        <f t="shared" si="94"/>
        <v>3.6852841076573384E-6</v>
      </c>
      <c r="AQ129" s="76"/>
      <c r="AR129" s="76"/>
      <c r="AS129" s="76"/>
      <c r="AT129" s="76"/>
      <c r="AU129" s="76"/>
      <c r="AV129" s="151"/>
    </row>
    <row r="130" spans="1:48" ht="15">
      <c r="A130" s="249">
        <v>41259</v>
      </c>
      <c r="B130" s="72">
        <v>188.31</v>
      </c>
      <c r="C130" s="80">
        <f>148.7508-24.3508</f>
        <v>124.4</v>
      </c>
      <c r="D130" s="80">
        <f t="shared" si="119"/>
        <v>21.930000000000003</v>
      </c>
      <c r="E130" s="80">
        <f t="shared" si="109"/>
        <v>24.47</v>
      </c>
      <c r="F130" s="80">
        <f t="shared" si="58"/>
        <v>46.400000000000006</v>
      </c>
      <c r="G130" s="77">
        <f t="shared" si="120"/>
        <v>170.8</v>
      </c>
      <c r="H130" s="43">
        <f t="shared" si="107"/>
        <v>0</v>
      </c>
      <c r="I130" s="76">
        <f>163.007-28.3683</f>
        <v>134.6387</v>
      </c>
      <c r="J130" s="76">
        <f t="shared" si="121"/>
        <v>13.251300000000001</v>
      </c>
      <c r="K130" s="76">
        <f t="shared" si="122"/>
        <v>24.47</v>
      </c>
      <c r="L130" s="76">
        <f t="shared" si="98"/>
        <v>37.721299999999999</v>
      </c>
      <c r="M130" s="155">
        <f t="shared" si="103"/>
        <v>172.35999999999999</v>
      </c>
      <c r="N130" s="151">
        <f t="shared" si="59"/>
        <v>0</v>
      </c>
      <c r="O130" s="80">
        <f>164.9943+3.6574-106.4643</f>
        <v>62.187400000000011</v>
      </c>
      <c r="P130" s="78">
        <f t="shared" si="112"/>
        <v>-3.6574</v>
      </c>
      <c r="Q130" s="80">
        <f t="shared" si="113"/>
        <v>32.47</v>
      </c>
      <c r="R130" s="177">
        <f t="shared" si="60"/>
        <v>28.8126</v>
      </c>
      <c r="S130" s="82">
        <f t="shared" si="123"/>
        <v>91</v>
      </c>
      <c r="T130" s="62">
        <f t="shared" si="61"/>
        <v>0</v>
      </c>
      <c r="U130" s="231">
        <f>209.4982+12.6796-101.1955</f>
        <v>120.9823</v>
      </c>
      <c r="V130" s="194">
        <f t="shared" si="78"/>
        <v>-12.679600000000001</v>
      </c>
      <c r="W130" s="191">
        <f t="shared" si="114"/>
        <v>21.597200000000001</v>
      </c>
      <c r="X130" s="191">
        <f t="shared" si="64"/>
        <v>8.9176000000000002</v>
      </c>
      <c r="Y130" s="198">
        <f t="shared" si="124"/>
        <v>129.8999</v>
      </c>
      <c r="Z130" s="188">
        <f t="shared" si="108"/>
        <v>-7.6982294050509381E-7</v>
      </c>
      <c r="AA130" s="80">
        <f>127.9072-49.9429</f>
        <v>77.964300000000009</v>
      </c>
      <c r="AB130" s="85">
        <f t="shared" si="81"/>
        <v>5.9657</v>
      </c>
      <c r="AC130" s="87">
        <f t="shared" si="125"/>
        <v>83.93</v>
      </c>
      <c r="AD130" s="172">
        <f t="shared" si="63"/>
        <v>0</v>
      </c>
      <c r="AE130" s="228">
        <f>163.007+2.8342-30.787</f>
        <v>135.05420000000001</v>
      </c>
      <c r="AF130" s="220">
        <f t="shared" si="66"/>
        <v>-2.8341999999999996</v>
      </c>
      <c r="AG130" s="221">
        <f t="shared" si="115"/>
        <v>19.27</v>
      </c>
      <c r="AH130" s="221">
        <f t="shared" si="88"/>
        <v>16.4358</v>
      </c>
      <c r="AI130" s="222">
        <f t="shared" si="89"/>
        <v>151.49</v>
      </c>
      <c r="AJ130" s="173">
        <f t="shared" si="92"/>
        <v>0</v>
      </c>
      <c r="AK130" s="229">
        <f>143.7924+11.8433+0.2608-120.3358</f>
        <v>35.560699999999969</v>
      </c>
      <c r="AL130" s="224">
        <f t="shared" si="116"/>
        <v>-0.26080000000000003</v>
      </c>
      <c r="AM130" s="224">
        <f t="shared" si="117"/>
        <v>18.970000000000002</v>
      </c>
      <c r="AN130" s="224">
        <f t="shared" si="90"/>
        <v>18.709200000000003</v>
      </c>
      <c r="AO130" s="225">
        <f t="shared" si="91"/>
        <v>54.269899999999971</v>
      </c>
      <c r="AP130" s="172">
        <f t="shared" si="94"/>
        <v>-3.685270526632145E-6</v>
      </c>
      <c r="AQ130" s="76"/>
      <c r="AR130" s="76"/>
      <c r="AS130" s="76"/>
      <c r="AT130" s="76"/>
      <c r="AU130" s="76"/>
      <c r="AV130" s="151"/>
    </row>
    <row r="131" spans="1:48" ht="15">
      <c r="A131" s="249">
        <v>41275</v>
      </c>
      <c r="B131" s="72">
        <v>188.57</v>
      </c>
      <c r="C131" s="80">
        <f>152.2476-27.8476</f>
        <v>124.4</v>
      </c>
      <c r="D131" s="80">
        <f t="shared" si="119"/>
        <v>21.930000000000003</v>
      </c>
      <c r="E131" s="80">
        <f t="shared" si="109"/>
        <v>24.47</v>
      </c>
      <c r="F131" s="80">
        <f t="shared" si="58"/>
        <v>46.400000000000006</v>
      </c>
      <c r="G131" s="77">
        <f t="shared" si="120"/>
        <v>170.8</v>
      </c>
      <c r="H131" s="43">
        <f t="shared" si="107"/>
        <v>0</v>
      </c>
      <c r="I131" s="76">
        <f>162.9096-28.2709</f>
        <v>134.6387</v>
      </c>
      <c r="J131" s="76">
        <f t="shared" si="121"/>
        <v>13.251300000000001</v>
      </c>
      <c r="K131" s="76">
        <f t="shared" si="122"/>
        <v>24.47</v>
      </c>
      <c r="L131" s="76">
        <f t="shared" si="98"/>
        <v>37.721299999999999</v>
      </c>
      <c r="M131" s="155">
        <f t="shared" si="103"/>
        <v>172.35999999999999</v>
      </c>
      <c r="N131" s="151">
        <f t="shared" si="59"/>
        <v>0</v>
      </c>
      <c r="O131" s="80">
        <f>167.1329+3.6574-108.6029</f>
        <v>62.187399999999997</v>
      </c>
      <c r="P131" s="78">
        <f t="shared" si="112"/>
        <v>-3.6574</v>
      </c>
      <c r="Q131" s="80">
        <f t="shared" si="113"/>
        <v>32.47</v>
      </c>
      <c r="R131" s="177">
        <f t="shared" si="60"/>
        <v>28.8126</v>
      </c>
      <c r="S131" s="82">
        <f t="shared" si="123"/>
        <v>91</v>
      </c>
      <c r="T131" s="62">
        <f t="shared" si="61"/>
        <v>0</v>
      </c>
      <c r="U131" s="231">
        <f>194.9707+12.6796-86.6673</f>
        <v>120.98299999999999</v>
      </c>
      <c r="V131" s="194">
        <f t="shared" si="78"/>
        <v>-12.679600000000001</v>
      </c>
      <c r="W131" s="191">
        <f t="shared" si="114"/>
        <v>21.597200000000001</v>
      </c>
      <c r="X131" s="191">
        <f t="shared" si="64"/>
        <v>8.9176000000000002</v>
      </c>
      <c r="Y131" s="198">
        <f t="shared" si="124"/>
        <v>129.9006</v>
      </c>
      <c r="Z131" s="188">
        <f t="shared" si="108"/>
        <v>5.3887647333272781E-6</v>
      </c>
      <c r="AA131" s="80">
        <f>128.6195-50.6552</f>
        <v>77.96429999999998</v>
      </c>
      <c r="AB131" s="85">
        <f t="shared" si="81"/>
        <v>5.9657</v>
      </c>
      <c r="AC131" s="87">
        <f t="shared" si="125"/>
        <v>83.929999999999978</v>
      </c>
      <c r="AD131" s="172">
        <f t="shared" si="63"/>
        <v>0</v>
      </c>
      <c r="AE131" s="228">
        <f>162.9096+2.8342-30.6896</f>
        <v>135.05420000000004</v>
      </c>
      <c r="AF131" s="220">
        <f t="shared" si="66"/>
        <v>-2.8341999999999996</v>
      </c>
      <c r="AG131" s="221">
        <f t="shared" si="115"/>
        <v>19.27</v>
      </c>
      <c r="AH131" s="221">
        <f t="shared" si="88"/>
        <v>16.4358</v>
      </c>
      <c r="AI131" s="222">
        <f t="shared" si="89"/>
        <v>151.49000000000004</v>
      </c>
      <c r="AJ131" s="173">
        <f t="shared" si="92"/>
        <v>0</v>
      </c>
      <c r="AK131" s="229">
        <f>147.1727+11.8433+0.2608-123.7161</f>
        <v>35.560699999999983</v>
      </c>
      <c r="AL131" s="224">
        <f t="shared" si="116"/>
        <v>-0.26080000000000003</v>
      </c>
      <c r="AM131" s="224">
        <f t="shared" si="117"/>
        <v>18.970000000000002</v>
      </c>
      <c r="AN131" s="224">
        <f t="shared" si="90"/>
        <v>18.709200000000003</v>
      </c>
      <c r="AO131" s="225">
        <f t="shared" si="91"/>
        <v>54.269899999999986</v>
      </c>
      <c r="AP131" s="172">
        <f t="shared" si="94"/>
        <v>0</v>
      </c>
      <c r="AQ131" s="76"/>
      <c r="AR131" s="76"/>
      <c r="AS131" s="76"/>
      <c r="AT131" s="76"/>
      <c r="AU131" s="76"/>
      <c r="AV131" s="151"/>
    </row>
    <row r="132" spans="1:48" ht="15">
      <c r="A132" s="247">
        <v>41290</v>
      </c>
      <c r="B132" s="232">
        <v>188.67000000000002</v>
      </c>
      <c r="C132" s="73">
        <f>155.2149-30.8149</f>
        <v>124.4</v>
      </c>
      <c r="D132" s="80">
        <f t="shared" si="119"/>
        <v>21.930000000000003</v>
      </c>
      <c r="E132" s="80">
        <f t="shared" si="109"/>
        <v>24.47</v>
      </c>
      <c r="F132" s="80">
        <f t="shared" si="58"/>
        <v>46.400000000000006</v>
      </c>
      <c r="G132" s="77">
        <f t="shared" si="120"/>
        <v>170.8</v>
      </c>
      <c r="H132" s="43">
        <f t="shared" si="107"/>
        <v>0</v>
      </c>
      <c r="I132" s="76">
        <f>165.0741-30.4354</f>
        <v>134.63869999999997</v>
      </c>
      <c r="J132" s="76">
        <f t="shared" si="121"/>
        <v>13.251300000000001</v>
      </c>
      <c r="K132" s="76">
        <f t="shared" si="122"/>
        <v>24.47</v>
      </c>
      <c r="L132" s="76">
        <f t="shared" si="98"/>
        <v>37.721299999999999</v>
      </c>
      <c r="M132" s="155">
        <f t="shared" si="103"/>
        <v>172.35999999999999</v>
      </c>
      <c r="N132" s="151">
        <f t="shared" si="59"/>
        <v>0</v>
      </c>
      <c r="O132" s="80">
        <f>170.6333+3.6574-112.1033</f>
        <v>62.187399999999982</v>
      </c>
      <c r="P132" s="78">
        <f t="shared" si="112"/>
        <v>-3.6574</v>
      </c>
      <c r="Q132" s="80">
        <f>2.5+3+1+6.3+7.1+5.57+7</f>
        <v>32.47</v>
      </c>
      <c r="R132" s="177">
        <f t="shared" si="60"/>
        <v>28.8126</v>
      </c>
      <c r="S132" s="82">
        <f t="shared" si="123"/>
        <v>90.999999999999972</v>
      </c>
      <c r="T132" s="62">
        <f t="shared" si="61"/>
        <v>0</v>
      </c>
      <c r="U132" s="231">
        <f>192.856+12.6796-84.5532</f>
        <v>120.98239999999998</v>
      </c>
      <c r="V132" s="194">
        <f t="shared" si="78"/>
        <v>-12.679600000000001</v>
      </c>
      <c r="W132" s="191">
        <f>6.3+5.3418+4.1801+4.7753+1</f>
        <v>21.597200000000001</v>
      </c>
      <c r="X132" s="191">
        <f t="shared" si="64"/>
        <v>8.9176000000000002</v>
      </c>
      <c r="Y132" s="198">
        <f t="shared" si="124"/>
        <v>129.89999999999998</v>
      </c>
      <c r="Z132" s="188">
        <f t="shared" si="108"/>
        <v>-4.6189163099841224E-6</v>
      </c>
      <c r="AA132" s="80">
        <f>133.4374-55.4731</f>
        <v>77.964299999999994</v>
      </c>
      <c r="AB132" s="85">
        <f t="shared" si="81"/>
        <v>5.9657</v>
      </c>
      <c r="AC132" s="87">
        <f t="shared" si="125"/>
        <v>83.929999999999993</v>
      </c>
      <c r="AD132" s="172">
        <f t="shared" si="63"/>
        <v>0</v>
      </c>
      <c r="AE132" s="228">
        <f>165.0741+2.8342-32.8541</f>
        <v>135.05419999999998</v>
      </c>
      <c r="AF132" s="220">
        <f t="shared" si="66"/>
        <v>-2.8341999999999996</v>
      </c>
      <c r="AG132" s="221">
        <f>1+5.3+7.1+5.57+0.3</f>
        <v>19.27</v>
      </c>
      <c r="AH132" s="221">
        <f t="shared" si="88"/>
        <v>16.4358</v>
      </c>
      <c r="AI132" s="222">
        <f t="shared" si="89"/>
        <v>151.48999999999998</v>
      </c>
      <c r="AJ132" s="173">
        <f t="shared" si="92"/>
        <v>0</v>
      </c>
      <c r="AK132" s="229">
        <f>150.0411+11.8433+0.2608-126.5844</f>
        <v>35.560799999999986</v>
      </c>
      <c r="AL132" s="224">
        <f>0.1-0.3608</f>
        <v>-0.26080000000000003</v>
      </c>
      <c r="AM132" s="224">
        <f>1+5.3+6.8+5.57+0.3</f>
        <v>18.970000000000002</v>
      </c>
      <c r="AN132" s="224">
        <f t="shared" si="90"/>
        <v>18.709200000000003</v>
      </c>
      <c r="AO132" s="225">
        <f t="shared" si="91"/>
        <v>54.269999999999989</v>
      </c>
      <c r="AP132" s="172">
        <f t="shared" si="94"/>
        <v>1.8426420540507138E-6</v>
      </c>
      <c r="AQ132" s="76"/>
      <c r="AR132" s="76"/>
      <c r="AS132" s="76"/>
      <c r="AT132" s="76"/>
      <c r="AU132" s="76"/>
      <c r="AV132" s="151"/>
    </row>
    <row r="133" spans="1:48" ht="15">
      <c r="A133" s="247">
        <v>41306</v>
      </c>
      <c r="B133" s="232">
        <v>188.69</v>
      </c>
      <c r="C133" s="73">
        <f>156.526-32.126</f>
        <v>124.4</v>
      </c>
      <c r="D133" s="80">
        <f t="shared" si="119"/>
        <v>21.930000000000003</v>
      </c>
      <c r="E133" s="80">
        <f t="shared" si="109"/>
        <v>24.47</v>
      </c>
      <c r="F133" s="80">
        <f t="shared" si="58"/>
        <v>46.400000000000006</v>
      </c>
      <c r="G133" s="77">
        <f t="shared" si="120"/>
        <v>170.8</v>
      </c>
      <c r="H133" s="43">
        <f t="shared" si="107"/>
        <v>0</v>
      </c>
      <c r="I133" s="76">
        <f>168.9901-34.3514</f>
        <v>134.63870000000003</v>
      </c>
      <c r="J133" s="76">
        <f t="shared" si="121"/>
        <v>13.251300000000001</v>
      </c>
      <c r="K133" s="76">
        <f t="shared" si="122"/>
        <v>24.47</v>
      </c>
      <c r="L133" s="76">
        <f t="shared" si="98"/>
        <v>37.721299999999999</v>
      </c>
      <c r="M133" s="155">
        <f t="shared" si="103"/>
        <v>172.36000000000004</v>
      </c>
      <c r="N133" s="151">
        <f t="shared" si="59"/>
        <v>0</v>
      </c>
      <c r="O133" s="80">
        <f>176.4819+3.6574-117.9519</f>
        <v>62.187399999999997</v>
      </c>
      <c r="P133" s="78">
        <f t="shared" si="112"/>
        <v>-3.6574</v>
      </c>
      <c r="Q133" s="80">
        <f>2.5+3+1+6.3+7.1+5.57+7</f>
        <v>32.47</v>
      </c>
      <c r="R133" s="177">
        <f t="shared" si="60"/>
        <v>28.8126</v>
      </c>
      <c r="S133" s="82">
        <f t="shared" si="123"/>
        <v>91</v>
      </c>
      <c r="T133" s="62">
        <f t="shared" si="61"/>
        <v>0</v>
      </c>
      <c r="U133" s="231">
        <f>193.8706+12.6796-85.5678</f>
        <v>120.98239999999998</v>
      </c>
      <c r="V133" s="194">
        <f t="shared" si="78"/>
        <v>-12.679600000000001</v>
      </c>
      <c r="W133" s="191">
        <f>6.3+5.3418+4.1801+4.7753+1</f>
        <v>21.597200000000001</v>
      </c>
      <c r="X133" s="191">
        <f t="shared" si="64"/>
        <v>8.9176000000000002</v>
      </c>
      <c r="Y133" s="198">
        <f t="shared" si="124"/>
        <v>129.89999999999998</v>
      </c>
      <c r="Z133" s="188">
        <f t="shared" si="108"/>
        <v>0</v>
      </c>
      <c r="AA133" s="80">
        <f>137.2575-59.2932</f>
        <v>77.964299999999994</v>
      </c>
      <c r="AB133" s="85">
        <f t="shared" si="81"/>
        <v>5.9657</v>
      </c>
      <c r="AC133" s="87">
        <f t="shared" si="125"/>
        <v>83.929999999999993</v>
      </c>
      <c r="AD133" s="172">
        <f t="shared" si="63"/>
        <v>0</v>
      </c>
      <c r="AE133" s="228">
        <f>168.9901+2.8342-36.7701</f>
        <v>135.05420000000004</v>
      </c>
      <c r="AF133" s="220">
        <f t="shared" si="66"/>
        <v>-2.8341999999999996</v>
      </c>
      <c r="AG133" s="221">
        <f>1+5.3+7.1+5.57+0.3</f>
        <v>19.27</v>
      </c>
      <c r="AH133" s="221">
        <f t="shared" si="88"/>
        <v>16.4358</v>
      </c>
      <c r="AI133" s="222">
        <f t="shared" si="89"/>
        <v>151.49000000000004</v>
      </c>
      <c r="AJ133" s="173">
        <f t="shared" si="92"/>
        <v>0</v>
      </c>
      <c r="AK133" s="229">
        <f>151.3085+11.8433+0.2608-127.8518</f>
        <v>35.5608</v>
      </c>
      <c r="AL133" s="224">
        <f t="shared" ref="AL133:AL196" si="126">0.1-0.3608</f>
        <v>-0.26080000000000003</v>
      </c>
      <c r="AM133" s="224">
        <f>1+5.3+6.8+5.57+0.3</f>
        <v>18.970000000000002</v>
      </c>
      <c r="AN133" s="224">
        <f t="shared" si="90"/>
        <v>18.709200000000003</v>
      </c>
      <c r="AO133" s="225">
        <f t="shared" si="91"/>
        <v>54.27</v>
      </c>
      <c r="AP133" s="172">
        <f t="shared" si="94"/>
        <v>0</v>
      </c>
      <c r="AQ133" s="76"/>
      <c r="AR133" s="76"/>
      <c r="AS133" s="76"/>
      <c r="AT133" s="76"/>
      <c r="AU133" s="76"/>
      <c r="AV133" s="151"/>
    </row>
    <row r="134" spans="1:48" ht="15">
      <c r="A134" s="247">
        <v>41321</v>
      </c>
      <c r="B134" s="232">
        <v>188.7</v>
      </c>
      <c r="C134" s="73">
        <f>167.1596-42.7596</f>
        <v>124.4</v>
      </c>
      <c r="D134" s="80">
        <f t="shared" si="119"/>
        <v>21.930000000000003</v>
      </c>
      <c r="E134" s="80">
        <f t="shared" si="109"/>
        <v>24.47</v>
      </c>
      <c r="F134" s="80">
        <f t="shared" si="58"/>
        <v>46.400000000000006</v>
      </c>
      <c r="G134" s="77">
        <f t="shared" si="120"/>
        <v>170.8</v>
      </c>
      <c r="H134" s="43">
        <f t="shared" si="107"/>
        <v>0</v>
      </c>
      <c r="I134" s="76">
        <f>175.1448-40.5061</f>
        <v>134.6387</v>
      </c>
      <c r="J134" s="76">
        <f t="shared" si="121"/>
        <v>13.251300000000001</v>
      </c>
      <c r="K134" s="76">
        <f t="shared" si="122"/>
        <v>24.47</v>
      </c>
      <c r="L134" s="76">
        <f t="shared" si="98"/>
        <v>37.721299999999999</v>
      </c>
      <c r="M134" s="155">
        <f t="shared" si="103"/>
        <v>172.35999999999999</v>
      </c>
      <c r="N134" s="151">
        <f t="shared" si="59"/>
        <v>0</v>
      </c>
      <c r="O134" s="80">
        <f>176.4819+3.6574-117.9519</f>
        <v>62.187399999999997</v>
      </c>
      <c r="P134" s="78">
        <f t="shared" si="112"/>
        <v>-3.6574</v>
      </c>
      <c r="Q134" s="80">
        <f>2.5+3+1+6.3+7.1+5.57+7</f>
        <v>32.47</v>
      </c>
      <c r="R134" s="177">
        <f t="shared" si="60"/>
        <v>28.8126</v>
      </c>
      <c r="S134" s="82">
        <f t="shared" si="123"/>
        <v>91</v>
      </c>
      <c r="T134" s="62">
        <f t="shared" si="61"/>
        <v>0</v>
      </c>
      <c r="U134" s="231">
        <f>202.8478+12.6796-94.5451</f>
        <v>120.9823</v>
      </c>
      <c r="V134" s="194">
        <f t="shared" si="78"/>
        <v>-12.679600000000001</v>
      </c>
      <c r="W134" s="191">
        <f>6.3+5.3418+4.1801+4.7753+1</f>
        <v>21.597200000000001</v>
      </c>
      <c r="X134" s="191">
        <f t="shared" si="64"/>
        <v>8.9176000000000002</v>
      </c>
      <c r="Y134" s="198">
        <f t="shared" si="124"/>
        <v>129.8999</v>
      </c>
      <c r="Z134" s="188">
        <f t="shared" si="108"/>
        <v>-7.6982294050509381E-7</v>
      </c>
      <c r="AA134" s="80">
        <f>142.6434-64.6791</f>
        <v>77.964300000000009</v>
      </c>
      <c r="AB134" s="85">
        <f t="shared" si="81"/>
        <v>5.9657</v>
      </c>
      <c r="AC134" s="87">
        <f t="shared" si="125"/>
        <v>83.93</v>
      </c>
      <c r="AD134" s="172">
        <f t="shared" si="63"/>
        <v>0</v>
      </c>
      <c r="AE134" s="228">
        <f>175.1448+2.8342-42.9248</f>
        <v>135.05420000000001</v>
      </c>
      <c r="AF134" s="220">
        <f t="shared" si="66"/>
        <v>-2.8341999999999996</v>
      </c>
      <c r="AG134" s="221">
        <f>1+5.3+7.1+5.57+0.3</f>
        <v>19.27</v>
      </c>
      <c r="AH134" s="221">
        <f t="shared" si="88"/>
        <v>16.4358</v>
      </c>
      <c r="AI134" s="222">
        <f t="shared" si="89"/>
        <v>151.49</v>
      </c>
      <c r="AJ134" s="173">
        <f t="shared" si="92"/>
        <v>0</v>
      </c>
      <c r="AK134" s="229">
        <f>161.5876+11.8433+0.2608-138.1309</f>
        <v>35.5608</v>
      </c>
      <c r="AL134" s="224">
        <f t="shared" si="126"/>
        <v>-0.26080000000000003</v>
      </c>
      <c r="AM134" s="224">
        <f>1+5.3+6.8+5.57+0.3</f>
        <v>18.970000000000002</v>
      </c>
      <c r="AN134" s="224">
        <f t="shared" si="90"/>
        <v>18.709200000000003</v>
      </c>
      <c r="AO134" s="225">
        <f t="shared" si="91"/>
        <v>54.27</v>
      </c>
      <c r="AP134" s="172">
        <f t="shared" si="94"/>
        <v>0</v>
      </c>
      <c r="AQ134" s="76"/>
      <c r="AR134" s="76"/>
      <c r="AS134" s="76"/>
      <c r="AT134" s="76"/>
      <c r="AU134" s="76"/>
      <c r="AV134" s="151"/>
    </row>
    <row r="135" spans="1:48" ht="15">
      <c r="A135" s="247">
        <v>41322</v>
      </c>
      <c r="B135" s="232">
        <v>188.7</v>
      </c>
      <c r="C135" s="73">
        <f>167.1596-16.7696</f>
        <v>150.39000000000001</v>
      </c>
      <c r="D135" s="80">
        <f t="shared" si="119"/>
        <v>21.930000000000003</v>
      </c>
      <c r="E135" s="80">
        <f>4+3+1+7.9+9.86+6.88</f>
        <v>32.64</v>
      </c>
      <c r="F135" s="80">
        <f t="shared" si="58"/>
        <v>54.570000000000007</v>
      </c>
      <c r="G135" s="77">
        <f t="shared" si="120"/>
        <v>204.96000000000004</v>
      </c>
      <c r="H135" s="43">
        <f t="shared" si="107"/>
        <v>0.20000000000000018</v>
      </c>
      <c r="I135" s="76">
        <f>175.1448-14.2041</f>
        <v>160.94069999999999</v>
      </c>
      <c r="J135" s="76">
        <f t="shared" si="121"/>
        <v>13.251300000000001</v>
      </c>
      <c r="K135" s="76">
        <f>4+3+1+7.9+9.86+6.88</f>
        <v>32.64</v>
      </c>
      <c r="L135" s="76">
        <f t="shared" si="98"/>
        <v>45.891300000000001</v>
      </c>
      <c r="M135" s="155">
        <f t="shared" si="103"/>
        <v>206.83199999999999</v>
      </c>
      <c r="N135" s="151">
        <f t="shared" si="59"/>
        <v>0.19999999999999996</v>
      </c>
      <c r="O135" s="80">
        <f>176.4819+3.6574-112.4719</f>
        <v>67.667399999999986</v>
      </c>
      <c r="P135" s="78">
        <f t="shared" si="112"/>
        <v>-3.6574</v>
      </c>
      <c r="Q135" s="80">
        <f>4+3+1+8.9+9.86+6.88+7</f>
        <v>40.64</v>
      </c>
      <c r="R135" s="177">
        <f t="shared" si="60"/>
        <v>36.982599999999998</v>
      </c>
      <c r="S135" s="82">
        <f t="shared" si="123"/>
        <v>104.64999999999999</v>
      </c>
      <c r="T135" s="62">
        <f t="shared" si="61"/>
        <v>0.14999999999999991</v>
      </c>
      <c r="U135" s="231">
        <f>202.8478+12.6796-33.8511</f>
        <v>181.6763</v>
      </c>
      <c r="V135" s="194">
        <f t="shared" si="78"/>
        <v>-12.679600000000001</v>
      </c>
      <c r="W135" s="191">
        <f>8.9+6.2708+4.9071+4.7753+1</f>
        <v>25.853200000000001</v>
      </c>
      <c r="X135" s="191">
        <f t="shared" si="64"/>
        <v>13.1736</v>
      </c>
      <c r="Y135" s="198">
        <f t="shared" si="124"/>
        <v>194.84989999999999</v>
      </c>
      <c r="Z135" s="188">
        <f t="shared" si="108"/>
        <v>0.50000038491176668</v>
      </c>
      <c r="AA135" s="80">
        <f>142.6434-52.0896</f>
        <v>90.553800000000024</v>
      </c>
      <c r="AB135" s="85">
        <f>3.2094+4+0.05+0.1-1.3937</f>
        <v>5.9657</v>
      </c>
      <c r="AC135" s="87">
        <f t="shared" si="125"/>
        <v>96.519500000000022</v>
      </c>
      <c r="AD135" s="172">
        <f t="shared" si="63"/>
        <v>0.15000000000000013</v>
      </c>
      <c r="AE135" s="228">
        <f>175.1448+2.8342-26.8713</f>
        <v>151.10770000000002</v>
      </c>
      <c r="AF135" s="220">
        <f t="shared" si="66"/>
        <v>-2.8341999999999996</v>
      </c>
      <c r="AG135" s="221">
        <f>1+7.9+9.86+6.88+0.3</f>
        <v>25.939999999999998</v>
      </c>
      <c r="AH135" s="221">
        <f t="shared" si="88"/>
        <v>23.105799999999999</v>
      </c>
      <c r="AI135" s="222">
        <f t="shared" si="89"/>
        <v>174.21350000000001</v>
      </c>
      <c r="AJ135" s="173">
        <f t="shared" si="92"/>
        <v>0.14999999999999991</v>
      </c>
      <c r="AK135" s="229">
        <f>161.5876+11.8433+0.2608-144.8009</f>
        <v>28.890799999999984</v>
      </c>
      <c r="AL135" s="224">
        <f t="shared" si="126"/>
        <v>-0.26080000000000003</v>
      </c>
      <c r="AM135" s="224">
        <f>1+7.9+9.56+6.88+0.3</f>
        <v>25.64</v>
      </c>
      <c r="AN135" s="224">
        <f t="shared" si="90"/>
        <v>25.379200000000001</v>
      </c>
      <c r="AO135" s="225">
        <f t="shared" si="91"/>
        <v>54.269999999999982</v>
      </c>
      <c r="AP135" s="172">
        <f t="shared" si="94"/>
        <v>0</v>
      </c>
      <c r="AQ135" s="76"/>
      <c r="AR135" s="76"/>
      <c r="AS135" s="76"/>
      <c r="AT135" s="76"/>
      <c r="AU135" s="76"/>
      <c r="AV135" s="151"/>
    </row>
    <row r="136" spans="1:48" ht="15">
      <c r="A136" s="247">
        <v>41334</v>
      </c>
      <c r="B136" s="232">
        <v>188.93</v>
      </c>
      <c r="C136" s="73">
        <f>169.6505-19.2605</f>
        <v>150.38999999999999</v>
      </c>
      <c r="D136" s="80">
        <f t="shared" si="119"/>
        <v>21.930000000000003</v>
      </c>
      <c r="E136" s="80">
        <f>4+3+1+7.9+9.86+6.88</f>
        <v>32.64</v>
      </c>
      <c r="F136" s="80">
        <f t="shared" si="58"/>
        <v>54.570000000000007</v>
      </c>
      <c r="G136" s="77">
        <f t="shared" ref="G136:G145" si="127">SUM(C136:E136)</f>
        <v>204.95999999999998</v>
      </c>
      <c r="H136" s="43">
        <f t="shared" si="107"/>
        <v>0</v>
      </c>
      <c r="I136" s="76">
        <f>174.107-13.1663</f>
        <v>160.94069999999999</v>
      </c>
      <c r="J136" s="76">
        <f t="shared" si="121"/>
        <v>13.251300000000001</v>
      </c>
      <c r="K136" s="76">
        <f>4+3+1+7.9+9.86+6.88</f>
        <v>32.64</v>
      </c>
      <c r="L136" s="76">
        <f t="shared" si="98"/>
        <v>45.891300000000001</v>
      </c>
      <c r="M136" s="155">
        <f t="shared" ref="M136:M147" si="128">SUM(I136:K136)</f>
        <v>206.83199999999999</v>
      </c>
      <c r="N136" s="151">
        <f t="shared" si="59"/>
        <v>0</v>
      </c>
      <c r="O136" s="80">
        <f>176.6348+3.6574-112.6248</f>
        <v>67.667400000000015</v>
      </c>
      <c r="P136" s="78">
        <f t="shared" si="112"/>
        <v>-3.6574</v>
      </c>
      <c r="Q136" s="80">
        <f>4+3+1+8.9+9.86+6.88+7</f>
        <v>40.64</v>
      </c>
      <c r="R136" s="177">
        <f t="shared" si="60"/>
        <v>36.982599999999998</v>
      </c>
      <c r="S136" s="82">
        <f t="shared" ref="S136:S158" si="129">SUM(O136:Q136)</f>
        <v>104.65000000000002</v>
      </c>
      <c r="T136" s="62">
        <f t="shared" si="61"/>
        <v>0</v>
      </c>
      <c r="U136" s="233">
        <f>204.3324+12.6796-35.3357</f>
        <v>181.6763</v>
      </c>
      <c r="V136" s="194">
        <f t="shared" si="78"/>
        <v>-12.679600000000001</v>
      </c>
      <c r="W136" s="191">
        <f>8.9+6.2708+4.9071+4.7753+1</f>
        <v>25.853200000000001</v>
      </c>
      <c r="X136" s="191">
        <f t="shared" si="64"/>
        <v>13.1736</v>
      </c>
      <c r="Y136" s="198">
        <f t="shared" ref="Y136:Y145" si="130">SUM(U136:W136)</f>
        <v>194.84989999999999</v>
      </c>
      <c r="Z136" s="188">
        <f t="shared" si="108"/>
        <v>0</v>
      </c>
      <c r="AA136" s="80">
        <f>143.1367-52.5829</f>
        <v>90.553799999999995</v>
      </c>
      <c r="AB136" s="85">
        <f>3.2094+4+0.05+0.1-1.3937</f>
        <v>5.9657</v>
      </c>
      <c r="AC136" s="87">
        <f t="shared" ref="AC136:AC158" si="131">SUM(AA136:AB136)</f>
        <v>96.519499999999994</v>
      </c>
      <c r="AD136" s="172">
        <f t="shared" si="63"/>
        <v>0</v>
      </c>
      <c r="AE136" s="228">
        <f>174.107+2.8342-25.8335</f>
        <v>151.10770000000002</v>
      </c>
      <c r="AF136" s="220">
        <f t="shared" si="66"/>
        <v>-2.8341999999999996</v>
      </c>
      <c r="AG136" s="221">
        <f>1+7.9+9.86+6.88+0.3</f>
        <v>25.939999999999998</v>
      </c>
      <c r="AH136" s="221">
        <f t="shared" si="88"/>
        <v>23.105799999999999</v>
      </c>
      <c r="AI136" s="222">
        <f t="shared" si="89"/>
        <v>174.21350000000001</v>
      </c>
      <c r="AJ136" s="173">
        <f t="shared" si="92"/>
        <v>0</v>
      </c>
      <c r="AK136" s="229">
        <f>163.9955+11.8433+0.2608-147.2088</f>
        <v>28.890799999999984</v>
      </c>
      <c r="AL136" s="224">
        <f t="shared" si="126"/>
        <v>-0.26080000000000003</v>
      </c>
      <c r="AM136" s="224">
        <f>1+7.9+9.56+6.88+0.3</f>
        <v>25.64</v>
      </c>
      <c r="AN136" s="224">
        <f t="shared" si="90"/>
        <v>25.379200000000001</v>
      </c>
      <c r="AO136" s="225">
        <f t="shared" si="91"/>
        <v>54.269999999999982</v>
      </c>
      <c r="AP136" s="172">
        <f t="shared" si="94"/>
        <v>0</v>
      </c>
      <c r="AQ136" s="76"/>
      <c r="AR136" s="76"/>
      <c r="AS136" s="76"/>
      <c r="AT136" s="76"/>
      <c r="AU136" s="76"/>
      <c r="AV136" s="151"/>
    </row>
    <row r="137" spans="1:48" ht="15">
      <c r="A137" s="247">
        <v>41349</v>
      </c>
      <c r="B137" s="72">
        <v>189.02</v>
      </c>
      <c r="C137" s="246">
        <f>157.2454-6.8554</f>
        <v>150.38999999999999</v>
      </c>
      <c r="D137" s="80">
        <f t="shared" si="119"/>
        <v>21.930000000000003</v>
      </c>
      <c r="E137" s="80">
        <f>4+3+1+7.9+9.86+6.88</f>
        <v>32.64</v>
      </c>
      <c r="F137" s="80">
        <f t="shared" si="58"/>
        <v>54.570000000000007</v>
      </c>
      <c r="G137" s="77">
        <f t="shared" si="127"/>
        <v>204.95999999999998</v>
      </c>
      <c r="H137" s="43">
        <f t="shared" si="107"/>
        <v>0</v>
      </c>
      <c r="I137" s="76">
        <f>163.4142-2.4735</f>
        <v>160.94069999999999</v>
      </c>
      <c r="J137" s="76">
        <f>1.8+8+6+0.05+0.1-2.6987</f>
        <v>13.251300000000001</v>
      </c>
      <c r="K137" s="76">
        <f>4+3+1+7.9+9.86+6.88</f>
        <v>32.64</v>
      </c>
      <c r="L137" s="76">
        <f t="shared" si="98"/>
        <v>45.891300000000001</v>
      </c>
      <c r="M137" s="155">
        <f t="shared" si="128"/>
        <v>206.83199999999999</v>
      </c>
      <c r="N137" s="151">
        <f t="shared" si="59"/>
        <v>0</v>
      </c>
      <c r="O137" s="80">
        <f>177.5391+3.6574-113.5291</f>
        <v>67.667399999999986</v>
      </c>
      <c r="P137" s="78">
        <f t="shared" si="112"/>
        <v>-3.6574</v>
      </c>
      <c r="Q137" s="80">
        <f>4+3+1+8.9+9.86+6.88+7</f>
        <v>40.64</v>
      </c>
      <c r="R137" s="177">
        <f t="shared" si="60"/>
        <v>36.982599999999998</v>
      </c>
      <c r="S137" s="82">
        <f t="shared" si="129"/>
        <v>104.64999999999999</v>
      </c>
      <c r="T137" s="62">
        <f t="shared" si="61"/>
        <v>0</v>
      </c>
      <c r="U137" s="231">
        <f>191.8502+12.6796-22.8535</f>
        <v>181.6763</v>
      </c>
      <c r="V137" s="194">
        <f>0.7246+5-18.4042</f>
        <v>-12.679600000000001</v>
      </c>
      <c r="W137" s="191">
        <f>8.9+6.2708+4.9071+4.7753+1</f>
        <v>25.853200000000001</v>
      </c>
      <c r="X137" s="191">
        <f t="shared" si="64"/>
        <v>13.1736</v>
      </c>
      <c r="Y137" s="198">
        <f t="shared" si="130"/>
        <v>194.84989999999999</v>
      </c>
      <c r="Z137" s="188">
        <f t="shared" si="108"/>
        <v>0</v>
      </c>
      <c r="AA137" s="80">
        <f>135.7453-45.1915</f>
        <v>90.553799999999995</v>
      </c>
      <c r="AB137" s="85">
        <f>3.2094+4+0.05+0.1-1.3937</f>
        <v>5.9657</v>
      </c>
      <c r="AC137" s="87">
        <f t="shared" si="131"/>
        <v>96.519499999999994</v>
      </c>
      <c r="AD137" s="172">
        <f t="shared" si="63"/>
        <v>0</v>
      </c>
      <c r="AE137" s="228">
        <f>163.4142+2.8342-15.1407</f>
        <v>151.10769999999999</v>
      </c>
      <c r="AF137" s="220">
        <f t="shared" si="66"/>
        <v>-2.8341999999999996</v>
      </c>
      <c r="AG137" s="221">
        <f>1+7.9+9.86+6.88+0.3</f>
        <v>25.939999999999998</v>
      </c>
      <c r="AH137" s="221">
        <f t="shared" si="88"/>
        <v>23.105799999999999</v>
      </c>
      <c r="AI137" s="222">
        <f t="shared" si="89"/>
        <v>174.21349999999998</v>
      </c>
      <c r="AJ137" s="173">
        <f t="shared" si="92"/>
        <v>0</v>
      </c>
      <c r="AK137" s="229">
        <f>152.0039+11.8433+0.2608-135.2172</f>
        <v>28.890799999999984</v>
      </c>
      <c r="AL137" s="224">
        <f t="shared" si="126"/>
        <v>-0.26080000000000003</v>
      </c>
      <c r="AM137" s="224">
        <f>1+7.9+9.56+6.88+0.3</f>
        <v>25.64</v>
      </c>
      <c r="AN137" s="224">
        <f t="shared" si="90"/>
        <v>25.379200000000001</v>
      </c>
      <c r="AO137" s="225">
        <f t="shared" si="91"/>
        <v>54.269999999999982</v>
      </c>
      <c r="AP137" s="172">
        <f t="shared" si="94"/>
        <v>0</v>
      </c>
      <c r="AQ137" s="76"/>
      <c r="AR137" s="76"/>
      <c r="AS137" s="76"/>
      <c r="AT137" s="76"/>
      <c r="AU137" s="76"/>
      <c r="AV137" s="151"/>
    </row>
    <row r="138" spans="1:48" ht="15">
      <c r="A138" s="247">
        <v>41365</v>
      </c>
      <c r="B138" s="72">
        <v>189.7</v>
      </c>
      <c r="C138" s="80">
        <f>154.4683-4.0783</f>
        <v>150.38999999999999</v>
      </c>
      <c r="D138" s="80">
        <f t="shared" si="119"/>
        <v>21.930000000000003</v>
      </c>
      <c r="E138" s="80">
        <f t="shared" ref="E138:E162" si="132">4+3+1+7.9+9.86+6.88</f>
        <v>32.64</v>
      </c>
      <c r="F138" s="80">
        <f t="shared" ref="F138:F178" si="133">D138+E138</f>
        <v>54.570000000000007</v>
      </c>
      <c r="G138" s="77">
        <f t="shared" si="127"/>
        <v>204.95999999999998</v>
      </c>
      <c r="H138" s="43">
        <f t="shared" si="107"/>
        <v>0</v>
      </c>
      <c r="I138" s="76">
        <f>161.114-0.1733</f>
        <v>160.94069999999999</v>
      </c>
      <c r="J138" s="76">
        <f>1.8+8+6+0.05+0.1-2.6987</f>
        <v>13.251300000000001</v>
      </c>
      <c r="K138" s="76">
        <f>4+3+1+7.9+9.86+6.88</f>
        <v>32.64</v>
      </c>
      <c r="L138" s="76">
        <f t="shared" si="98"/>
        <v>45.891300000000001</v>
      </c>
      <c r="M138" s="155">
        <f t="shared" si="128"/>
        <v>206.83199999999999</v>
      </c>
      <c r="N138" s="151">
        <f t="shared" ref="N138:N188" si="134">M138/M137-1</f>
        <v>0</v>
      </c>
      <c r="O138" s="80">
        <f>173.8306+3.6574-109.8206</f>
        <v>67.667400000000001</v>
      </c>
      <c r="P138" s="78">
        <f>1.0375+0.05+0.1-4.8449</f>
        <v>-3.6574</v>
      </c>
      <c r="Q138" s="80">
        <f>4+3+1+8.9+9.86+6.88+7</f>
        <v>40.64</v>
      </c>
      <c r="R138" s="177">
        <f t="shared" ref="R138:R178" si="135">P138+Q138</f>
        <v>36.982599999999998</v>
      </c>
      <c r="S138" s="82">
        <f t="shared" si="129"/>
        <v>104.65</v>
      </c>
      <c r="T138" s="62">
        <f t="shared" ref="T138:T196" si="136">S138/S137-1</f>
        <v>0</v>
      </c>
      <c r="U138" s="231">
        <f>184.6592+12.6796-15.6625</f>
        <v>181.6763</v>
      </c>
      <c r="V138" s="194">
        <f>0.7246+5-18.4042</f>
        <v>-12.679600000000001</v>
      </c>
      <c r="W138" s="191">
        <f>8.9+6.2708+4.9071+4.7753+1</f>
        <v>25.853200000000001</v>
      </c>
      <c r="X138" s="191">
        <f t="shared" si="64"/>
        <v>13.1736</v>
      </c>
      <c r="Y138" s="198">
        <f t="shared" si="130"/>
        <v>194.84989999999999</v>
      </c>
      <c r="Z138" s="188">
        <f t="shared" si="108"/>
        <v>0</v>
      </c>
      <c r="AA138" s="80">
        <f>133.071-42.5172</f>
        <v>90.553799999999995</v>
      </c>
      <c r="AB138" s="85">
        <f>3.2094+4+0.05+0.1-1.3937</f>
        <v>5.9657</v>
      </c>
      <c r="AC138" s="87">
        <f t="shared" si="131"/>
        <v>96.519499999999994</v>
      </c>
      <c r="AD138" s="172">
        <f t="shared" ref="AD138:AD196" si="137">AC138/AC137-1</f>
        <v>0</v>
      </c>
      <c r="AE138" s="228">
        <f>161.114+2.8342-12.8405</f>
        <v>151.10770000000002</v>
      </c>
      <c r="AF138" s="220">
        <f t="shared" si="66"/>
        <v>-2.8341999999999996</v>
      </c>
      <c r="AG138" s="221">
        <f>1+7.9+9.86+6.88+0.3</f>
        <v>25.939999999999998</v>
      </c>
      <c r="AH138" s="221">
        <f t="shared" si="88"/>
        <v>23.105799999999999</v>
      </c>
      <c r="AI138" s="222">
        <f t="shared" si="89"/>
        <v>174.21350000000001</v>
      </c>
      <c r="AJ138" s="173">
        <f t="shared" si="92"/>
        <v>0</v>
      </c>
      <c r="AK138" s="229">
        <f>149.2137+11.8433+0.2608-132.427</f>
        <v>28.890799999999984</v>
      </c>
      <c r="AL138" s="224">
        <f t="shared" si="126"/>
        <v>-0.26080000000000003</v>
      </c>
      <c r="AM138" s="224">
        <f>1+7.9+9.56+6.88+0.3</f>
        <v>25.64</v>
      </c>
      <c r="AN138" s="224">
        <f t="shared" si="90"/>
        <v>25.379200000000001</v>
      </c>
      <c r="AO138" s="225">
        <f t="shared" si="91"/>
        <v>54.269999999999982</v>
      </c>
      <c r="AP138" s="172">
        <f t="shared" si="94"/>
        <v>0</v>
      </c>
      <c r="AQ138" s="76"/>
      <c r="AR138" s="76"/>
      <c r="AS138" s="76"/>
      <c r="AT138" s="76"/>
      <c r="AU138" s="76"/>
      <c r="AV138" s="151"/>
    </row>
    <row r="139" spans="1:48" ht="15">
      <c r="A139" s="247">
        <v>41380</v>
      </c>
      <c r="B139" s="72">
        <v>190.41</v>
      </c>
      <c r="C139" s="80">
        <f>154.4683-4.0783</f>
        <v>150.38999999999999</v>
      </c>
      <c r="D139" s="80">
        <f t="shared" si="119"/>
        <v>21.930000000000003</v>
      </c>
      <c r="E139" s="80">
        <f t="shared" si="132"/>
        <v>32.64</v>
      </c>
      <c r="F139" s="80">
        <f t="shared" si="133"/>
        <v>54.570000000000007</v>
      </c>
      <c r="G139" s="77">
        <f t="shared" si="127"/>
        <v>204.95999999999998</v>
      </c>
      <c r="H139" s="43">
        <f t="shared" si="107"/>
        <v>0</v>
      </c>
      <c r="I139" s="76">
        <f>159.6032+1.3375</f>
        <v>160.94069999999999</v>
      </c>
      <c r="J139" s="76">
        <f>1.8+8+6+0.05+0.1-2.6987</f>
        <v>13.251300000000001</v>
      </c>
      <c r="K139" s="76">
        <f>4+3+1+7.9+9.86+6.88</f>
        <v>32.64</v>
      </c>
      <c r="L139" s="76">
        <f t="shared" si="98"/>
        <v>45.891300000000001</v>
      </c>
      <c r="M139" s="155">
        <f t="shared" si="128"/>
        <v>206.83199999999999</v>
      </c>
      <c r="N139" s="151">
        <f t="shared" si="134"/>
        <v>0</v>
      </c>
      <c r="O139" s="80">
        <f>170.1876+3.6574-106.1776</f>
        <v>67.667400000000001</v>
      </c>
      <c r="P139" s="78">
        <f>1.0375+0.05+0.1-4.8449</f>
        <v>-3.6574</v>
      </c>
      <c r="Q139" s="80">
        <f>4+3+1+8.9+9.86+6.88+7</f>
        <v>40.64</v>
      </c>
      <c r="R139" s="177">
        <f t="shared" si="135"/>
        <v>36.982599999999998</v>
      </c>
      <c r="S139" s="82">
        <f t="shared" si="129"/>
        <v>104.65</v>
      </c>
      <c r="T139" s="62">
        <f t="shared" si="136"/>
        <v>0</v>
      </c>
      <c r="U139" s="231">
        <f>175.3132+12.6796-6.3165</f>
        <v>181.6763</v>
      </c>
      <c r="V139" s="194">
        <f>0.7246+5-18.4042</f>
        <v>-12.679600000000001</v>
      </c>
      <c r="W139" s="191">
        <f>8.9+6.2708+4.9071+4.7753+1</f>
        <v>25.853200000000001</v>
      </c>
      <c r="X139" s="191">
        <f t="shared" ref="X139:X178" si="138">V139+W139</f>
        <v>13.1736</v>
      </c>
      <c r="Y139" s="198">
        <f t="shared" si="130"/>
        <v>194.84989999999999</v>
      </c>
      <c r="Z139" s="188">
        <f t="shared" si="108"/>
        <v>0</v>
      </c>
      <c r="AA139" s="80">
        <f>131.2296-40.6758</f>
        <v>90.553799999999995</v>
      </c>
      <c r="AB139" s="85">
        <f>3.2094+4+0.05+0.1-1.3937</f>
        <v>5.9657</v>
      </c>
      <c r="AC139" s="87">
        <f t="shared" si="131"/>
        <v>96.519499999999994</v>
      </c>
      <c r="AD139" s="172">
        <f t="shared" si="137"/>
        <v>0</v>
      </c>
      <c r="AE139" s="228">
        <f>159.6032+2.8342-11.3297</f>
        <v>151.10769999999999</v>
      </c>
      <c r="AF139" s="220">
        <f t="shared" si="66"/>
        <v>-2.8341999999999996</v>
      </c>
      <c r="AG139" s="221">
        <f>1+7.9+9.86+6.88+0.3</f>
        <v>25.939999999999998</v>
      </c>
      <c r="AH139" s="221">
        <f t="shared" si="88"/>
        <v>23.105799999999999</v>
      </c>
      <c r="AI139" s="222">
        <f t="shared" si="89"/>
        <v>174.21349999999998</v>
      </c>
      <c r="AJ139" s="173">
        <f t="shared" si="92"/>
        <v>0</v>
      </c>
      <c r="AK139" s="229">
        <f>149.3194+11.8433+0.2608-132.5327</f>
        <v>28.890799999999984</v>
      </c>
      <c r="AL139" s="224">
        <f t="shared" si="126"/>
        <v>-0.26080000000000003</v>
      </c>
      <c r="AM139" s="224">
        <f>1+7.9+9.56+6.88+0.3</f>
        <v>25.64</v>
      </c>
      <c r="AN139" s="224">
        <f t="shared" si="90"/>
        <v>25.379200000000001</v>
      </c>
      <c r="AO139" s="225">
        <f t="shared" si="91"/>
        <v>54.269999999999982</v>
      </c>
      <c r="AP139" s="172">
        <f t="shared" si="94"/>
        <v>0</v>
      </c>
      <c r="AQ139" s="76"/>
      <c r="AR139" s="76"/>
      <c r="AS139" s="76"/>
      <c r="AT139" s="76"/>
      <c r="AU139" s="76"/>
      <c r="AV139" s="151"/>
    </row>
    <row r="140" spans="1:48" ht="15">
      <c r="A140" s="247">
        <v>41395</v>
      </c>
      <c r="B140" s="72">
        <v>190.76999999999998</v>
      </c>
      <c r="C140" s="80">
        <f>146.7267+3.6633</f>
        <v>150.38999999999999</v>
      </c>
      <c r="D140" s="80">
        <f t="shared" si="119"/>
        <v>21.930000000000003</v>
      </c>
      <c r="E140" s="80">
        <f t="shared" si="132"/>
        <v>32.64</v>
      </c>
      <c r="F140" s="80">
        <f t="shared" si="133"/>
        <v>54.570000000000007</v>
      </c>
      <c r="G140" s="77">
        <f t="shared" si="127"/>
        <v>204.95999999999998</v>
      </c>
      <c r="H140" s="43">
        <f t="shared" si="107"/>
        <v>0</v>
      </c>
      <c r="I140" s="76">
        <f>151.0711+9.8696</f>
        <v>160.94069999999999</v>
      </c>
      <c r="J140" s="76">
        <f t="shared" ref="J140:J159" si="139">1.8+8+6+0.05+0.1-2.6987</f>
        <v>13.251300000000001</v>
      </c>
      <c r="K140" s="76">
        <f t="shared" ref="K140:K162" si="140">4+3+1+7.9+9.86+6.88</f>
        <v>32.64</v>
      </c>
      <c r="L140" s="76">
        <f t="shared" si="98"/>
        <v>45.891300000000001</v>
      </c>
      <c r="M140" s="155">
        <f t="shared" si="128"/>
        <v>206.83199999999999</v>
      </c>
      <c r="N140" s="151">
        <f t="shared" si="134"/>
        <v>0</v>
      </c>
      <c r="O140" s="80">
        <f>161.7808+3.6574-97.7708</f>
        <v>67.667400000000001</v>
      </c>
      <c r="P140" s="78">
        <f t="shared" ref="P140:P154" si="141">1.0375+0.05+0.1-4.8449</f>
        <v>-3.6574</v>
      </c>
      <c r="Q140" s="80">
        <f t="shared" ref="Q140:Q162" si="142">4+3+1+8.9+9.86+6.88+7</f>
        <v>40.64</v>
      </c>
      <c r="R140" s="177">
        <f t="shared" si="135"/>
        <v>36.982599999999998</v>
      </c>
      <c r="S140" s="82">
        <f t="shared" si="129"/>
        <v>104.65</v>
      </c>
      <c r="T140" s="62">
        <f t="shared" si="136"/>
        <v>0</v>
      </c>
      <c r="U140" s="231">
        <f>164.3206+12.6796+4.6761</f>
        <v>181.6763</v>
      </c>
      <c r="V140" s="194">
        <f t="shared" ref="V140:V179" si="143">0.7246+5-18.4042</f>
        <v>-12.679600000000001</v>
      </c>
      <c r="W140" s="191">
        <f t="shared" ref="W140:W162" si="144">8.9+6.2708+4.9071+4.7753+1</f>
        <v>25.853200000000001</v>
      </c>
      <c r="X140" s="191">
        <f t="shared" si="138"/>
        <v>13.1736</v>
      </c>
      <c r="Y140" s="198">
        <f t="shared" si="130"/>
        <v>194.84989999999999</v>
      </c>
      <c r="Z140" s="188">
        <f t="shared" si="108"/>
        <v>0</v>
      </c>
      <c r="AA140" s="80">
        <f>126.3117-35.7579</f>
        <v>90.553799999999995</v>
      </c>
      <c r="AB140" s="85">
        <f t="shared" ref="AB140:AB196" si="145">3.2094+4+0.05+0.1-1.3937</f>
        <v>5.9657</v>
      </c>
      <c r="AC140" s="87">
        <f t="shared" si="131"/>
        <v>96.519499999999994</v>
      </c>
      <c r="AD140" s="172">
        <f t="shared" si="137"/>
        <v>0</v>
      </c>
      <c r="AE140" s="228">
        <f>151.0711+2.8342-2.7976</f>
        <v>151.10770000000002</v>
      </c>
      <c r="AF140" s="220">
        <f t="shared" si="66"/>
        <v>-2.8341999999999996</v>
      </c>
      <c r="AG140" s="221">
        <f t="shared" ref="AG140:AG162" si="146">1+7.9+9.86+6.88+0.3</f>
        <v>25.939999999999998</v>
      </c>
      <c r="AH140" s="221">
        <f t="shared" si="88"/>
        <v>23.105799999999999</v>
      </c>
      <c r="AI140" s="222">
        <f t="shared" si="89"/>
        <v>174.21350000000001</v>
      </c>
      <c r="AJ140" s="173">
        <f t="shared" si="92"/>
        <v>0</v>
      </c>
      <c r="AK140" s="229">
        <f>141.8358+11.8433+0.2608-125.0492</f>
        <v>28.890699999999995</v>
      </c>
      <c r="AL140" s="224">
        <f t="shared" si="126"/>
        <v>-0.26080000000000003</v>
      </c>
      <c r="AM140" s="224">
        <f t="shared" ref="AM140:AM162" si="147">1+7.9+9.56+6.88+0.3</f>
        <v>25.64</v>
      </c>
      <c r="AN140" s="224">
        <f t="shared" si="90"/>
        <v>25.379200000000001</v>
      </c>
      <c r="AO140" s="225">
        <f t="shared" si="91"/>
        <v>54.269899999999993</v>
      </c>
      <c r="AP140" s="172">
        <f t="shared" si="94"/>
        <v>-1.8426386583225707E-6</v>
      </c>
      <c r="AQ140" s="76"/>
      <c r="AR140" s="76"/>
      <c r="AS140" s="76"/>
      <c r="AT140" s="76"/>
      <c r="AU140" s="76"/>
      <c r="AV140" s="151"/>
    </row>
    <row r="141" spans="1:48" ht="15">
      <c r="A141" s="247">
        <v>41410</v>
      </c>
      <c r="B141" s="72">
        <v>190.41</v>
      </c>
      <c r="C141" s="80">
        <f>147.6472+2.7428</f>
        <v>150.38999999999999</v>
      </c>
      <c r="D141" s="80">
        <f t="shared" si="119"/>
        <v>21.930000000000003</v>
      </c>
      <c r="E141" s="80">
        <f t="shared" si="132"/>
        <v>32.64</v>
      </c>
      <c r="F141" s="80">
        <f t="shared" si="133"/>
        <v>54.570000000000007</v>
      </c>
      <c r="G141" s="77">
        <f t="shared" si="127"/>
        <v>204.95999999999998</v>
      </c>
      <c r="H141" s="43">
        <f t="shared" si="107"/>
        <v>0</v>
      </c>
      <c r="I141" s="76">
        <f>153.5095+7.4312</f>
        <v>160.94069999999999</v>
      </c>
      <c r="J141" s="76">
        <f t="shared" si="139"/>
        <v>13.251300000000001</v>
      </c>
      <c r="K141" s="76">
        <f t="shared" si="140"/>
        <v>32.64</v>
      </c>
      <c r="L141" s="76">
        <f t="shared" si="98"/>
        <v>45.891300000000001</v>
      </c>
      <c r="M141" s="155">
        <f t="shared" si="128"/>
        <v>206.83199999999999</v>
      </c>
      <c r="N141" s="151">
        <f t="shared" si="134"/>
        <v>0</v>
      </c>
      <c r="O141" s="80">
        <f>163.5994+3.6574-99.5894</f>
        <v>67.667400000000001</v>
      </c>
      <c r="P141" s="78">
        <f t="shared" si="141"/>
        <v>-3.6574</v>
      </c>
      <c r="Q141" s="80">
        <f t="shared" si="142"/>
        <v>40.64</v>
      </c>
      <c r="R141" s="177">
        <f t="shared" si="135"/>
        <v>36.982599999999998</v>
      </c>
      <c r="S141" s="82">
        <f t="shared" si="129"/>
        <v>104.65</v>
      </c>
      <c r="T141" s="62">
        <f t="shared" si="136"/>
        <v>0</v>
      </c>
      <c r="U141" s="231">
        <f>166.4811+12.6796+2.5156</f>
        <v>181.6763</v>
      </c>
      <c r="V141" s="194">
        <f t="shared" si="143"/>
        <v>-12.679600000000001</v>
      </c>
      <c r="W141" s="191">
        <f t="shared" si="144"/>
        <v>25.853200000000001</v>
      </c>
      <c r="X141" s="191">
        <f t="shared" si="138"/>
        <v>13.1736</v>
      </c>
      <c r="Y141" s="198">
        <f t="shared" si="130"/>
        <v>194.84989999999999</v>
      </c>
      <c r="Z141" s="188">
        <f t="shared" si="108"/>
        <v>0</v>
      </c>
      <c r="AA141" s="80">
        <f>130.3924-39.8386</f>
        <v>90.55380000000001</v>
      </c>
      <c r="AB141" s="85">
        <f t="shared" si="145"/>
        <v>5.9657</v>
      </c>
      <c r="AC141" s="87">
        <f t="shared" si="131"/>
        <v>96.519500000000008</v>
      </c>
      <c r="AD141" s="172">
        <f t="shared" si="137"/>
        <v>0</v>
      </c>
      <c r="AE141" s="228">
        <f>153.5095+2.8342-5.236</f>
        <v>151.10770000000002</v>
      </c>
      <c r="AF141" s="220">
        <f t="shared" si="66"/>
        <v>-2.8341999999999996</v>
      </c>
      <c r="AG141" s="221">
        <f t="shared" si="146"/>
        <v>25.939999999999998</v>
      </c>
      <c r="AH141" s="221">
        <f t="shared" si="88"/>
        <v>23.105799999999999</v>
      </c>
      <c r="AI141" s="222">
        <f t="shared" si="89"/>
        <v>174.21350000000001</v>
      </c>
      <c r="AJ141" s="173">
        <f t="shared" si="92"/>
        <v>0</v>
      </c>
      <c r="AK141" s="229">
        <f>142.7256+11.8433+0.2608-125.9389</f>
        <v>28.89079999999997</v>
      </c>
      <c r="AL141" s="224">
        <f t="shared" si="126"/>
        <v>-0.26080000000000003</v>
      </c>
      <c r="AM141" s="224">
        <f t="shared" si="147"/>
        <v>25.64</v>
      </c>
      <c r="AN141" s="224">
        <f t="shared" si="90"/>
        <v>25.379200000000001</v>
      </c>
      <c r="AO141" s="225">
        <f t="shared" si="91"/>
        <v>54.269999999999968</v>
      </c>
      <c r="AP141" s="172">
        <f t="shared" si="94"/>
        <v>1.84264205338458E-6</v>
      </c>
      <c r="AQ141" s="76"/>
      <c r="AR141" s="76"/>
      <c r="AS141" s="76"/>
      <c r="AT141" s="76"/>
      <c r="AU141" s="76"/>
      <c r="AV141" s="151"/>
    </row>
    <row r="142" spans="1:48" ht="15">
      <c r="A142" s="247">
        <v>41426</v>
      </c>
      <c r="B142" s="72">
        <v>192.16</v>
      </c>
      <c r="C142" s="80">
        <f>152.0015+4.5396</f>
        <v>156.5411</v>
      </c>
      <c r="D142" s="80">
        <f t="shared" si="119"/>
        <v>21.930000000000003</v>
      </c>
      <c r="E142" s="80">
        <f t="shared" si="132"/>
        <v>32.64</v>
      </c>
      <c r="F142" s="80">
        <f t="shared" si="133"/>
        <v>54.570000000000007</v>
      </c>
      <c r="G142" s="77">
        <f t="shared" si="127"/>
        <v>211.11110000000002</v>
      </c>
      <c r="H142" s="43">
        <f t="shared" si="107"/>
        <v>3.0011221701795598E-2</v>
      </c>
      <c r="I142" s="76">
        <f>156.1629+9.0569</f>
        <v>165.21980000000002</v>
      </c>
      <c r="J142" s="76">
        <f t="shared" si="139"/>
        <v>13.251300000000001</v>
      </c>
      <c r="K142" s="76">
        <f t="shared" si="140"/>
        <v>32.64</v>
      </c>
      <c r="L142" s="76">
        <f t="shared" si="98"/>
        <v>45.891300000000001</v>
      </c>
      <c r="M142" s="155">
        <f t="shared" si="128"/>
        <v>211.11110000000002</v>
      </c>
      <c r="N142" s="151">
        <f t="shared" si="134"/>
        <v>2.0688771563394548E-2</v>
      </c>
      <c r="O142" s="80">
        <f>166.3849+3.6574-102.3749</f>
        <v>67.667399999999986</v>
      </c>
      <c r="P142" s="78">
        <f t="shared" si="141"/>
        <v>-3.6574</v>
      </c>
      <c r="Q142" s="80">
        <f t="shared" si="142"/>
        <v>40.64</v>
      </c>
      <c r="R142" s="177">
        <f t="shared" si="135"/>
        <v>36.982599999999998</v>
      </c>
      <c r="S142" s="82">
        <f t="shared" si="129"/>
        <v>104.64999999999999</v>
      </c>
      <c r="T142" s="62">
        <f t="shared" si="136"/>
        <v>0</v>
      </c>
      <c r="U142" s="231">
        <f>168.8116+12.6796+5.3352</f>
        <v>186.82639999999998</v>
      </c>
      <c r="V142" s="194">
        <f t="shared" si="143"/>
        <v>-12.679600000000001</v>
      </c>
      <c r="W142" s="191">
        <f t="shared" si="144"/>
        <v>25.853200000000001</v>
      </c>
      <c r="X142" s="191">
        <f t="shared" si="138"/>
        <v>13.1736</v>
      </c>
      <c r="Y142" s="198">
        <f t="shared" si="130"/>
        <v>200</v>
      </c>
      <c r="Z142" s="188">
        <f t="shared" si="108"/>
        <v>2.6431114411657353E-2</v>
      </c>
      <c r="AA142" s="80">
        <f>131.332-40.7782</f>
        <v>90.553799999999995</v>
      </c>
      <c r="AB142" s="85">
        <f t="shared" si="145"/>
        <v>5.9657</v>
      </c>
      <c r="AC142" s="87">
        <f t="shared" si="131"/>
        <v>96.519499999999994</v>
      </c>
      <c r="AD142" s="172">
        <f t="shared" si="137"/>
        <v>0</v>
      </c>
      <c r="AE142" s="228">
        <f>156.1629+2.8342-7.8894</f>
        <v>151.10770000000002</v>
      </c>
      <c r="AF142" s="220">
        <f t="shared" si="66"/>
        <v>-2.8341999999999996</v>
      </c>
      <c r="AG142" s="221">
        <f t="shared" si="146"/>
        <v>25.939999999999998</v>
      </c>
      <c r="AH142" s="221">
        <f t="shared" si="88"/>
        <v>23.105799999999999</v>
      </c>
      <c r="AI142" s="222">
        <f t="shared" si="89"/>
        <v>174.21350000000001</v>
      </c>
      <c r="AJ142" s="173">
        <f t="shared" si="92"/>
        <v>0</v>
      </c>
      <c r="AK142" s="229">
        <f>146.9348+11.8433+0.2608-130.1481</f>
        <v>28.890799999999984</v>
      </c>
      <c r="AL142" s="224">
        <f t="shared" si="126"/>
        <v>-0.26080000000000003</v>
      </c>
      <c r="AM142" s="224">
        <f t="shared" si="147"/>
        <v>25.64</v>
      </c>
      <c r="AN142" s="224">
        <f t="shared" si="90"/>
        <v>25.379200000000001</v>
      </c>
      <c r="AO142" s="225">
        <f t="shared" si="91"/>
        <v>54.269999999999982</v>
      </c>
      <c r="AP142" s="172">
        <f t="shared" si="94"/>
        <v>0</v>
      </c>
      <c r="AQ142" s="76"/>
      <c r="AR142" s="76"/>
      <c r="AS142" s="76"/>
      <c r="AT142" s="76"/>
      <c r="AU142" s="76"/>
      <c r="AV142" s="151"/>
    </row>
    <row r="143" spans="1:48" ht="15">
      <c r="A143" s="247">
        <v>41441</v>
      </c>
      <c r="B143" s="72">
        <v>194.4</v>
      </c>
      <c r="C143" s="80">
        <f>154.7439+1.7972</f>
        <v>156.5411</v>
      </c>
      <c r="D143" s="80">
        <f t="shared" si="119"/>
        <v>21.930000000000003</v>
      </c>
      <c r="E143" s="80">
        <f t="shared" si="132"/>
        <v>32.64</v>
      </c>
      <c r="F143" s="80">
        <f t="shared" si="133"/>
        <v>54.570000000000007</v>
      </c>
      <c r="G143" s="77">
        <f t="shared" si="127"/>
        <v>211.11110000000002</v>
      </c>
      <c r="H143" s="43">
        <f t="shared" si="107"/>
        <v>0</v>
      </c>
      <c r="I143" s="76">
        <f>157.8263+7.3935</f>
        <v>165.21979999999999</v>
      </c>
      <c r="J143" s="76">
        <f t="shared" si="139"/>
        <v>13.251300000000001</v>
      </c>
      <c r="K143" s="76">
        <f t="shared" si="140"/>
        <v>32.64</v>
      </c>
      <c r="L143" s="76">
        <f t="shared" si="98"/>
        <v>45.891300000000001</v>
      </c>
      <c r="M143" s="155">
        <f t="shared" si="128"/>
        <v>211.11109999999996</v>
      </c>
      <c r="N143" s="151">
        <f t="shared" si="134"/>
        <v>0</v>
      </c>
      <c r="O143" s="80">
        <f>168.9315+3.6574-104.9215</f>
        <v>67.667400000000001</v>
      </c>
      <c r="P143" s="78">
        <f t="shared" si="141"/>
        <v>-3.6574</v>
      </c>
      <c r="Q143" s="80">
        <f t="shared" si="142"/>
        <v>40.64</v>
      </c>
      <c r="R143" s="177">
        <f t="shared" si="135"/>
        <v>36.982599999999998</v>
      </c>
      <c r="S143" s="82">
        <f t="shared" si="129"/>
        <v>104.65</v>
      </c>
      <c r="T143" s="62">
        <f t="shared" si="136"/>
        <v>0</v>
      </c>
      <c r="U143" s="231">
        <f>170.9129+12.6796+3.2338</f>
        <v>186.8263</v>
      </c>
      <c r="V143" s="194">
        <f t="shared" si="143"/>
        <v>-12.679600000000001</v>
      </c>
      <c r="W143" s="191">
        <f t="shared" si="144"/>
        <v>25.853200000000001</v>
      </c>
      <c r="X143" s="191">
        <f t="shared" si="138"/>
        <v>13.1736</v>
      </c>
      <c r="Y143" s="198">
        <f t="shared" si="130"/>
        <v>199.99990000000003</v>
      </c>
      <c r="Z143" s="188">
        <f t="shared" si="108"/>
        <v>-4.9999999984784438E-7</v>
      </c>
      <c r="AA143" s="80">
        <f>133.7136-43.1598</f>
        <v>90.553800000000024</v>
      </c>
      <c r="AB143" s="85">
        <f t="shared" si="145"/>
        <v>5.9657</v>
      </c>
      <c r="AC143" s="87">
        <f t="shared" si="131"/>
        <v>96.519500000000022</v>
      </c>
      <c r="AD143" s="172">
        <f t="shared" si="137"/>
        <v>0</v>
      </c>
      <c r="AE143" s="228">
        <f>157.8263+2.8342-9.5528</f>
        <v>151.10770000000002</v>
      </c>
      <c r="AF143" s="220">
        <f t="shared" si="66"/>
        <v>-2.8341999999999996</v>
      </c>
      <c r="AG143" s="221">
        <f t="shared" si="146"/>
        <v>25.939999999999998</v>
      </c>
      <c r="AH143" s="221">
        <f t="shared" si="88"/>
        <v>23.105799999999999</v>
      </c>
      <c r="AI143" s="222">
        <f t="shared" si="89"/>
        <v>174.21350000000001</v>
      </c>
      <c r="AJ143" s="173">
        <f t="shared" si="92"/>
        <v>0</v>
      </c>
      <c r="AK143" s="229">
        <f>149.5858+11.8433+0.2608-132.7991</f>
        <v>28.890799999999984</v>
      </c>
      <c r="AL143" s="224">
        <f t="shared" si="126"/>
        <v>-0.26080000000000003</v>
      </c>
      <c r="AM143" s="224">
        <f t="shared" si="147"/>
        <v>25.64</v>
      </c>
      <c r="AN143" s="224">
        <f t="shared" si="90"/>
        <v>25.379200000000001</v>
      </c>
      <c r="AO143" s="225">
        <f t="shared" si="91"/>
        <v>54.269999999999982</v>
      </c>
      <c r="AP143" s="172">
        <f t="shared" si="94"/>
        <v>0</v>
      </c>
      <c r="AQ143" s="76"/>
      <c r="AR143" s="76"/>
      <c r="AS143" s="76"/>
      <c r="AT143" s="76"/>
      <c r="AU143" s="76"/>
      <c r="AV143" s="151"/>
    </row>
    <row r="144" spans="1:48" ht="15">
      <c r="A144" s="249">
        <v>41456</v>
      </c>
      <c r="B144" s="72">
        <v>198.82999999999998</v>
      </c>
      <c r="C144" s="80">
        <f>157.9841-1.443</f>
        <v>156.5411</v>
      </c>
      <c r="D144" s="80">
        <f t="shared" si="119"/>
        <v>21.930000000000003</v>
      </c>
      <c r="E144" s="80">
        <f t="shared" si="132"/>
        <v>32.64</v>
      </c>
      <c r="F144" s="80">
        <f t="shared" si="133"/>
        <v>54.570000000000007</v>
      </c>
      <c r="G144" s="77">
        <f t="shared" si="127"/>
        <v>211.11110000000002</v>
      </c>
      <c r="H144" s="43">
        <f t="shared" si="107"/>
        <v>0</v>
      </c>
      <c r="I144" s="76">
        <f>164.1759+1.0439</f>
        <v>165.21980000000002</v>
      </c>
      <c r="J144" s="76">
        <f t="shared" si="139"/>
        <v>13.251300000000001</v>
      </c>
      <c r="K144" s="76">
        <f t="shared" si="140"/>
        <v>32.64</v>
      </c>
      <c r="L144" s="76">
        <f t="shared" si="98"/>
        <v>45.891300000000001</v>
      </c>
      <c r="M144" s="155">
        <f t="shared" si="128"/>
        <v>211.11110000000002</v>
      </c>
      <c r="N144" s="151">
        <f t="shared" si="134"/>
        <v>0</v>
      </c>
      <c r="O144" s="80">
        <f>175.7388+3.6574-111.7288</f>
        <v>67.667399999999986</v>
      </c>
      <c r="P144" s="78">
        <f t="shared" si="141"/>
        <v>-3.6574</v>
      </c>
      <c r="Q144" s="80">
        <f t="shared" si="142"/>
        <v>40.64</v>
      </c>
      <c r="R144" s="177">
        <f t="shared" si="135"/>
        <v>36.982599999999998</v>
      </c>
      <c r="S144" s="82">
        <f t="shared" si="129"/>
        <v>104.64999999999999</v>
      </c>
      <c r="T144" s="62">
        <f t="shared" si="136"/>
        <v>0</v>
      </c>
      <c r="U144" s="231">
        <f>185.653+12.6796-11.5062</f>
        <v>186.82639999999998</v>
      </c>
      <c r="V144" s="194">
        <f t="shared" si="143"/>
        <v>-12.679600000000001</v>
      </c>
      <c r="W144" s="191">
        <f t="shared" si="144"/>
        <v>25.853200000000001</v>
      </c>
      <c r="X144" s="191">
        <f t="shared" si="138"/>
        <v>13.1736</v>
      </c>
      <c r="Y144" s="198">
        <f t="shared" si="130"/>
        <v>200</v>
      </c>
      <c r="Z144" s="188">
        <f t="shared" si="108"/>
        <v>5.0000024987006952E-7</v>
      </c>
      <c r="AA144" s="80">
        <f>137.5064-46.9526</f>
        <v>90.553800000000024</v>
      </c>
      <c r="AB144" s="85">
        <f t="shared" si="145"/>
        <v>5.9657</v>
      </c>
      <c r="AC144" s="87">
        <f t="shared" si="131"/>
        <v>96.519500000000022</v>
      </c>
      <c r="AD144" s="172">
        <f t="shared" si="137"/>
        <v>0</v>
      </c>
      <c r="AE144" s="228">
        <f>164.1759+2.8342-15.9024</f>
        <v>151.10770000000002</v>
      </c>
      <c r="AF144" s="220">
        <f t="shared" si="66"/>
        <v>-2.8341999999999996</v>
      </c>
      <c r="AG144" s="221">
        <f t="shared" si="146"/>
        <v>25.939999999999998</v>
      </c>
      <c r="AH144" s="221">
        <f t="shared" si="88"/>
        <v>23.105799999999999</v>
      </c>
      <c r="AI144" s="222">
        <f t="shared" si="89"/>
        <v>174.21350000000001</v>
      </c>
      <c r="AJ144" s="173">
        <f t="shared" si="92"/>
        <v>0</v>
      </c>
      <c r="AK144" s="229">
        <f>152.718+11.8433+0.2608-135.9313</f>
        <v>28.890799999999984</v>
      </c>
      <c r="AL144" s="224">
        <f t="shared" si="126"/>
        <v>-0.26080000000000003</v>
      </c>
      <c r="AM144" s="224">
        <f t="shared" si="147"/>
        <v>25.64</v>
      </c>
      <c r="AN144" s="224">
        <f t="shared" si="90"/>
        <v>25.379200000000001</v>
      </c>
      <c r="AO144" s="225">
        <f t="shared" si="91"/>
        <v>54.269999999999982</v>
      </c>
      <c r="AP144" s="172">
        <f t="shared" si="94"/>
        <v>0</v>
      </c>
      <c r="AQ144" s="76"/>
      <c r="AR144" s="76"/>
      <c r="AS144" s="76"/>
      <c r="AT144" s="76"/>
      <c r="AU144" s="76"/>
      <c r="AV144" s="151"/>
    </row>
    <row r="145" spans="1:48" ht="15">
      <c r="A145" s="249">
        <v>41471</v>
      </c>
      <c r="B145" s="72">
        <v>199.32000000000002</v>
      </c>
      <c r="C145" s="80">
        <f>160.1563-3.6152</f>
        <v>156.5411</v>
      </c>
      <c r="D145" s="80">
        <f t="shared" si="119"/>
        <v>21.930000000000003</v>
      </c>
      <c r="E145" s="80">
        <f t="shared" si="132"/>
        <v>32.64</v>
      </c>
      <c r="F145" s="80">
        <f t="shared" si="133"/>
        <v>54.570000000000007</v>
      </c>
      <c r="G145" s="77">
        <f t="shared" si="127"/>
        <v>211.11110000000002</v>
      </c>
      <c r="H145" s="43">
        <f t="shared" si="107"/>
        <v>0</v>
      </c>
      <c r="I145" s="76">
        <f>167.8967-2.6769</f>
        <v>165.21980000000002</v>
      </c>
      <c r="J145" s="76">
        <f t="shared" si="139"/>
        <v>13.251300000000001</v>
      </c>
      <c r="K145" s="76">
        <f t="shared" si="140"/>
        <v>32.64</v>
      </c>
      <c r="L145" s="76">
        <f t="shared" si="98"/>
        <v>45.891300000000001</v>
      </c>
      <c r="M145" s="155">
        <f t="shared" si="128"/>
        <v>211.11110000000002</v>
      </c>
      <c r="N145" s="151">
        <f t="shared" si="134"/>
        <v>0</v>
      </c>
      <c r="O145" s="80">
        <f>167.7747+3.6574-103.7647</f>
        <v>67.667399999999986</v>
      </c>
      <c r="P145" s="78">
        <f t="shared" si="141"/>
        <v>-3.6574</v>
      </c>
      <c r="Q145" s="80">
        <f t="shared" si="142"/>
        <v>40.64</v>
      </c>
      <c r="R145" s="177">
        <f t="shared" si="135"/>
        <v>36.982599999999998</v>
      </c>
      <c r="S145" s="82">
        <f t="shared" si="129"/>
        <v>104.64999999999999</v>
      </c>
      <c r="T145" s="62">
        <f t="shared" si="136"/>
        <v>0</v>
      </c>
      <c r="U145" s="231">
        <f>186.4973+12.6796-12.3505</f>
        <v>186.82639999999998</v>
      </c>
      <c r="V145" s="194">
        <f t="shared" si="143"/>
        <v>-12.679600000000001</v>
      </c>
      <c r="W145" s="191">
        <f t="shared" si="144"/>
        <v>25.853200000000001</v>
      </c>
      <c r="X145" s="191">
        <f t="shared" si="138"/>
        <v>13.1736</v>
      </c>
      <c r="Y145" s="198">
        <f t="shared" si="130"/>
        <v>200</v>
      </c>
      <c r="Z145" s="188">
        <f t="shared" si="108"/>
        <v>0</v>
      </c>
      <c r="AA145" s="80">
        <f>135.1957-44.6419</f>
        <v>90.553799999999995</v>
      </c>
      <c r="AB145" s="85">
        <f t="shared" si="145"/>
        <v>5.9657</v>
      </c>
      <c r="AC145" s="87">
        <f t="shared" si="131"/>
        <v>96.519499999999994</v>
      </c>
      <c r="AD145" s="172">
        <f t="shared" si="137"/>
        <v>0</v>
      </c>
      <c r="AE145" s="228">
        <f>167.8967+2.8342-19.6232</f>
        <v>151.10770000000002</v>
      </c>
      <c r="AF145" s="220">
        <f t="shared" si="66"/>
        <v>-2.8341999999999996</v>
      </c>
      <c r="AG145" s="221">
        <f t="shared" si="146"/>
        <v>25.939999999999998</v>
      </c>
      <c r="AH145" s="221">
        <f t="shared" si="88"/>
        <v>23.105799999999999</v>
      </c>
      <c r="AI145" s="222">
        <f t="shared" si="89"/>
        <v>174.21350000000001</v>
      </c>
      <c r="AJ145" s="173">
        <f t="shared" si="92"/>
        <v>0</v>
      </c>
      <c r="AK145" s="229">
        <f>154.8178+11.8433+0.2608-138.0311</f>
        <v>28.890799999999984</v>
      </c>
      <c r="AL145" s="224">
        <f t="shared" si="126"/>
        <v>-0.26080000000000003</v>
      </c>
      <c r="AM145" s="224">
        <f t="shared" si="147"/>
        <v>25.64</v>
      </c>
      <c r="AN145" s="224">
        <f t="shared" si="90"/>
        <v>25.379200000000001</v>
      </c>
      <c r="AO145" s="225">
        <f t="shared" si="91"/>
        <v>54.269999999999982</v>
      </c>
      <c r="AP145" s="172">
        <f t="shared" si="94"/>
        <v>0</v>
      </c>
      <c r="AQ145" s="76"/>
      <c r="AR145" s="76"/>
      <c r="AS145" s="76"/>
      <c r="AT145" s="76"/>
      <c r="AU145" s="76"/>
      <c r="AV145" s="151"/>
    </row>
    <row r="146" spans="1:48" ht="15">
      <c r="A146" s="249">
        <v>41472</v>
      </c>
      <c r="B146" s="72">
        <v>199.32000000000002</v>
      </c>
      <c r="C146" s="80">
        <f>160.1563</f>
        <v>160.15629999999999</v>
      </c>
      <c r="D146" s="80">
        <f t="shared" si="119"/>
        <v>21.930000000000003</v>
      </c>
      <c r="E146" s="80">
        <f t="shared" si="132"/>
        <v>32.64</v>
      </c>
      <c r="F146" s="80">
        <f t="shared" si="133"/>
        <v>54.570000000000007</v>
      </c>
      <c r="G146" s="77">
        <f t="shared" ref="G146:G153" si="148">SUM(C146:E146)</f>
        <v>214.72629999999998</v>
      </c>
      <c r="H146" s="43">
        <f t="shared" si="107"/>
        <v>1.7124632480243651E-2</v>
      </c>
      <c r="I146" s="76">
        <f>167.8967</f>
        <v>167.89670000000001</v>
      </c>
      <c r="J146" s="76">
        <f t="shared" si="139"/>
        <v>13.251300000000001</v>
      </c>
      <c r="K146" s="76">
        <f t="shared" si="140"/>
        <v>32.64</v>
      </c>
      <c r="L146" s="76">
        <f t="shared" si="98"/>
        <v>45.891300000000001</v>
      </c>
      <c r="M146" s="155">
        <f t="shared" si="128"/>
        <v>213.78800000000001</v>
      </c>
      <c r="N146" s="151">
        <f t="shared" si="134"/>
        <v>1.2680053298950167E-2</v>
      </c>
      <c r="O146" s="80">
        <f>167.7747+3.6574-93.3822</f>
        <v>78.049899999999994</v>
      </c>
      <c r="P146" s="78">
        <f t="shared" si="141"/>
        <v>-3.6574</v>
      </c>
      <c r="Q146" s="80">
        <f t="shared" si="142"/>
        <v>40.64</v>
      </c>
      <c r="R146" s="177">
        <f t="shared" si="135"/>
        <v>36.982599999999998</v>
      </c>
      <c r="S146" s="82">
        <f t="shared" si="129"/>
        <v>115.0325</v>
      </c>
      <c r="T146" s="62">
        <f t="shared" si="136"/>
        <v>9.9211657907310125E-2</v>
      </c>
      <c r="U146" s="231">
        <f>186.4973+12.6796</f>
        <v>199.17689999999999</v>
      </c>
      <c r="V146" s="194">
        <f t="shared" si="143"/>
        <v>-12.679600000000001</v>
      </c>
      <c r="W146" s="191">
        <f t="shared" si="144"/>
        <v>25.853200000000001</v>
      </c>
      <c r="X146" s="191">
        <f t="shared" si="138"/>
        <v>13.1736</v>
      </c>
      <c r="Y146" s="198">
        <f t="shared" ref="Y146:Y187" si="149">SUM(U146:W146)</f>
        <v>212.35050000000001</v>
      </c>
      <c r="Z146" s="188">
        <f t="shared" si="108"/>
        <v>6.1752500000000099E-2</v>
      </c>
      <c r="AA146" s="80">
        <f>135.1957-40.5836</f>
        <v>94.612099999999998</v>
      </c>
      <c r="AB146" s="85">
        <f t="shared" si="145"/>
        <v>5.9657</v>
      </c>
      <c r="AC146" s="87">
        <f t="shared" si="131"/>
        <v>100.5778</v>
      </c>
      <c r="AD146" s="172">
        <f t="shared" si="137"/>
        <v>4.2046425851770985E-2</v>
      </c>
      <c r="AE146" s="228">
        <f>167.8967+2.8342-17.8393</f>
        <v>152.89160000000001</v>
      </c>
      <c r="AF146" s="220">
        <f t="shared" si="66"/>
        <v>-2.8341999999999996</v>
      </c>
      <c r="AG146" s="221">
        <f t="shared" si="146"/>
        <v>25.939999999999998</v>
      </c>
      <c r="AH146" s="221">
        <f t="shared" si="88"/>
        <v>23.105799999999999</v>
      </c>
      <c r="AI146" s="222">
        <f t="shared" si="89"/>
        <v>175.9974</v>
      </c>
      <c r="AJ146" s="173">
        <f t="shared" si="92"/>
        <v>1.0239734578548765E-2</v>
      </c>
      <c r="AK146" s="229">
        <f>154.8178+11.8433+0.2608-125.4828</f>
        <v>41.439099999999996</v>
      </c>
      <c r="AL146" s="224">
        <f t="shared" si="126"/>
        <v>-0.26080000000000003</v>
      </c>
      <c r="AM146" s="224">
        <f t="shared" si="147"/>
        <v>25.64</v>
      </c>
      <c r="AN146" s="224">
        <f t="shared" si="90"/>
        <v>25.379200000000001</v>
      </c>
      <c r="AO146" s="225">
        <f t="shared" si="91"/>
        <v>66.818299999999994</v>
      </c>
      <c r="AP146" s="172">
        <f t="shared" si="94"/>
        <v>0.23121982679196629</v>
      </c>
      <c r="AQ146" s="76"/>
      <c r="AR146" s="76"/>
      <c r="AS146" s="76"/>
      <c r="AT146" s="76"/>
      <c r="AU146" s="76"/>
      <c r="AV146" s="151"/>
    </row>
    <row r="147" spans="1:48" ht="15">
      <c r="A147" s="249">
        <v>41487</v>
      </c>
      <c r="B147" s="72">
        <f>1.9919*100</f>
        <v>199.19</v>
      </c>
      <c r="C147" s="80">
        <f>168.1834-8.0271</f>
        <v>160.15630000000002</v>
      </c>
      <c r="D147" s="80">
        <f t="shared" si="119"/>
        <v>21.930000000000003</v>
      </c>
      <c r="E147" s="80">
        <f t="shared" si="132"/>
        <v>32.64</v>
      </c>
      <c r="F147" s="80">
        <f t="shared" si="133"/>
        <v>54.570000000000007</v>
      </c>
      <c r="G147" s="77">
        <f t="shared" si="148"/>
        <v>214.72630000000004</v>
      </c>
      <c r="H147" s="43">
        <f t="shared" si="107"/>
        <v>0</v>
      </c>
      <c r="I147" s="76">
        <f>170.9127-3.016</f>
        <v>167.89670000000001</v>
      </c>
      <c r="J147" s="76">
        <f t="shared" si="139"/>
        <v>13.251300000000001</v>
      </c>
      <c r="K147" s="76">
        <f t="shared" si="140"/>
        <v>32.64</v>
      </c>
      <c r="L147" s="76">
        <f t="shared" si="98"/>
        <v>45.891300000000001</v>
      </c>
      <c r="M147" s="155">
        <f t="shared" si="128"/>
        <v>213.78800000000001</v>
      </c>
      <c r="N147" s="151">
        <f t="shared" si="134"/>
        <v>0</v>
      </c>
      <c r="O147" s="80">
        <f>171.1029+3.6574-87.0393</f>
        <v>87.721000000000004</v>
      </c>
      <c r="P147" s="78">
        <f t="shared" si="141"/>
        <v>-3.6574</v>
      </c>
      <c r="Q147" s="80">
        <f t="shared" si="142"/>
        <v>40.64</v>
      </c>
      <c r="R147" s="177">
        <f t="shared" si="135"/>
        <v>36.982599999999998</v>
      </c>
      <c r="S147" s="82">
        <f t="shared" si="129"/>
        <v>124.70360000000001</v>
      </c>
      <c r="T147" s="62">
        <f t="shared" si="136"/>
        <v>8.4072762045509064E-2</v>
      </c>
      <c r="U147" s="231">
        <f>193.7006+12.6796</f>
        <v>206.3802</v>
      </c>
      <c r="V147" s="194">
        <f t="shared" si="143"/>
        <v>-12.679600000000001</v>
      </c>
      <c r="W147" s="191">
        <f t="shared" si="144"/>
        <v>25.853200000000001</v>
      </c>
      <c r="X147" s="191">
        <f t="shared" si="138"/>
        <v>13.1736</v>
      </c>
      <c r="Y147" s="198">
        <f t="shared" si="149"/>
        <v>219.55380000000002</v>
      </c>
      <c r="Z147" s="188">
        <f t="shared" si="108"/>
        <v>3.392174729986519E-2</v>
      </c>
      <c r="AA147" s="80">
        <f>135.8786-37.1398</f>
        <v>98.738799999999998</v>
      </c>
      <c r="AB147" s="85">
        <f t="shared" si="145"/>
        <v>5.9657</v>
      </c>
      <c r="AC147" s="87">
        <f t="shared" si="131"/>
        <v>104.7045</v>
      </c>
      <c r="AD147" s="172">
        <f t="shared" si="137"/>
        <v>4.1029929069834603E-2</v>
      </c>
      <c r="AE147" s="228">
        <f>170.9127+2.8342</f>
        <v>173.74690000000001</v>
      </c>
      <c r="AF147" s="220">
        <f t="shared" ref="AF147:AF179" si="150">0.2945+3+0.1-6.2287</f>
        <v>-2.8341999999999996</v>
      </c>
      <c r="AG147" s="221">
        <f t="shared" si="146"/>
        <v>25.939999999999998</v>
      </c>
      <c r="AH147" s="221">
        <f t="shared" si="88"/>
        <v>23.105799999999999</v>
      </c>
      <c r="AI147" s="222">
        <f t="shared" si="89"/>
        <v>196.8527</v>
      </c>
      <c r="AJ147" s="173">
        <f t="shared" si="92"/>
        <v>0.11849777326255961</v>
      </c>
      <c r="AK147" s="229">
        <f>162.5773+11.8433+0.2608-119.9181</f>
        <v>54.763300000000001</v>
      </c>
      <c r="AL147" s="224">
        <f t="shared" si="126"/>
        <v>-0.26080000000000003</v>
      </c>
      <c r="AM147" s="224">
        <f t="shared" si="147"/>
        <v>25.64</v>
      </c>
      <c r="AN147" s="224">
        <f t="shared" si="90"/>
        <v>25.379200000000001</v>
      </c>
      <c r="AO147" s="225">
        <f t="shared" si="91"/>
        <v>80.142499999999998</v>
      </c>
      <c r="AP147" s="172">
        <f t="shared" si="94"/>
        <v>0.19940944322139309</v>
      </c>
      <c r="AQ147" s="76"/>
      <c r="AR147" s="76"/>
      <c r="AS147" s="76"/>
      <c r="AT147" s="76"/>
      <c r="AU147" s="76"/>
      <c r="AV147" s="151"/>
    </row>
    <row r="148" spans="1:48" ht="15">
      <c r="A148" s="249">
        <v>41502</v>
      </c>
      <c r="B148" s="72">
        <f>1.9984*100</f>
        <v>199.84</v>
      </c>
      <c r="C148" s="80">
        <f>164.5788-4.4225</f>
        <v>160.15629999999999</v>
      </c>
      <c r="D148" s="80">
        <f t="shared" si="119"/>
        <v>21.930000000000003</v>
      </c>
      <c r="E148" s="80">
        <f t="shared" si="132"/>
        <v>32.64</v>
      </c>
      <c r="F148" s="80">
        <f t="shared" si="133"/>
        <v>54.570000000000007</v>
      </c>
      <c r="G148" s="77">
        <f t="shared" si="148"/>
        <v>214.72629999999998</v>
      </c>
      <c r="H148" s="43">
        <f t="shared" si="107"/>
        <v>0</v>
      </c>
      <c r="I148" s="76">
        <f>170.2433-2.3466</f>
        <v>167.89670000000001</v>
      </c>
      <c r="J148" s="76">
        <f t="shared" si="139"/>
        <v>13.251300000000001</v>
      </c>
      <c r="K148" s="76">
        <f t="shared" si="140"/>
        <v>32.64</v>
      </c>
      <c r="L148" s="76">
        <f t="shared" si="98"/>
        <v>45.891300000000001</v>
      </c>
      <c r="M148" s="155">
        <f t="shared" ref="M148:M153" si="151">SUM(I148:K148)</f>
        <v>213.78800000000001</v>
      </c>
      <c r="N148" s="151">
        <f t="shared" si="134"/>
        <v>0</v>
      </c>
      <c r="O148" s="80">
        <f>171.1781+3.6574-87.1145</f>
        <v>87.720999999999989</v>
      </c>
      <c r="P148" s="78">
        <f t="shared" si="141"/>
        <v>-3.6574</v>
      </c>
      <c r="Q148" s="80">
        <f t="shared" si="142"/>
        <v>40.64</v>
      </c>
      <c r="R148" s="177">
        <f t="shared" si="135"/>
        <v>36.982599999999998</v>
      </c>
      <c r="S148" s="82">
        <f t="shared" si="129"/>
        <v>124.70359999999999</v>
      </c>
      <c r="T148" s="62">
        <f t="shared" si="136"/>
        <v>0</v>
      </c>
      <c r="U148" s="231">
        <f>194.3177+12.6796-0.6171</f>
        <v>206.3802</v>
      </c>
      <c r="V148" s="194">
        <f t="shared" si="143"/>
        <v>-12.679600000000001</v>
      </c>
      <c r="W148" s="191">
        <f t="shared" si="144"/>
        <v>25.853200000000001</v>
      </c>
      <c r="X148" s="191">
        <f t="shared" si="138"/>
        <v>13.1736</v>
      </c>
      <c r="Y148" s="198">
        <f t="shared" si="149"/>
        <v>219.55380000000002</v>
      </c>
      <c r="Z148" s="188">
        <f t="shared" si="108"/>
        <v>0</v>
      </c>
      <c r="AA148" s="80">
        <f>136.668-37.9292</f>
        <v>98.738799999999998</v>
      </c>
      <c r="AB148" s="85">
        <f t="shared" si="145"/>
        <v>5.9657</v>
      </c>
      <c r="AC148" s="87">
        <f t="shared" si="131"/>
        <v>104.7045</v>
      </c>
      <c r="AD148" s="172">
        <f t="shared" si="137"/>
        <v>0</v>
      </c>
      <c r="AE148" s="228">
        <f>170.2433+2.8342+0.6694</f>
        <v>173.74690000000001</v>
      </c>
      <c r="AF148" s="220">
        <f t="shared" si="150"/>
        <v>-2.8341999999999996</v>
      </c>
      <c r="AG148" s="221">
        <f t="shared" si="146"/>
        <v>25.939999999999998</v>
      </c>
      <c r="AH148" s="221">
        <f t="shared" si="88"/>
        <v>23.105799999999999</v>
      </c>
      <c r="AI148" s="222">
        <f t="shared" si="89"/>
        <v>196.8527</v>
      </c>
      <c r="AJ148" s="173">
        <f t="shared" si="92"/>
        <v>0</v>
      </c>
      <c r="AK148" s="229">
        <f>159.0928+11.8433+0.2608-116.4337</f>
        <v>54.763199999999998</v>
      </c>
      <c r="AL148" s="224">
        <f t="shared" si="126"/>
        <v>-0.26080000000000003</v>
      </c>
      <c r="AM148" s="224">
        <f t="shared" si="147"/>
        <v>25.64</v>
      </c>
      <c r="AN148" s="224">
        <f t="shared" si="90"/>
        <v>25.379200000000001</v>
      </c>
      <c r="AO148" s="225">
        <f t="shared" si="91"/>
        <v>80.142399999999995</v>
      </c>
      <c r="AP148" s="172">
        <f t="shared" si="94"/>
        <v>-1.2477773965180461E-6</v>
      </c>
      <c r="AQ148" s="76"/>
      <c r="AR148" s="76"/>
      <c r="AS148" s="76"/>
      <c r="AT148" s="76"/>
      <c r="AU148" s="76"/>
      <c r="AV148" s="151"/>
    </row>
    <row r="149" spans="1:48" ht="15">
      <c r="A149" s="249">
        <v>41518</v>
      </c>
      <c r="B149" s="72">
        <f>1.9958*100</f>
        <v>199.58</v>
      </c>
      <c r="C149" s="80">
        <f>167.2219-7.0656</f>
        <v>160.15630000000002</v>
      </c>
      <c r="D149" s="80">
        <f t="shared" si="119"/>
        <v>21.930000000000003</v>
      </c>
      <c r="E149" s="80">
        <f t="shared" si="132"/>
        <v>32.64</v>
      </c>
      <c r="F149" s="80">
        <f t="shared" si="133"/>
        <v>54.570000000000007</v>
      </c>
      <c r="G149" s="77">
        <f>SUM(C149:E149)</f>
        <v>214.72630000000004</v>
      </c>
      <c r="H149" s="43">
        <f t="shared" si="107"/>
        <v>0</v>
      </c>
      <c r="I149" s="76">
        <f>173.4907-5.594</f>
        <v>167.89670000000001</v>
      </c>
      <c r="J149" s="76">
        <f t="shared" si="139"/>
        <v>13.251300000000001</v>
      </c>
      <c r="K149" s="76">
        <f t="shared" si="140"/>
        <v>32.64</v>
      </c>
      <c r="L149" s="76">
        <f t="shared" si="98"/>
        <v>45.891300000000001</v>
      </c>
      <c r="M149" s="155">
        <f t="shared" si="151"/>
        <v>213.78800000000001</v>
      </c>
      <c r="N149" s="151">
        <f t="shared" si="134"/>
        <v>0</v>
      </c>
      <c r="O149" s="80">
        <f>174.4853+3.6574-90.4217</f>
        <v>87.720999999999989</v>
      </c>
      <c r="P149" s="78">
        <f t="shared" si="141"/>
        <v>-3.6574</v>
      </c>
      <c r="Q149" s="80">
        <f t="shared" si="142"/>
        <v>40.64</v>
      </c>
      <c r="R149" s="177">
        <f t="shared" si="135"/>
        <v>36.982599999999998</v>
      </c>
      <c r="S149" s="82">
        <f t="shared" si="129"/>
        <v>124.70359999999999</v>
      </c>
      <c r="T149" s="62">
        <f t="shared" si="136"/>
        <v>0</v>
      </c>
      <c r="U149" s="231">
        <f>198.6991+12.6796-4.9986</f>
        <v>206.38009999999997</v>
      </c>
      <c r="V149" s="194">
        <f t="shared" si="143"/>
        <v>-12.679600000000001</v>
      </c>
      <c r="W149" s="191">
        <f t="shared" si="144"/>
        <v>25.853200000000001</v>
      </c>
      <c r="X149" s="191">
        <f t="shared" si="138"/>
        <v>13.1736</v>
      </c>
      <c r="Y149" s="198">
        <f t="shared" si="149"/>
        <v>219.55369999999999</v>
      </c>
      <c r="Z149" s="188">
        <f t="shared" si="108"/>
        <v>-4.5546922911032794E-7</v>
      </c>
      <c r="AA149" s="80">
        <f>138.4528-39.714</f>
        <v>98.738799999999998</v>
      </c>
      <c r="AB149" s="85">
        <f t="shared" si="145"/>
        <v>5.9657</v>
      </c>
      <c r="AC149" s="87">
        <f t="shared" si="131"/>
        <v>104.7045</v>
      </c>
      <c r="AD149" s="172">
        <f t="shared" si="137"/>
        <v>0</v>
      </c>
      <c r="AE149" s="228">
        <f>173.4907+2.8342-2.578</f>
        <v>173.74690000000001</v>
      </c>
      <c r="AF149" s="220">
        <f t="shared" si="150"/>
        <v>-2.8341999999999996</v>
      </c>
      <c r="AG149" s="221">
        <f t="shared" si="146"/>
        <v>25.939999999999998</v>
      </c>
      <c r="AH149" s="221">
        <f t="shared" si="88"/>
        <v>23.105799999999999</v>
      </c>
      <c r="AI149" s="222">
        <f t="shared" si="89"/>
        <v>196.8527</v>
      </c>
      <c r="AJ149" s="173">
        <f t="shared" si="92"/>
        <v>0</v>
      </c>
      <c r="AK149" s="229">
        <f>161.6478+11.8433+0.2608-118.9886</f>
        <v>54.763299999999973</v>
      </c>
      <c r="AL149" s="224">
        <f t="shared" si="126"/>
        <v>-0.26080000000000003</v>
      </c>
      <c r="AM149" s="224">
        <f t="shared" si="147"/>
        <v>25.64</v>
      </c>
      <c r="AN149" s="224">
        <f t="shared" si="90"/>
        <v>25.379200000000001</v>
      </c>
      <c r="AO149" s="225">
        <f t="shared" si="91"/>
        <v>80.14249999999997</v>
      </c>
      <c r="AP149" s="172">
        <f t="shared" si="94"/>
        <v>1.2477789530507266E-6</v>
      </c>
      <c r="AQ149" s="76"/>
      <c r="AR149" s="76"/>
      <c r="AS149" s="76"/>
      <c r="AT149" s="76"/>
      <c r="AU149" s="76"/>
      <c r="AV149" s="151"/>
    </row>
    <row r="150" spans="1:48" ht="15">
      <c r="A150" s="249">
        <v>41533</v>
      </c>
      <c r="B150" s="72">
        <f>1.998*100</f>
        <v>199.8</v>
      </c>
      <c r="C150" s="80">
        <f>167.9894+0</f>
        <v>167.98939999999999</v>
      </c>
      <c r="D150" s="80">
        <f t="shared" si="119"/>
        <v>21.930000000000003</v>
      </c>
      <c r="E150" s="80">
        <f t="shared" si="132"/>
        <v>32.64</v>
      </c>
      <c r="F150" s="80">
        <f t="shared" si="133"/>
        <v>54.570000000000007</v>
      </c>
      <c r="G150" s="77">
        <f t="shared" si="148"/>
        <v>222.55939999999998</v>
      </c>
      <c r="H150" s="43">
        <f t="shared" si="107"/>
        <v>3.6479462459884759E-2</v>
      </c>
      <c r="I150" s="76">
        <f>178.3686+0</f>
        <v>178.36859999999999</v>
      </c>
      <c r="J150" s="76">
        <f t="shared" si="139"/>
        <v>13.251300000000001</v>
      </c>
      <c r="K150" s="76">
        <f t="shared" si="140"/>
        <v>32.64</v>
      </c>
      <c r="L150" s="76">
        <f t="shared" si="98"/>
        <v>45.891300000000001</v>
      </c>
      <c r="M150" s="155">
        <f t="shared" si="151"/>
        <v>224.25989999999996</v>
      </c>
      <c r="N150" s="151">
        <f t="shared" si="134"/>
        <v>4.8982637004883145E-2</v>
      </c>
      <c r="O150" s="80">
        <f>178.9759+3.6574-71.1842</f>
        <v>111.44909999999999</v>
      </c>
      <c r="P150" s="78">
        <f t="shared" si="141"/>
        <v>-3.6574</v>
      </c>
      <c r="Q150" s="80">
        <f t="shared" si="142"/>
        <v>40.64</v>
      </c>
      <c r="R150" s="177">
        <f t="shared" si="135"/>
        <v>36.982599999999998</v>
      </c>
      <c r="S150" s="82">
        <f t="shared" si="129"/>
        <v>148.43169999999998</v>
      </c>
      <c r="T150" s="62">
        <f t="shared" si="136"/>
        <v>0.19027598240948929</v>
      </c>
      <c r="U150" s="231">
        <f>209.8456+12.6796</f>
        <v>222.52519999999998</v>
      </c>
      <c r="V150" s="194">
        <f t="shared" si="143"/>
        <v>-12.679600000000001</v>
      </c>
      <c r="W150" s="191">
        <f t="shared" si="144"/>
        <v>25.853200000000001</v>
      </c>
      <c r="X150" s="191">
        <f t="shared" si="138"/>
        <v>13.1736</v>
      </c>
      <c r="Y150" s="198">
        <f t="shared" si="149"/>
        <v>235.69880000000001</v>
      </c>
      <c r="Z150" s="188">
        <f t="shared" si="108"/>
        <v>7.35359959772941E-2</v>
      </c>
      <c r="AA150" s="80">
        <f>139.961-41.222</f>
        <v>98.739000000000004</v>
      </c>
      <c r="AB150" s="85">
        <f t="shared" si="145"/>
        <v>5.9657</v>
      </c>
      <c r="AC150" s="87">
        <f t="shared" si="131"/>
        <v>104.7047</v>
      </c>
      <c r="AD150" s="172">
        <f t="shared" si="137"/>
        <v>1.9101375776653384E-6</v>
      </c>
      <c r="AE150" s="228">
        <f>178.3686+2.8342</f>
        <v>181.2028</v>
      </c>
      <c r="AF150" s="220">
        <f t="shared" si="150"/>
        <v>-2.8341999999999996</v>
      </c>
      <c r="AG150" s="221">
        <f t="shared" si="146"/>
        <v>25.939999999999998</v>
      </c>
      <c r="AH150" s="221">
        <f t="shared" si="88"/>
        <v>23.105799999999999</v>
      </c>
      <c r="AI150" s="222">
        <f t="shared" si="89"/>
        <v>204.30859999999998</v>
      </c>
      <c r="AJ150" s="173">
        <f t="shared" si="92"/>
        <v>3.787552825031093E-2</v>
      </c>
      <c r="AK150" s="229">
        <f>162.3897+11.8433+0.2608-119.7306</f>
        <v>54.763199999999998</v>
      </c>
      <c r="AL150" s="224">
        <f t="shared" si="126"/>
        <v>-0.26080000000000003</v>
      </c>
      <c r="AM150" s="224">
        <f t="shared" si="147"/>
        <v>25.64</v>
      </c>
      <c r="AN150" s="224">
        <f t="shared" si="90"/>
        <v>25.379200000000001</v>
      </c>
      <c r="AO150" s="225">
        <f t="shared" si="91"/>
        <v>80.142399999999995</v>
      </c>
      <c r="AP150" s="172">
        <f t="shared" si="94"/>
        <v>-1.2477773961849792E-6</v>
      </c>
      <c r="AQ150" s="76"/>
      <c r="AR150" s="76"/>
      <c r="AS150" s="76"/>
      <c r="AT150" s="76"/>
      <c r="AU150" s="76"/>
      <c r="AV150" s="151"/>
    </row>
    <row r="151" spans="1:48" ht="15">
      <c r="A151" s="249">
        <v>41548</v>
      </c>
      <c r="B151" s="72">
        <f>1.9997*100</f>
        <v>199.97</v>
      </c>
      <c r="C151" s="80">
        <f>158.3237</f>
        <v>158.3237</v>
      </c>
      <c r="D151" s="80">
        <f t="shared" si="119"/>
        <v>21.930000000000003</v>
      </c>
      <c r="E151" s="80">
        <f t="shared" si="132"/>
        <v>32.64</v>
      </c>
      <c r="F151" s="80">
        <f t="shared" si="133"/>
        <v>54.570000000000007</v>
      </c>
      <c r="G151" s="77">
        <f t="shared" si="148"/>
        <v>212.89370000000002</v>
      </c>
      <c r="H151" s="43">
        <f t="shared" si="107"/>
        <v>-4.3429754034203683E-2</v>
      </c>
      <c r="I151" s="76">
        <v>173.0198</v>
      </c>
      <c r="J151" s="76">
        <f t="shared" si="139"/>
        <v>13.251300000000001</v>
      </c>
      <c r="K151" s="76">
        <f t="shared" si="140"/>
        <v>32.64</v>
      </c>
      <c r="L151" s="76">
        <f t="shared" si="98"/>
        <v>45.891300000000001</v>
      </c>
      <c r="M151" s="155">
        <f t="shared" si="151"/>
        <v>218.91109999999998</v>
      </c>
      <c r="N151" s="151">
        <f t="shared" si="134"/>
        <v>-2.3850897998260012E-2</v>
      </c>
      <c r="O151" s="80">
        <f>173.4266+3.6574-54.6958</f>
        <v>122.38820000000001</v>
      </c>
      <c r="P151" s="78">
        <f t="shared" si="141"/>
        <v>-3.6574</v>
      </c>
      <c r="Q151" s="80">
        <f t="shared" si="142"/>
        <v>40.64</v>
      </c>
      <c r="R151" s="177">
        <f t="shared" si="135"/>
        <v>36.982599999999998</v>
      </c>
      <c r="S151" s="82">
        <f t="shared" si="129"/>
        <v>159.37080000000003</v>
      </c>
      <c r="T151" s="62">
        <f t="shared" si="136"/>
        <v>7.3697869120949555E-2</v>
      </c>
      <c r="U151" s="231">
        <f>204.7955+12.6796</f>
        <v>217.4751</v>
      </c>
      <c r="V151" s="194">
        <f t="shared" si="143"/>
        <v>-12.679600000000001</v>
      </c>
      <c r="W151" s="191">
        <f t="shared" si="144"/>
        <v>25.853200000000001</v>
      </c>
      <c r="X151" s="191">
        <f t="shared" si="138"/>
        <v>13.1736</v>
      </c>
      <c r="Y151" s="198">
        <f t="shared" si="149"/>
        <v>230.64870000000002</v>
      </c>
      <c r="Z151" s="188">
        <f t="shared" si="108"/>
        <v>-2.1426074294820241E-2</v>
      </c>
      <c r="AA151" s="80">
        <f>138.0935-32.7956</f>
        <v>105.2979</v>
      </c>
      <c r="AB151" s="85">
        <f t="shared" si="145"/>
        <v>5.9657</v>
      </c>
      <c r="AC151" s="87">
        <f t="shared" si="131"/>
        <v>111.2636</v>
      </c>
      <c r="AD151" s="172">
        <f t="shared" si="137"/>
        <v>6.2641887135916452E-2</v>
      </c>
      <c r="AE151" s="228">
        <f>173.0198+2.8342</f>
        <v>175.85400000000001</v>
      </c>
      <c r="AF151" s="220">
        <f t="shared" si="150"/>
        <v>-2.8341999999999996</v>
      </c>
      <c r="AG151" s="221">
        <f t="shared" si="146"/>
        <v>25.939999999999998</v>
      </c>
      <c r="AH151" s="221">
        <f t="shared" si="88"/>
        <v>23.105799999999999</v>
      </c>
      <c r="AI151" s="222">
        <f t="shared" si="89"/>
        <v>198.9598</v>
      </c>
      <c r="AJ151" s="173">
        <f t="shared" si="92"/>
        <v>-2.6180004170162086E-2</v>
      </c>
      <c r="AK151" s="229">
        <f>153.0462+11.8433+0.2608-91.9892</f>
        <v>73.16109999999999</v>
      </c>
      <c r="AL151" s="224">
        <f t="shared" si="126"/>
        <v>-0.26080000000000003</v>
      </c>
      <c r="AM151" s="224">
        <f t="shared" si="147"/>
        <v>25.64</v>
      </c>
      <c r="AN151" s="224">
        <f t="shared" si="90"/>
        <v>25.379200000000001</v>
      </c>
      <c r="AO151" s="225">
        <f t="shared" si="91"/>
        <v>98.540299999999988</v>
      </c>
      <c r="AP151" s="172">
        <f t="shared" si="94"/>
        <v>0.22956512407913898</v>
      </c>
      <c r="AQ151" s="76"/>
      <c r="AR151" s="76"/>
      <c r="AS151" s="76"/>
      <c r="AT151" s="76"/>
      <c r="AU151" s="76"/>
      <c r="AV151" s="151"/>
    </row>
    <row r="152" spans="1:48" ht="15">
      <c r="A152" s="249">
        <v>41563</v>
      </c>
      <c r="B152" s="72">
        <f>2.0002*100</f>
        <v>200.02</v>
      </c>
      <c r="C152" s="80">
        <v>155.11070000000001</v>
      </c>
      <c r="D152" s="80">
        <f t="shared" si="119"/>
        <v>21.930000000000003</v>
      </c>
      <c r="E152" s="80">
        <f t="shared" si="132"/>
        <v>32.64</v>
      </c>
      <c r="F152" s="80">
        <f t="shared" si="133"/>
        <v>54.570000000000007</v>
      </c>
      <c r="G152" s="77">
        <f t="shared" si="148"/>
        <v>209.6807</v>
      </c>
      <c r="H152" s="43">
        <f t="shared" si="107"/>
        <v>-1.5092038890770487E-2</v>
      </c>
      <c r="I152" s="76">
        <f>172.785+0.2348</f>
        <v>173.0198</v>
      </c>
      <c r="J152" s="76">
        <f t="shared" si="139"/>
        <v>13.251300000000001</v>
      </c>
      <c r="K152" s="76">
        <f t="shared" si="140"/>
        <v>32.64</v>
      </c>
      <c r="L152" s="76">
        <f t="shared" si="98"/>
        <v>45.891300000000001</v>
      </c>
      <c r="M152" s="155">
        <f t="shared" si="151"/>
        <v>218.91109999999998</v>
      </c>
      <c r="N152" s="151">
        <f t="shared" si="134"/>
        <v>0</v>
      </c>
      <c r="O152" s="80">
        <f>175.8464+3.6574-45.6925</f>
        <v>133.81129999999999</v>
      </c>
      <c r="P152" s="78">
        <f t="shared" si="141"/>
        <v>-3.6574</v>
      </c>
      <c r="Q152" s="80">
        <f t="shared" si="142"/>
        <v>40.64</v>
      </c>
      <c r="R152" s="177">
        <f t="shared" si="135"/>
        <v>36.982599999999998</v>
      </c>
      <c r="S152" s="82">
        <f t="shared" si="129"/>
        <v>170.79390000000001</v>
      </c>
      <c r="T152" s="62">
        <f t="shared" si="136"/>
        <v>7.1676241820960662E-2</v>
      </c>
      <c r="U152" s="231">
        <f>199.0626+12.6796</f>
        <v>211.7422</v>
      </c>
      <c r="V152" s="194">
        <f t="shared" si="143"/>
        <v>-12.679600000000001</v>
      </c>
      <c r="W152" s="191">
        <f t="shared" si="144"/>
        <v>25.853200000000001</v>
      </c>
      <c r="X152" s="191">
        <f t="shared" si="138"/>
        <v>13.1736</v>
      </c>
      <c r="Y152" s="198">
        <f t="shared" si="149"/>
        <v>224.91579999999999</v>
      </c>
      <c r="Z152" s="188">
        <f t="shared" si="108"/>
        <v>-2.4855548719763143E-2</v>
      </c>
      <c r="AA152" s="80">
        <f>135.8141-24.4129</f>
        <v>111.40119999999999</v>
      </c>
      <c r="AB152" s="85">
        <f t="shared" si="145"/>
        <v>5.9657</v>
      </c>
      <c r="AC152" s="87">
        <f t="shared" si="131"/>
        <v>117.36689999999999</v>
      </c>
      <c r="AD152" s="172">
        <f t="shared" si="137"/>
        <v>5.4854417797015387E-2</v>
      </c>
      <c r="AE152" s="228">
        <f>172.785+2.8342+0.2348</f>
        <v>175.85400000000001</v>
      </c>
      <c r="AF152" s="220">
        <f t="shared" si="150"/>
        <v>-2.8341999999999996</v>
      </c>
      <c r="AG152" s="221">
        <f t="shared" si="146"/>
        <v>25.939999999999998</v>
      </c>
      <c r="AH152" s="221">
        <f t="shared" si="88"/>
        <v>23.105799999999999</v>
      </c>
      <c r="AI152" s="222">
        <f t="shared" si="89"/>
        <v>198.9598</v>
      </c>
      <c r="AJ152" s="173">
        <f t="shared" si="92"/>
        <v>0</v>
      </c>
      <c r="AK152" s="229">
        <f>149.9403+11.8433+0.2608-71.1067</f>
        <v>90.937699999999992</v>
      </c>
      <c r="AL152" s="224">
        <f t="shared" si="126"/>
        <v>-0.26080000000000003</v>
      </c>
      <c r="AM152" s="224">
        <f t="shared" si="147"/>
        <v>25.64</v>
      </c>
      <c r="AN152" s="224">
        <f t="shared" si="90"/>
        <v>25.379200000000001</v>
      </c>
      <c r="AO152" s="225">
        <f t="shared" si="91"/>
        <v>116.31689999999999</v>
      </c>
      <c r="AP152" s="172">
        <f t="shared" si="94"/>
        <v>0.18039928841296415</v>
      </c>
      <c r="AQ152" s="76"/>
      <c r="AR152" s="76"/>
      <c r="AS152" s="76"/>
      <c r="AT152" s="76"/>
      <c r="AU152" s="76"/>
      <c r="AV152" s="151"/>
    </row>
    <row r="153" spans="1:48" ht="15">
      <c r="A153" s="249">
        <v>41579</v>
      </c>
      <c r="B153" s="72">
        <f>2.0056*100</f>
        <v>200.55999999999997</v>
      </c>
      <c r="C153" s="80">
        <f>155.9407+3</f>
        <v>158.94069999999999</v>
      </c>
      <c r="D153" s="80">
        <f t="shared" si="119"/>
        <v>21.930000000000003</v>
      </c>
      <c r="E153" s="80">
        <f t="shared" si="132"/>
        <v>32.64</v>
      </c>
      <c r="F153" s="80">
        <f t="shared" si="133"/>
        <v>54.570000000000007</v>
      </c>
      <c r="G153" s="77">
        <f t="shared" si="148"/>
        <v>213.51069999999999</v>
      </c>
      <c r="H153" s="43">
        <f t="shared" si="107"/>
        <v>1.8265868055572065E-2</v>
      </c>
      <c r="I153" s="76">
        <f>174.2414+3</f>
        <v>177.2414</v>
      </c>
      <c r="J153" s="76">
        <f t="shared" si="139"/>
        <v>13.251300000000001</v>
      </c>
      <c r="K153" s="76">
        <f t="shared" si="140"/>
        <v>32.64</v>
      </c>
      <c r="L153" s="76">
        <f t="shared" si="98"/>
        <v>45.891300000000001</v>
      </c>
      <c r="M153" s="155">
        <f t="shared" si="151"/>
        <v>223.1327</v>
      </c>
      <c r="N153" s="151">
        <f t="shared" si="134"/>
        <v>1.9284540619457058E-2</v>
      </c>
      <c r="O153" s="80">
        <f>177.1233+3.6574-35.227</f>
        <v>145.55369999999999</v>
      </c>
      <c r="P153" s="78">
        <f t="shared" si="141"/>
        <v>-3.6574</v>
      </c>
      <c r="Q153" s="80">
        <f t="shared" si="142"/>
        <v>40.64</v>
      </c>
      <c r="R153" s="177">
        <f t="shared" si="135"/>
        <v>36.982599999999998</v>
      </c>
      <c r="S153" s="82">
        <f t="shared" si="129"/>
        <v>182.53629999999998</v>
      </c>
      <c r="T153" s="62">
        <f t="shared" si="136"/>
        <v>6.8751869943832755E-2</v>
      </c>
      <c r="U153" s="231">
        <f>201.8113+12.6796</f>
        <v>214.49089999999998</v>
      </c>
      <c r="V153" s="194">
        <f t="shared" si="143"/>
        <v>-12.679600000000001</v>
      </c>
      <c r="W153" s="191">
        <f t="shared" si="144"/>
        <v>25.853200000000001</v>
      </c>
      <c r="X153" s="191">
        <f t="shared" si="138"/>
        <v>13.1736</v>
      </c>
      <c r="Y153" s="198">
        <f t="shared" si="149"/>
        <v>227.66449999999998</v>
      </c>
      <c r="Z153" s="188">
        <f t="shared" si="108"/>
        <v>1.2221017820891023E-2</v>
      </c>
      <c r="AA153" s="80">
        <f>135.897-18.3719</f>
        <v>117.52509999999999</v>
      </c>
      <c r="AB153" s="85">
        <f t="shared" si="145"/>
        <v>5.9657</v>
      </c>
      <c r="AC153" s="87">
        <f t="shared" si="131"/>
        <v>123.49079999999999</v>
      </c>
      <c r="AD153" s="172">
        <f t="shared" si="137"/>
        <v>5.2177402657819227E-2</v>
      </c>
      <c r="AE153" s="228">
        <f>174.2414+2.8342</f>
        <v>177.07560000000001</v>
      </c>
      <c r="AF153" s="220">
        <f t="shared" si="150"/>
        <v>-2.8341999999999996</v>
      </c>
      <c r="AG153" s="221">
        <f t="shared" si="146"/>
        <v>25.939999999999998</v>
      </c>
      <c r="AH153" s="221">
        <f t="shared" si="88"/>
        <v>23.105799999999999</v>
      </c>
      <c r="AI153" s="222">
        <f t="shared" si="89"/>
        <v>200.1814</v>
      </c>
      <c r="AJ153" s="173">
        <f t="shared" si="92"/>
        <v>6.1399337956713484E-3</v>
      </c>
      <c r="AK153" s="229">
        <f>150.7427+11.8433+0.2608-71.909</f>
        <v>90.937799999999996</v>
      </c>
      <c r="AL153" s="224">
        <f t="shared" si="126"/>
        <v>-0.26080000000000003</v>
      </c>
      <c r="AM153" s="224">
        <f t="shared" si="147"/>
        <v>25.64</v>
      </c>
      <c r="AN153" s="224">
        <f t="shared" si="90"/>
        <v>25.379200000000001</v>
      </c>
      <c r="AO153" s="225">
        <f t="shared" si="91"/>
        <v>116.31699999999999</v>
      </c>
      <c r="AP153" s="172">
        <f t="shared" si="94"/>
        <v>8.597202987292718E-7</v>
      </c>
      <c r="AQ153" s="76"/>
      <c r="AR153" s="76"/>
      <c r="AS153" s="76"/>
      <c r="AT153" s="76"/>
      <c r="AU153" s="76"/>
      <c r="AV153" s="151"/>
    </row>
    <row r="154" spans="1:48" ht="15">
      <c r="A154" s="249">
        <v>41594</v>
      </c>
      <c r="B154" s="72">
        <f>2.0401*100</f>
        <v>204.01</v>
      </c>
      <c r="C154" s="80">
        <f>153.2432+4.1868</f>
        <v>157.43</v>
      </c>
      <c r="D154" s="80">
        <f t="shared" si="119"/>
        <v>21.930000000000003</v>
      </c>
      <c r="E154" s="80">
        <f t="shared" si="132"/>
        <v>32.64</v>
      </c>
      <c r="F154" s="80">
        <f t="shared" si="133"/>
        <v>54.570000000000007</v>
      </c>
      <c r="G154" s="77">
        <f>SUM(C154:E154)</f>
        <v>212</v>
      </c>
      <c r="H154" s="43">
        <f t="shared" si="107"/>
        <v>-7.0755236154440571E-3</v>
      </c>
      <c r="I154" s="76">
        <f>174.0596+2.0491</f>
        <v>176.1087</v>
      </c>
      <c r="J154" s="76">
        <f t="shared" si="139"/>
        <v>13.251300000000001</v>
      </c>
      <c r="K154" s="76">
        <f t="shared" si="140"/>
        <v>32.64</v>
      </c>
      <c r="L154" s="76">
        <f t="shared" si="98"/>
        <v>45.891300000000001</v>
      </c>
      <c r="M154" s="155">
        <f t="shared" ref="M154:M159" si="152">SUM(I154:K154)</f>
        <v>222</v>
      </c>
      <c r="N154" s="151">
        <f t="shared" si="134"/>
        <v>-5.0763514267518905E-3</v>
      </c>
      <c r="O154" s="80">
        <f>177.1891+3.6574-35.8291</f>
        <v>145.01740000000001</v>
      </c>
      <c r="P154" s="78">
        <f t="shared" si="141"/>
        <v>-3.6574</v>
      </c>
      <c r="Q154" s="80">
        <f t="shared" si="142"/>
        <v>40.64</v>
      </c>
      <c r="R154" s="177">
        <f t="shared" si="135"/>
        <v>36.982599999999998</v>
      </c>
      <c r="S154" s="82">
        <f t="shared" si="129"/>
        <v>182</v>
      </c>
      <c r="T154" s="62">
        <f t="shared" si="136"/>
        <v>-2.9380457476128052E-3</v>
      </c>
      <c r="U154" s="231">
        <f>208.3823+12.6796-7.2356</f>
        <v>213.82629999999997</v>
      </c>
      <c r="V154" s="194">
        <f t="shared" si="143"/>
        <v>-12.679600000000001</v>
      </c>
      <c r="W154" s="191">
        <f t="shared" si="144"/>
        <v>25.853200000000001</v>
      </c>
      <c r="X154" s="191">
        <f t="shared" si="138"/>
        <v>13.1736</v>
      </c>
      <c r="Y154" s="198">
        <f t="shared" si="149"/>
        <v>226.99989999999997</v>
      </c>
      <c r="Z154" s="188">
        <f t="shared" si="108"/>
        <v>-2.9192078694746382E-3</v>
      </c>
      <c r="AA154" s="80">
        <f>136.0816-19.0473</f>
        <v>117.0343</v>
      </c>
      <c r="AB154" s="85">
        <f t="shared" si="145"/>
        <v>5.9657</v>
      </c>
      <c r="AC154" s="87">
        <f t="shared" si="131"/>
        <v>123</v>
      </c>
      <c r="AD154" s="172">
        <f t="shared" si="137"/>
        <v>-3.9743851363825966E-3</v>
      </c>
      <c r="AE154" s="228">
        <f>174.0596+2.8342+0.0004</f>
        <v>176.89420000000001</v>
      </c>
      <c r="AF154" s="220">
        <f t="shared" si="150"/>
        <v>-2.8341999999999996</v>
      </c>
      <c r="AG154" s="221">
        <f t="shared" si="146"/>
        <v>25.939999999999998</v>
      </c>
      <c r="AH154" s="221">
        <f t="shared" si="88"/>
        <v>23.105799999999999</v>
      </c>
      <c r="AI154" s="222">
        <f t="shared" si="89"/>
        <v>200</v>
      </c>
      <c r="AJ154" s="173">
        <f t="shared" si="92"/>
        <v>-9.0617809646653669E-4</v>
      </c>
      <c r="AK154" s="229">
        <f>148.1351+11.8433+0.2608-69.6184</f>
        <v>90.620799999999988</v>
      </c>
      <c r="AL154" s="224">
        <f t="shared" si="126"/>
        <v>-0.26080000000000003</v>
      </c>
      <c r="AM154" s="224">
        <f t="shared" si="147"/>
        <v>25.64</v>
      </c>
      <c r="AN154" s="224">
        <f t="shared" si="90"/>
        <v>25.379200000000001</v>
      </c>
      <c r="AO154" s="225">
        <f t="shared" si="91"/>
        <v>115.99999999999999</v>
      </c>
      <c r="AP154" s="172">
        <f t="shared" si="94"/>
        <v>-2.7253110035506678E-3</v>
      </c>
      <c r="AQ154" s="76"/>
      <c r="AR154" s="76"/>
      <c r="AS154" s="76"/>
      <c r="AT154" s="76"/>
      <c r="AU154" s="76"/>
      <c r="AV154" s="151"/>
    </row>
    <row r="155" spans="1:48" ht="15">
      <c r="A155" s="249">
        <v>41609</v>
      </c>
      <c r="B155" s="72">
        <f>2.0695*100</f>
        <v>206.95000000000002</v>
      </c>
      <c r="C155" s="80">
        <f>161.124+3.306</f>
        <v>164.43</v>
      </c>
      <c r="D155" s="80">
        <f t="shared" si="119"/>
        <v>21.930000000000003</v>
      </c>
      <c r="E155" s="80">
        <f t="shared" si="132"/>
        <v>32.64</v>
      </c>
      <c r="F155" s="80">
        <f t="shared" si="133"/>
        <v>54.570000000000007</v>
      </c>
      <c r="G155" s="77">
        <f>SUM(C155:E155)</f>
        <v>219</v>
      </c>
      <c r="H155" s="43">
        <f t="shared" si="107"/>
        <v>3.3018867924528239E-2</v>
      </c>
      <c r="I155" s="76">
        <f>177.0919+3.0168</f>
        <v>180.1087</v>
      </c>
      <c r="J155" s="76">
        <f t="shared" si="139"/>
        <v>13.251300000000001</v>
      </c>
      <c r="K155" s="76">
        <f t="shared" si="140"/>
        <v>32.64</v>
      </c>
      <c r="L155" s="76">
        <f t="shared" si="98"/>
        <v>45.891300000000001</v>
      </c>
      <c r="M155" s="155">
        <f t="shared" si="152"/>
        <v>226</v>
      </c>
      <c r="N155" s="151">
        <f t="shared" si="134"/>
        <v>1.8018018018018056E-2</v>
      </c>
      <c r="O155" s="80">
        <f>180.9093+3.6574-19.5493</f>
        <v>165.01740000000001</v>
      </c>
      <c r="P155" s="78">
        <f>1.0375+0.05+0.1-4.8449</f>
        <v>-3.6574</v>
      </c>
      <c r="Q155" s="80">
        <f t="shared" si="142"/>
        <v>40.64</v>
      </c>
      <c r="R155" s="177">
        <f t="shared" si="135"/>
        <v>36.982599999999998</v>
      </c>
      <c r="S155" s="82">
        <f t="shared" si="129"/>
        <v>202</v>
      </c>
      <c r="T155" s="62">
        <f t="shared" si="136"/>
        <v>0.10989010989010994</v>
      </c>
      <c r="U155" s="231">
        <f>225.5557+12.6796+0.5911</f>
        <v>238.82640000000001</v>
      </c>
      <c r="V155" s="194">
        <f t="shared" si="143"/>
        <v>-12.679600000000001</v>
      </c>
      <c r="W155" s="191">
        <f t="shared" si="144"/>
        <v>25.853200000000001</v>
      </c>
      <c r="X155" s="191">
        <f t="shared" si="138"/>
        <v>13.1736</v>
      </c>
      <c r="Y155" s="198">
        <f t="shared" si="149"/>
        <v>252</v>
      </c>
      <c r="Z155" s="188">
        <f t="shared" si="108"/>
        <v>0.11013264763552777</v>
      </c>
      <c r="AA155" s="80">
        <f>140.2539-11.2196</f>
        <v>129.03429999999997</v>
      </c>
      <c r="AB155" s="85">
        <f t="shared" si="145"/>
        <v>5.9657</v>
      </c>
      <c r="AC155" s="87">
        <f t="shared" si="131"/>
        <v>134.99999999999997</v>
      </c>
      <c r="AD155" s="172">
        <f t="shared" si="137"/>
        <v>9.7560975609755962E-2</v>
      </c>
      <c r="AE155" s="228">
        <f>177.0919+2.8342+0.9681</f>
        <v>180.89420000000001</v>
      </c>
      <c r="AF155" s="220">
        <f t="shared" si="150"/>
        <v>-2.8341999999999996</v>
      </c>
      <c r="AG155" s="221">
        <f t="shared" si="146"/>
        <v>25.939999999999998</v>
      </c>
      <c r="AH155" s="221">
        <f t="shared" si="88"/>
        <v>23.105799999999999</v>
      </c>
      <c r="AI155" s="222">
        <f t="shared" si="89"/>
        <v>204</v>
      </c>
      <c r="AJ155" s="173">
        <f t="shared" si="92"/>
        <v>2.0000000000000018E-2</v>
      </c>
      <c r="AK155" s="229">
        <f>155.7532+11.8433+0.2608-77.2365</f>
        <v>90.620799999999974</v>
      </c>
      <c r="AL155" s="224">
        <f t="shared" si="126"/>
        <v>-0.26080000000000003</v>
      </c>
      <c r="AM155" s="224">
        <f t="shared" si="147"/>
        <v>25.64</v>
      </c>
      <c r="AN155" s="224">
        <f t="shared" si="90"/>
        <v>25.379200000000001</v>
      </c>
      <c r="AO155" s="225">
        <f t="shared" si="91"/>
        <v>115.99999999999997</v>
      </c>
      <c r="AP155" s="172">
        <f t="shared" si="94"/>
        <v>0</v>
      </c>
      <c r="AQ155" s="76"/>
      <c r="AR155" s="76"/>
      <c r="AS155" s="76"/>
      <c r="AT155" s="76"/>
      <c r="AU155" s="76"/>
      <c r="AV155" s="151"/>
    </row>
    <row r="156" spans="1:48" ht="15">
      <c r="A156" s="249">
        <v>41624</v>
      </c>
      <c r="B156" s="72">
        <f>2.0902*100</f>
        <v>209.01999999999998</v>
      </c>
      <c r="C156" s="80">
        <f>164.2129+0.2171</f>
        <v>164.42999999999998</v>
      </c>
      <c r="D156" s="80">
        <f t="shared" si="119"/>
        <v>21.930000000000003</v>
      </c>
      <c r="E156" s="80">
        <f t="shared" si="132"/>
        <v>32.64</v>
      </c>
      <c r="F156" s="80">
        <f t="shared" si="133"/>
        <v>54.570000000000007</v>
      </c>
      <c r="G156" s="77">
        <f>SUM(C156:E156)</f>
        <v>219</v>
      </c>
      <c r="H156" s="43">
        <f t="shared" si="107"/>
        <v>0</v>
      </c>
      <c r="I156" s="76">
        <f>183.0115-2.9028</f>
        <v>180.1087</v>
      </c>
      <c r="J156" s="76">
        <f t="shared" si="139"/>
        <v>13.251300000000001</v>
      </c>
      <c r="K156" s="76">
        <f t="shared" si="140"/>
        <v>32.64</v>
      </c>
      <c r="L156" s="76">
        <f t="shared" si="98"/>
        <v>45.891300000000001</v>
      </c>
      <c r="M156" s="155">
        <f t="shared" si="152"/>
        <v>226</v>
      </c>
      <c r="N156" s="151">
        <f t="shared" si="134"/>
        <v>0</v>
      </c>
      <c r="O156" s="80">
        <f>187.3232+3.6574-25.9632</f>
        <v>165.01740000000001</v>
      </c>
      <c r="P156" s="78">
        <f>1.0375+0.05+0.1-4.8449</f>
        <v>-3.6574</v>
      </c>
      <c r="Q156" s="80">
        <f t="shared" si="142"/>
        <v>40.64</v>
      </c>
      <c r="R156" s="177">
        <f t="shared" si="135"/>
        <v>36.982599999999998</v>
      </c>
      <c r="S156" s="82">
        <f t="shared" si="129"/>
        <v>202</v>
      </c>
      <c r="T156" s="62">
        <f t="shared" si="136"/>
        <v>0</v>
      </c>
      <c r="U156" s="231">
        <f>238.0749+12.6796-11.9282</f>
        <v>238.8263</v>
      </c>
      <c r="V156" s="194">
        <f t="shared" si="143"/>
        <v>-12.679600000000001</v>
      </c>
      <c r="W156" s="191">
        <f t="shared" si="144"/>
        <v>25.853200000000001</v>
      </c>
      <c r="X156" s="191">
        <f t="shared" si="138"/>
        <v>13.1736</v>
      </c>
      <c r="Y156" s="198">
        <f t="shared" si="149"/>
        <v>251.99990000000003</v>
      </c>
      <c r="Z156" s="188">
        <f t="shared" si="108"/>
        <v>-3.9682539676455519E-7</v>
      </c>
      <c r="AA156" s="80">
        <f>146.1472-17.1129</f>
        <v>129.0343</v>
      </c>
      <c r="AB156" s="85">
        <f t="shared" si="145"/>
        <v>5.9657</v>
      </c>
      <c r="AC156" s="87">
        <f t="shared" si="131"/>
        <v>135</v>
      </c>
      <c r="AD156" s="172">
        <f t="shared" si="137"/>
        <v>0</v>
      </c>
      <c r="AE156" s="228">
        <f>183.0115+2.8342-4.9515</f>
        <v>180.89420000000001</v>
      </c>
      <c r="AF156" s="220">
        <f t="shared" si="150"/>
        <v>-2.8341999999999996</v>
      </c>
      <c r="AG156" s="221">
        <f t="shared" si="146"/>
        <v>25.939999999999998</v>
      </c>
      <c r="AH156" s="221">
        <f t="shared" si="88"/>
        <v>23.105799999999999</v>
      </c>
      <c r="AI156" s="222">
        <f t="shared" si="89"/>
        <v>204</v>
      </c>
      <c r="AJ156" s="173">
        <f t="shared" si="92"/>
        <v>0</v>
      </c>
      <c r="AK156" s="229">
        <f>158.7391+11.8433+0.2608-80.2225</f>
        <v>90.620699999999999</v>
      </c>
      <c r="AL156" s="224">
        <f t="shared" si="126"/>
        <v>-0.26080000000000003</v>
      </c>
      <c r="AM156" s="224">
        <f t="shared" si="147"/>
        <v>25.64</v>
      </c>
      <c r="AN156" s="224">
        <f t="shared" si="90"/>
        <v>25.379200000000001</v>
      </c>
      <c r="AO156" s="225">
        <f t="shared" si="91"/>
        <v>115.9999</v>
      </c>
      <c r="AP156" s="172">
        <f t="shared" si="94"/>
        <v>-8.620689653238145E-7</v>
      </c>
      <c r="AQ156" s="76"/>
      <c r="AR156" s="76"/>
      <c r="AS156" s="76"/>
      <c r="AT156" s="76"/>
      <c r="AU156" s="76"/>
      <c r="AV156" s="151"/>
    </row>
    <row r="157" spans="1:48" ht="15">
      <c r="A157" s="249">
        <v>41640</v>
      </c>
      <c r="B157" s="72">
        <f>2.1148*100</f>
        <v>211.48</v>
      </c>
      <c r="C157" s="80">
        <f>165.2918-0.8618</f>
        <v>164.43</v>
      </c>
      <c r="D157" s="80">
        <f t="shared" si="119"/>
        <v>21.930000000000003</v>
      </c>
      <c r="E157" s="80">
        <f t="shared" si="132"/>
        <v>32.64</v>
      </c>
      <c r="F157" s="80">
        <f t="shared" si="133"/>
        <v>54.570000000000007</v>
      </c>
      <c r="G157" s="77">
        <f>SUM(C157:E157)</f>
        <v>219</v>
      </c>
      <c r="H157" s="43">
        <f t="shared" si="107"/>
        <v>0</v>
      </c>
      <c r="I157" s="76">
        <f>183.9493+(-3.8406)</f>
        <v>180.1087</v>
      </c>
      <c r="J157" s="76">
        <f t="shared" si="139"/>
        <v>13.251300000000001</v>
      </c>
      <c r="K157" s="76">
        <f t="shared" si="140"/>
        <v>32.64</v>
      </c>
      <c r="L157" s="76">
        <f t="shared" si="98"/>
        <v>45.891300000000001</v>
      </c>
      <c r="M157" s="155">
        <f t="shared" si="152"/>
        <v>226</v>
      </c>
      <c r="N157" s="151">
        <f t="shared" si="134"/>
        <v>0</v>
      </c>
      <c r="O157" s="80">
        <f>188.992+3.6574-27.632</f>
        <v>165.01739999999998</v>
      </c>
      <c r="P157" s="78">
        <f t="shared" ref="P157:P179" si="153">1.0375+0.05+0.1-4.8449</f>
        <v>-3.6574</v>
      </c>
      <c r="Q157" s="80">
        <f t="shared" si="142"/>
        <v>40.64</v>
      </c>
      <c r="R157" s="177">
        <f t="shared" si="135"/>
        <v>36.982599999999998</v>
      </c>
      <c r="S157" s="82">
        <f t="shared" si="129"/>
        <v>202</v>
      </c>
      <c r="T157" s="62">
        <f t="shared" si="136"/>
        <v>0</v>
      </c>
      <c r="U157" s="231">
        <f>241.4409+12.6796-15.2942</f>
        <v>238.8263</v>
      </c>
      <c r="V157" s="194">
        <f t="shared" si="143"/>
        <v>-12.679600000000001</v>
      </c>
      <c r="W157" s="191">
        <f t="shared" si="144"/>
        <v>25.853200000000001</v>
      </c>
      <c r="X157" s="191">
        <f t="shared" si="138"/>
        <v>13.1736</v>
      </c>
      <c r="Y157" s="198">
        <f t="shared" si="149"/>
        <v>251.99990000000003</v>
      </c>
      <c r="Z157" s="188">
        <f t="shared" si="108"/>
        <v>0</v>
      </c>
      <c r="AA157" s="80">
        <f>145.7543-16.72</f>
        <v>129.0343</v>
      </c>
      <c r="AB157" s="85">
        <f t="shared" si="145"/>
        <v>5.9657</v>
      </c>
      <c r="AC157" s="87">
        <f t="shared" si="131"/>
        <v>135</v>
      </c>
      <c r="AD157" s="172">
        <f t="shared" si="137"/>
        <v>0</v>
      </c>
      <c r="AE157" s="228">
        <f>183.9493+2.8342-5.8893</f>
        <v>180.89420000000001</v>
      </c>
      <c r="AF157" s="220">
        <f t="shared" si="150"/>
        <v>-2.8341999999999996</v>
      </c>
      <c r="AG157" s="221">
        <f t="shared" si="146"/>
        <v>25.939999999999998</v>
      </c>
      <c r="AH157" s="221">
        <f t="shared" si="88"/>
        <v>23.105799999999999</v>
      </c>
      <c r="AI157" s="222">
        <f t="shared" si="89"/>
        <v>204</v>
      </c>
      <c r="AJ157" s="173">
        <f t="shared" si="92"/>
        <v>0</v>
      </c>
      <c r="AK157" s="229">
        <f>159.7821+11.8433+0.2608-81.2654</f>
        <v>90.620800000000003</v>
      </c>
      <c r="AL157" s="224">
        <f t="shared" si="126"/>
        <v>-0.26080000000000003</v>
      </c>
      <c r="AM157" s="224">
        <f t="shared" si="147"/>
        <v>25.64</v>
      </c>
      <c r="AN157" s="224">
        <f t="shared" si="90"/>
        <v>25.379200000000001</v>
      </c>
      <c r="AO157" s="225">
        <f t="shared" si="91"/>
        <v>116</v>
      </c>
      <c r="AP157" s="172">
        <f t="shared" si="94"/>
        <v>8.6206970872915178E-7</v>
      </c>
      <c r="AQ157" s="76"/>
      <c r="AR157" s="76"/>
      <c r="AS157" s="76"/>
      <c r="AT157" s="76"/>
      <c r="AU157" s="76"/>
      <c r="AV157" s="151"/>
    </row>
    <row r="158" spans="1:48" ht="15">
      <c r="A158" s="249">
        <v>41655</v>
      </c>
      <c r="B158" s="72">
        <f>2.2264*100</f>
        <v>222.64</v>
      </c>
      <c r="C158" s="80">
        <f>177.9763+0.4537</f>
        <v>178.43</v>
      </c>
      <c r="D158" s="80">
        <f t="shared" si="119"/>
        <v>21.930000000000003</v>
      </c>
      <c r="E158" s="80">
        <f t="shared" si="132"/>
        <v>32.64</v>
      </c>
      <c r="F158" s="80">
        <f t="shared" si="133"/>
        <v>54.570000000000007</v>
      </c>
      <c r="G158" s="77">
        <f>SUM(C158:E158)</f>
        <v>233</v>
      </c>
      <c r="H158" s="43">
        <f t="shared" si="107"/>
        <v>6.3926940639269514E-2</v>
      </c>
      <c r="I158" s="76">
        <f>195.8033+0.3054</f>
        <v>196.1087</v>
      </c>
      <c r="J158" s="76">
        <f t="shared" si="139"/>
        <v>13.251300000000001</v>
      </c>
      <c r="K158" s="76">
        <f t="shared" si="140"/>
        <v>32.64</v>
      </c>
      <c r="L158" s="76">
        <f t="shared" si="98"/>
        <v>45.891300000000001</v>
      </c>
      <c r="M158" s="155">
        <f t="shared" si="152"/>
        <v>242</v>
      </c>
      <c r="N158" s="151">
        <f t="shared" si="134"/>
        <v>7.079646017699126E-2</v>
      </c>
      <c r="O158" s="80">
        <f>200.6075+3.6574+0.7525</f>
        <v>205.01739999999998</v>
      </c>
      <c r="P158" s="78">
        <f t="shared" si="153"/>
        <v>-3.6574</v>
      </c>
      <c r="Q158" s="80">
        <f t="shared" si="142"/>
        <v>40.64</v>
      </c>
      <c r="R158" s="177">
        <f t="shared" si="135"/>
        <v>36.982599999999998</v>
      </c>
      <c r="S158" s="82">
        <f t="shared" si="129"/>
        <v>242</v>
      </c>
      <c r="T158" s="62">
        <f t="shared" si="136"/>
        <v>0.19801980198019797</v>
      </c>
      <c r="U158" s="231">
        <f>247.1482+12.6796+0.9985</f>
        <v>260.8263</v>
      </c>
      <c r="V158" s="194">
        <f t="shared" si="143"/>
        <v>-12.679600000000001</v>
      </c>
      <c r="W158" s="191">
        <f t="shared" si="144"/>
        <v>25.853200000000001</v>
      </c>
      <c r="X158" s="191">
        <f t="shared" si="138"/>
        <v>13.1736</v>
      </c>
      <c r="Y158" s="198">
        <f t="shared" si="149"/>
        <v>273.99990000000003</v>
      </c>
      <c r="Z158" s="188">
        <f t="shared" si="108"/>
        <v>8.730162194508817E-2</v>
      </c>
      <c r="AA158" s="80">
        <f>149.9444-20.9101</f>
        <v>129.0343</v>
      </c>
      <c r="AB158" s="85">
        <f t="shared" si="145"/>
        <v>5.9657</v>
      </c>
      <c r="AC158" s="87">
        <f t="shared" si="131"/>
        <v>135</v>
      </c>
      <c r="AD158" s="172">
        <f t="shared" si="137"/>
        <v>0</v>
      </c>
      <c r="AE158" s="228">
        <f>195.8033+2.8342+0.2567</f>
        <v>198.89420000000001</v>
      </c>
      <c r="AF158" s="220">
        <f t="shared" si="150"/>
        <v>-2.8341999999999996</v>
      </c>
      <c r="AG158" s="221">
        <f t="shared" si="146"/>
        <v>25.939999999999998</v>
      </c>
      <c r="AH158" s="221">
        <f t="shared" si="88"/>
        <v>23.105799999999999</v>
      </c>
      <c r="AI158" s="222">
        <f t="shared" si="89"/>
        <v>222</v>
      </c>
      <c r="AJ158" s="173">
        <f t="shared" si="92"/>
        <v>8.8235294117646967E-2</v>
      </c>
      <c r="AK158" s="229">
        <f>172.0437+11.8433+0.2608-93.5271</f>
        <v>90.620699999999985</v>
      </c>
      <c r="AL158" s="224">
        <f t="shared" si="126"/>
        <v>-0.26080000000000003</v>
      </c>
      <c r="AM158" s="224">
        <f t="shared" si="147"/>
        <v>25.64</v>
      </c>
      <c r="AN158" s="224">
        <f t="shared" si="90"/>
        <v>25.379200000000001</v>
      </c>
      <c r="AO158" s="225">
        <f t="shared" si="91"/>
        <v>115.99989999999998</v>
      </c>
      <c r="AP158" s="172">
        <f t="shared" si="94"/>
        <v>-8.620689656568814E-7</v>
      </c>
      <c r="AQ158" s="76"/>
      <c r="AR158" s="76"/>
      <c r="AS158" s="76"/>
      <c r="AT158" s="76"/>
      <c r="AU158" s="76"/>
      <c r="AV158" s="151"/>
    </row>
    <row r="159" spans="1:48" ht="15">
      <c r="A159" s="249">
        <v>41671</v>
      </c>
      <c r="B159" s="72">
        <f>2.301*100</f>
        <v>230.10000000000002</v>
      </c>
      <c r="C159" s="80">
        <f>181.7156+3.7144</f>
        <v>185.43</v>
      </c>
      <c r="D159" s="80">
        <f t="shared" si="119"/>
        <v>21.930000000000003</v>
      </c>
      <c r="E159" s="80">
        <f t="shared" si="132"/>
        <v>32.64</v>
      </c>
      <c r="F159" s="80">
        <f t="shared" si="133"/>
        <v>54.570000000000007</v>
      </c>
      <c r="G159" s="77">
        <f t="shared" ref="G159:G165" si="154">SUM(C159:E159)</f>
        <v>240</v>
      </c>
      <c r="H159" s="43">
        <f t="shared" si="107"/>
        <v>3.0042918454935563E-2</v>
      </c>
      <c r="I159" s="76">
        <f>200.5998+3.5089</f>
        <v>204.1087</v>
      </c>
      <c r="J159" s="76">
        <f t="shared" si="139"/>
        <v>13.251300000000001</v>
      </c>
      <c r="K159" s="76">
        <f t="shared" si="140"/>
        <v>32.64</v>
      </c>
      <c r="L159" s="76">
        <f t="shared" si="98"/>
        <v>45.891300000000001</v>
      </c>
      <c r="M159" s="155">
        <f t="shared" si="152"/>
        <v>250</v>
      </c>
      <c r="N159" s="151">
        <f t="shared" si="134"/>
        <v>3.3057851239669311E-2</v>
      </c>
      <c r="O159" s="80">
        <f>203.6199+3.6574+0.7401</f>
        <v>208.01740000000001</v>
      </c>
      <c r="P159" s="78">
        <f t="shared" si="153"/>
        <v>-3.6574</v>
      </c>
      <c r="Q159" s="80">
        <f t="shared" si="142"/>
        <v>40.64</v>
      </c>
      <c r="R159" s="177">
        <f t="shared" si="135"/>
        <v>36.982599999999998</v>
      </c>
      <c r="S159" s="82">
        <f t="shared" ref="S159:S187" si="155">SUM(O159:Q159)</f>
        <v>245</v>
      </c>
      <c r="T159" s="43">
        <f t="shared" si="136"/>
        <v>1.2396694214876103E-2</v>
      </c>
      <c r="U159" s="253">
        <f>242.3486+12.6796+5.7981</f>
        <v>260.8263</v>
      </c>
      <c r="V159" s="194">
        <f t="shared" si="143"/>
        <v>-12.679600000000001</v>
      </c>
      <c r="W159" s="191">
        <f t="shared" si="144"/>
        <v>25.853200000000001</v>
      </c>
      <c r="X159" s="191">
        <f t="shared" si="138"/>
        <v>13.1736</v>
      </c>
      <c r="Y159" s="198">
        <f t="shared" si="149"/>
        <v>273.99990000000003</v>
      </c>
      <c r="Z159" s="188">
        <f t="shared" si="108"/>
        <v>0</v>
      </c>
      <c r="AA159" s="80">
        <f>153.6807-24.6464</f>
        <v>129.0343</v>
      </c>
      <c r="AB159" s="85">
        <f t="shared" si="145"/>
        <v>5.9657</v>
      </c>
      <c r="AC159" s="87">
        <f t="shared" ref="AC159:AC166" si="156">SUM(AA159:AB159)</f>
        <v>135</v>
      </c>
      <c r="AD159" s="172">
        <f t="shared" si="137"/>
        <v>0</v>
      </c>
      <c r="AE159" s="228">
        <f>200.5998+2.8342-4.5398</f>
        <v>198.89420000000001</v>
      </c>
      <c r="AF159" s="220">
        <f t="shared" si="150"/>
        <v>-2.8341999999999996</v>
      </c>
      <c r="AG159" s="221">
        <f t="shared" si="146"/>
        <v>25.939999999999998</v>
      </c>
      <c r="AH159" s="221">
        <f t="shared" si="88"/>
        <v>23.105799999999999</v>
      </c>
      <c r="AI159" s="222">
        <f t="shared" si="89"/>
        <v>222</v>
      </c>
      <c r="AJ159" s="173">
        <f t="shared" si="92"/>
        <v>0</v>
      </c>
      <c r="AK159" s="229">
        <f>175.6584+13.8+0.2608-99.0984</f>
        <v>90.620800000000003</v>
      </c>
      <c r="AL159" s="224">
        <f t="shared" si="126"/>
        <v>-0.26080000000000003</v>
      </c>
      <c r="AM159" s="224">
        <f t="shared" si="147"/>
        <v>25.64</v>
      </c>
      <c r="AN159" s="224">
        <f t="shared" si="90"/>
        <v>25.379200000000001</v>
      </c>
      <c r="AO159" s="225">
        <f t="shared" si="91"/>
        <v>116</v>
      </c>
      <c r="AP159" s="172">
        <f t="shared" si="94"/>
        <v>8.6206970872915178E-7</v>
      </c>
      <c r="AQ159" s="76"/>
      <c r="AR159" s="76"/>
      <c r="AS159" s="76"/>
      <c r="AT159" s="76">
        <f t="shared" ref="AT159:AT166" si="157">AR159+AS159</f>
        <v>0</v>
      </c>
      <c r="AU159" s="76">
        <f t="shared" ref="AU159:AU166" si="158">AQ159+AT159</f>
        <v>0</v>
      </c>
      <c r="AV159" s="151"/>
    </row>
    <row r="160" spans="1:48" ht="15">
      <c r="A160" s="249">
        <v>41686</v>
      </c>
      <c r="B160" s="72">
        <f>2.3973*100</f>
        <v>239.73</v>
      </c>
      <c r="C160" s="80">
        <f>190.3451-4.9151</f>
        <v>185.43</v>
      </c>
      <c r="D160" s="80">
        <f t="shared" si="119"/>
        <v>21.930000000000003</v>
      </c>
      <c r="E160" s="80">
        <f t="shared" si="132"/>
        <v>32.64</v>
      </c>
      <c r="F160" s="80">
        <f t="shared" si="133"/>
        <v>54.570000000000007</v>
      </c>
      <c r="G160" s="77">
        <f t="shared" si="154"/>
        <v>240</v>
      </c>
      <c r="H160" s="43">
        <f t="shared" si="107"/>
        <v>0</v>
      </c>
      <c r="I160" s="76">
        <f>209.2479-5.1392</f>
        <v>204.1087</v>
      </c>
      <c r="J160" s="76">
        <f>1.8+8+6+0.05+0.1-2.6987</f>
        <v>13.251300000000001</v>
      </c>
      <c r="K160" s="76">
        <f t="shared" si="140"/>
        <v>32.64</v>
      </c>
      <c r="L160" s="76">
        <f t="shared" si="98"/>
        <v>45.891300000000001</v>
      </c>
      <c r="M160" s="155">
        <f t="shared" ref="M160:M166" si="159">SUM(I160:K160)</f>
        <v>250</v>
      </c>
      <c r="N160" s="151">
        <f t="shared" si="134"/>
        <v>0</v>
      </c>
      <c r="O160" s="80">
        <f>212.5762+3.6574-8.2162</f>
        <v>208.01740000000001</v>
      </c>
      <c r="P160" s="78">
        <f t="shared" si="153"/>
        <v>-3.6574</v>
      </c>
      <c r="Q160" s="80">
        <f t="shared" si="142"/>
        <v>40.64</v>
      </c>
      <c r="R160" s="177">
        <f t="shared" si="135"/>
        <v>36.982599999999998</v>
      </c>
      <c r="S160" s="82">
        <f t="shared" si="155"/>
        <v>245</v>
      </c>
      <c r="T160" s="43">
        <f t="shared" si="136"/>
        <v>0</v>
      </c>
      <c r="U160" s="253">
        <f>245.2529+12.6796+2.8938</f>
        <v>260.8263</v>
      </c>
      <c r="V160" s="194">
        <f t="shared" si="143"/>
        <v>-12.679600000000001</v>
      </c>
      <c r="W160" s="191">
        <f t="shared" si="144"/>
        <v>25.853200000000001</v>
      </c>
      <c r="X160" s="191">
        <f>V160+W160</f>
        <v>13.1736</v>
      </c>
      <c r="Y160" s="198">
        <f t="shared" si="149"/>
        <v>273.99990000000003</v>
      </c>
      <c r="Z160" s="188">
        <f t="shared" si="108"/>
        <v>0</v>
      </c>
      <c r="AA160" s="80">
        <f>165.8443-36.81</f>
        <v>129.0343</v>
      </c>
      <c r="AB160" s="85">
        <f t="shared" si="145"/>
        <v>5.9657</v>
      </c>
      <c r="AC160" s="87">
        <f t="shared" si="156"/>
        <v>135</v>
      </c>
      <c r="AD160" s="172">
        <f t="shared" si="137"/>
        <v>0</v>
      </c>
      <c r="AE160" s="228">
        <f>209.2479+2.8342-13.1879</f>
        <v>198.89419999999998</v>
      </c>
      <c r="AF160" s="220">
        <f t="shared" si="150"/>
        <v>-2.8341999999999996</v>
      </c>
      <c r="AG160" s="221">
        <f t="shared" si="146"/>
        <v>25.939999999999998</v>
      </c>
      <c r="AH160" s="221">
        <f t="shared" ref="AH160:AH167" si="160">AF160+AG160</f>
        <v>23.105799999999999</v>
      </c>
      <c r="AI160" s="222">
        <f t="shared" ref="AI160:AI167" si="161">AE160+AH160</f>
        <v>221.99999999999997</v>
      </c>
      <c r="AJ160" s="173">
        <f t="shared" si="92"/>
        <v>0</v>
      </c>
      <c r="AK160" s="229">
        <f>184.0002+13.8+0.2608-107.4402</f>
        <v>90.620800000000003</v>
      </c>
      <c r="AL160" s="224">
        <f t="shared" si="126"/>
        <v>-0.26080000000000003</v>
      </c>
      <c r="AM160" s="224">
        <f t="shared" si="147"/>
        <v>25.64</v>
      </c>
      <c r="AN160" s="224">
        <f t="shared" ref="AN160:AN166" si="162">AL160+AM160</f>
        <v>25.379200000000001</v>
      </c>
      <c r="AO160" s="225">
        <f t="shared" ref="AO160:AO167" si="163">AK160+AN160</f>
        <v>116</v>
      </c>
      <c r="AP160" s="172">
        <f t="shared" si="94"/>
        <v>0</v>
      </c>
      <c r="AQ160" s="76">
        <f>232.2395+57.7692</f>
        <v>290.00869999999998</v>
      </c>
      <c r="AR160" s="76">
        <f>1.8+8+6+0.05+0.1-2.6987</f>
        <v>13.251300000000001</v>
      </c>
      <c r="AS160" s="76">
        <f>4+3+1+9.86+6.88</f>
        <v>24.74</v>
      </c>
      <c r="AT160" s="76">
        <f t="shared" si="157"/>
        <v>37.991299999999995</v>
      </c>
      <c r="AU160" s="76">
        <f t="shared" si="158"/>
        <v>328</v>
      </c>
      <c r="AV160" s="151" t="e">
        <f t="shared" ref="AV160:AV171" si="164">AU160/AU159-1</f>
        <v>#DIV/0!</v>
      </c>
    </row>
    <row r="161" spans="1:48" ht="15">
      <c r="A161" s="249">
        <v>41699</v>
      </c>
      <c r="B161" s="72">
        <f>2.4656*100</f>
        <v>246.55999999999997</v>
      </c>
      <c r="C161" s="80">
        <f>202.4506-2.0206</f>
        <v>200.43</v>
      </c>
      <c r="D161" s="80">
        <f t="shared" si="119"/>
        <v>21.930000000000003</v>
      </c>
      <c r="E161" s="80">
        <f t="shared" si="132"/>
        <v>32.64</v>
      </c>
      <c r="F161" s="80">
        <f t="shared" si="133"/>
        <v>54.570000000000007</v>
      </c>
      <c r="G161" s="77">
        <f t="shared" si="154"/>
        <v>255</v>
      </c>
      <c r="H161" s="43">
        <f>G161/G160-1</f>
        <v>6.25E-2</v>
      </c>
      <c r="I161" s="76">
        <f>218.2801+0.8286</f>
        <v>219.1087</v>
      </c>
      <c r="J161" s="76">
        <f>1.8+8+6+0.05+0.1-2.6987</f>
        <v>13.251300000000001</v>
      </c>
      <c r="K161" s="76">
        <f t="shared" si="140"/>
        <v>32.64</v>
      </c>
      <c r="L161" s="76">
        <f t="shared" si="98"/>
        <v>45.891300000000001</v>
      </c>
      <c r="M161" s="155">
        <f t="shared" si="159"/>
        <v>265</v>
      </c>
      <c r="N161" s="151">
        <f t="shared" si="134"/>
        <v>6.0000000000000053E-2</v>
      </c>
      <c r="O161" s="80">
        <f>220.525+3.6574-1.165</f>
        <v>223.01740000000001</v>
      </c>
      <c r="P161" s="78">
        <f>1.0375+0.05+0.1-4.8449</f>
        <v>-3.6574</v>
      </c>
      <c r="Q161" s="80">
        <f t="shared" si="142"/>
        <v>40.64</v>
      </c>
      <c r="R161" s="177">
        <f t="shared" si="135"/>
        <v>36.982599999999998</v>
      </c>
      <c r="S161" s="82">
        <f t="shared" si="155"/>
        <v>260</v>
      </c>
      <c r="T161" s="43">
        <f t="shared" si="136"/>
        <v>6.1224489795918435E-2</v>
      </c>
      <c r="U161" s="253">
        <f>246.5797+12.6796+1.5671</f>
        <v>260.82639999999998</v>
      </c>
      <c r="V161" s="194">
        <f t="shared" si="143"/>
        <v>-12.679600000000001</v>
      </c>
      <c r="W161" s="191">
        <f t="shared" si="144"/>
        <v>25.853200000000001</v>
      </c>
      <c r="X161" s="191">
        <f t="shared" si="138"/>
        <v>13.1736</v>
      </c>
      <c r="Y161" s="198">
        <f t="shared" si="149"/>
        <v>274</v>
      </c>
      <c r="Z161" s="188">
        <f t="shared" si="108"/>
        <v>3.6496363664539899E-7</v>
      </c>
      <c r="AA161" s="80">
        <f>177.0398-48.0055</f>
        <v>129.03430000000003</v>
      </c>
      <c r="AB161" s="85">
        <f t="shared" si="145"/>
        <v>5.9657</v>
      </c>
      <c r="AC161" s="87">
        <f t="shared" si="156"/>
        <v>135.00000000000003</v>
      </c>
      <c r="AD161" s="172">
        <f t="shared" si="137"/>
        <v>0</v>
      </c>
      <c r="AE161" s="228">
        <f>218.2801+2.8342-8.2201</f>
        <v>212.89420000000001</v>
      </c>
      <c r="AF161" s="220">
        <f>0.2945+3+0.1-6.2287</f>
        <v>-2.8341999999999996</v>
      </c>
      <c r="AG161" s="221">
        <f t="shared" si="146"/>
        <v>25.939999999999998</v>
      </c>
      <c r="AH161" s="221">
        <f t="shared" si="160"/>
        <v>23.105799999999999</v>
      </c>
      <c r="AI161" s="222">
        <f t="shared" si="161"/>
        <v>236</v>
      </c>
      <c r="AJ161" s="173">
        <f t="shared" si="92"/>
        <v>6.3063063063063307E-2</v>
      </c>
      <c r="AK161" s="229">
        <f>195.7022+13.8+0.2608-115.1422</f>
        <v>94.620800000000003</v>
      </c>
      <c r="AL161" s="224">
        <f t="shared" si="126"/>
        <v>-0.26080000000000003</v>
      </c>
      <c r="AM161" s="224">
        <f t="shared" si="147"/>
        <v>25.64</v>
      </c>
      <c r="AN161" s="224">
        <f t="shared" si="162"/>
        <v>25.379200000000001</v>
      </c>
      <c r="AO161" s="225">
        <f t="shared" si="163"/>
        <v>120</v>
      </c>
      <c r="AP161" s="172">
        <f t="shared" si="94"/>
        <v>3.4482758620689724E-2</v>
      </c>
      <c r="AQ161" s="76">
        <f>218.2801+71.7286</f>
        <v>290.00869999999998</v>
      </c>
      <c r="AR161" s="76">
        <f>1.8+8+6+0.05+0.1-2.6987</f>
        <v>13.251300000000001</v>
      </c>
      <c r="AS161" s="76">
        <f>4+3+1+9.86+6.88</f>
        <v>24.74</v>
      </c>
      <c r="AT161" s="76">
        <f t="shared" si="157"/>
        <v>37.991299999999995</v>
      </c>
      <c r="AU161" s="76">
        <f>AQ161+AT161</f>
        <v>328</v>
      </c>
      <c r="AV161" s="151">
        <f t="shared" si="164"/>
        <v>0</v>
      </c>
    </row>
    <row r="162" spans="1:48" ht="15">
      <c r="A162" s="249">
        <v>41714</v>
      </c>
      <c r="B162" s="72">
        <f>2.5335*100</f>
        <v>253.35000000000002</v>
      </c>
      <c r="C162" s="80">
        <f>205.9723-6.8654</f>
        <v>199.1069</v>
      </c>
      <c r="D162" s="80">
        <f t="shared" ref="D162:D179" si="165">2.78+8+7.3231+0.05+0.1+5</f>
        <v>23.2531</v>
      </c>
      <c r="E162" s="80">
        <f t="shared" si="132"/>
        <v>32.64</v>
      </c>
      <c r="F162" s="80">
        <f t="shared" si="133"/>
        <v>55.893100000000004</v>
      </c>
      <c r="G162" s="77">
        <f t="shared" si="154"/>
        <v>255</v>
      </c>
      <c r="H162" s="43">
        <f t="shared" si="107"/>
        <v>0</v>
      </c>
      <c r="I162" s="76">
        <f>221.5718-3.7862</f>
        <v>217.78559999999999</v>
      </c>
      <c r="J162" s="76">
        <f t="shared" ref="J162:J179" si="166">1.8+8+7.3231+0.05+0.1-2.6987</f>
        <v>14.574400000000002</v>
      </c>
      <c r="K162" s="76">
        <f t="shared" si="140"/>
        <v>32.64</v>
      </c>
      <c r="L162" s="76">
        <f t="shared" si="98"/>
        <v>47.214400000000005</v>
      </c>
      <c r="M162" s="155">
        <f t="shared" si="159"/>
        <v>265</v>
      </c>
      <c r="N162" s="151">
        <f t="shared" si="134"/>
        <v>0</v>
      </c>
      <c r="O162" s="80">
        <f>223.1885+3.6574-3.8285</f>
        <v>223.01740000000001</v>
      </c>
      <c r="P162" s="78">
        <f t="shared" si="153"/>
        <v>-3.6574</v>
      </c>
      <c r="Q162" s="80">
        <f t="shared" si="142"/>
        <v>40.64</v>
      </c>
      <c r="R162" s="177">
        <f t="shared" si="135"/>
        <v>36.982599999999998</v>
      </c>
      <c r="S162" s="82">
        <f t="shared" si="155"/>
        <v>260</v>
      </c>
      <c r="T162" s="43">
        <f t="shared" si="136"/>
        <v>0</v>
      </c>
      <c r="U162" s="253">
        <f>252.8267+12.6796-4.68</f>
        <v>260.8263</v>
      </c>
      <c r="V162" s="194">
        <f t="shared" si="143"/>
        <v>-12.679600000000001</v>
      </c>
      <c r="W162" s="191">
        <f t="shared" si="144"/>
        <v>25.853200000000001</v>
      </c>
      <c r="X162" s="191">
        <f t="shared" si="138"/>
        <v>13.1736</v>
      </c>
      <c r="Y162" s="198">
        <f t="shared" si="149"/>
        <v>273.99990000000003</v>
      </c>
      <c r="Z162" s="188">
        <f t="shared" si="108"/>
        <v>-3.6496350352965834E-7</v>
      </c>
      <c r="AA162" s="80">
        <f>182.0359-53.0016</f>
        <v>129.0343</v>
      </c>
      <c r="AB162" s="85">
        <f t="shared" si="145"/>
        <v>5.9657</v>
      </c>
      <c r="AC162" s="87">
        <f t="shared" si="156"/>
        <v>135</v>
      </c>
      <c r="AD162" s="172">
        <f t="shared" si="137"/>
        <v>0</v>
      </c>
      <c r="AE162" s="228">
        <f>221.5718+2.8342-11.5118</f>
        <v>212.89420000000001</v>
      </c>
      <c r="AF162" s="220">
        <f t="shared" si="150"/>
        <v>-2.8341999999999996</v>
      </c>
      <c r="AG162" s="221">
        <f t="shared" si="146"/>
        <v>25.939999999999998</v>
      </c>
      <c r="AH162" s="221">
        <f t="shared" si="160"/>
        <v>23.105799999999999</v>
      </c>
      <c r="AI162" s="222">
        <f t="shared" si="161"/>
        <v>236</v>
      </c>
      <c r="AJ162" s="173">
        <f t="shared" ref="AJ162:AJ196" si="167">AI162/AI161-1</f>
        <v>0</v>
      </c>
      <c r="AK162" s="229">
        <f>199.1066+13.8+0.2608-118.5466</f>
        <v>94.620799999999988</v>
      </c>
      <c r="AL162" s="224">
        <f t="shared" si="126"/>
        <v>-0.26080000000000003</v>
      </c>
      <c r="AM162" s="224">
        <f t="shared" si="147"/>
        <v>25.64</v>
      </c>
      <c r="AN162" s="224">
        <f t="shared" si="162"/>
        <v>25.379200000000001</v>
      </c>
      <c r="AO162" s="225">
        <f t="shared" si="163"/>
        <v>119.99999999999999</v>
      </c>
      <c r="AP162" s="172">
        <f t="shared" si="94"/>
        <v>0</v>
      </c>
      <c r="AQ162" s="76">
        <f>221.5718+67.1138</f>
        <v>288.68560000000002</v>
      </c>
      <c r="AR162" s="76">
        <f t="shared" ref="AR162:AR171" si="168">1.8+8+7.3231+0.05+0.1-2.6987</f>
        <v>14.574400000000002</v>
      </c>
      <c r="AS162" s="76">
        <f>4+3+1+9.86+6.88</f>
        <v>24.74</v>
      </c>
      <c r="AT162" s="76">
        <f t="shared" si="157"/>
        <v>39.314399999999999</v>
      </c>
      <c r="AU162" s="76">
        <f t="shared" si="158"/>
        <v>328</v>
      </c>
      <c r="AV162" s="151">
        <f t="shared" si="164"/>
        <v>0</v>
      </c>
    </row>
    <row r="163" spans="1:48" ht="15">
      <c r="A163" s="249">
        <v>41730</v>
      </c>
      <c r="B163" s="72">
        <f>2.5984*100</f>
        <v>259.83999999999997</v>
      </c>
      <c r="C163" s="80">
        <f>208.3871+0.1043</f>
        <v>208.4914</v>
      </c>
      <c r="D163" s="80">
        <f t="shared" si="165"/>
        <v>23.2531</v>
      </c>
      <c r="E163" s="80">
        <f t="shared" ref="E163:E182" si="169">6.5+3+1+9+12.82+8.94</f>
        <v>41.26</v>
      </c>
      <c r="F163" s="80">
        <f t="shared" si="133"/>
        <v>64.513099999999994</v>
      </c>
      <c r="G163" s="77">
        <f t="shared" si="154"/>
        <v>273.00450000000001</v>
      </c>
      <c r="H163" s="43">
        <f>G163/G162-1</f>
        <v>7.0605882352941185E-2</v>
      </c>
      <c r="I163" s="76">
        <f>222.2664+0.8992</f>
        <v>223.16560000000001</v>
      </c>
      <c r="J163" s="76">
        <f t="shared" si="166"/>
        <v>14.574400000000002</v>
      </c>
      <c r="K163" s="76">
        <f t="shared" ref="K163:K182" si="170">6.5+3+1+9+12.82+8.94</f>
        <v>41.26</v>
      </c>
      <c r="L163" s="76">
        <f t="shared" si="98"/>
        <v>55.834400000000002</v>
      </c>
      <c r="M163" s="155">
        <f t="shared" si="159"/>
        <v>279</v>
      </c>
      <c r="N163" s="151">
        <f t="shared" si="134"/>
        <v>5.2830188679245271E-2</v>
      </c>
      <c r="O163" s="80">
        <f>224.6668+3.6574-12.9268</f>
        <v>215.3974</v>
      </c>
      <c r="P163" s="78">
        <f t="shared" si="153"/>
        <v>-3.6574</v>
      </c>
      <c r="Q163" s="80">
        <f t="shared" ref="Q163:Q182" si="171">6.5+3+1+10+12.82+8.94+7</f>
        <v>49.26</v>
      </c>
      <c r="R163" s="177">
        <f t="shared" si="135"/>
        <v>45.602599999999995</v>
      </c>
      <c r="S163" s="82">
        <f t="shared" si="155"/>
        <v>261</v>
      </c>
      <c r="T163" s="43">
        <f t="shared" si="136"/>
        <v>3.8461538461538325E-3</v>
      </c>
      <c r="U163" s="253">
        <f>255.5072+12.6796+1.1875</f>
        <v>269.37430000000001</v>
      </c>
      <c r="V163" s="194">
        <f t="shared" si="143"/>
        <v>-12.679600000000001</v>
      </c>
      <c r="W163" s="191">
        <f t="shared" ref="W163:W170" si="172">10+8.15+6.38+4.7759+1</f>
        <v>30.305899999999998</v>
      </c>
      <c r="X163" s="191">
        <f t="shared" si="138"/>
        <v>17.626299999999997</v>
      </c>
      <c r="Y163" s="198">
        <f t="shared" si="149"/>
        <v>287.00060000000002</v>
      </c>
      <c r="Z163" s="188">
        <f t="shared" si="108"/>
        <v>4.7447827535703535E-2</v>
      </c>
      <c r="AA163" s="80">
        <f>185.2131-56.1788</f>
        <v>129.0343</v>
      </c>
      <c r="AB163" s="85">
        <f t="shared" si="145"/>
        <v>5.9657</v>
      </c>
      <c r="AC163" s="87">
        <f t="shared" si="156"/>
        <v>135</v>
      </c>
      <c r="AD163" s="172">
        <f t="shared" si="137"/>
        <v>0</v>
      </c>
      <c r="AE163" s="228">
        <f>222.2664+2.8342-18.3264</f>
        <v>206.77420000000001</v>
      </c>
      <c r="AF163" s="220">
        <f t="shared" si="150"/>
        <v>-2.8341999999999996</v>
      </c>
      <c r="AG163" s="221">
        <f>1+9+12.82+8.94+0.3</f>
        <v>32.059999999999995</v>
      </c>
      <c r="AH163" s="221">
        <f t="shared" si="160"/>
        <v>29.225799999999996</v>
      </c>
      <c r="AI163" s="222">
        <f t="shared" si="161"/>
        <v>236</v>
      </c>
      <c r="AJ163" s="173">
        <f t="shared" si="167"/>
        <v>0</v>
      </c>
      <c r="AK163" s="229">
        <f>201.4408+15.2+0.2608-123.4008</f>
        <v>93.50079999999997</v>
      </c>
      <c r="AL163" s="224">
        <f t="shared" si="126"/>
        <v>-0.26080000000000003</v>
      </c>
      <c r="AM163" s="224">
        <f>1+9+12.52+8.94+0.3</f>
        <v>31.76</v>
      </c>
      <c r="AN163" s="224">
        <f t="shared" si="162"/>
        <v>31.499200000000002</v>
      </c>
      <c r="AO163" s="225">
        <f t="shared" si="163"/>
        <v>124.99999999999997</v>
      </c>
      <c r="AP163" s="172">
        <f t="shared" ref="AP163:AP196" si="173">AO163/AO162-1</f>
        <v>4.1666666666666519E-2</v>
      </c>
      <c r="AQ163" s="76">
        <f>222.2664+62.3992</f>
        <v>284.66559999999998</v>
      </c>
      <c r="AR163" s="76">
        <f t="shared" si="168"/>
        <v>14.574400000000002</v>
      </c>
      <c r="AS163" s="76">
        <f>4+3+1+12.82+8.94</f>
        <v>29.759999999999998</v>
      </c>
      <c r="AT163" s="76">
        <f t="shared" si="157"/>
        <v>44.334400000000002</v>
      </c>
      <c r="AU163" s="76">
        <f t="shared" si="158"/>
        <v>329</v>
      </c>
      <c r="AV163" s="151">
        <f t="shared" si="164"/>
        <v>3.0487804878047697E-3</v>
      </c>
    </row>
    <row r="164" spans="1:48" ht="15">
      <c r="A164" s="249">
        <v>41745</v>
      </c>
      <c r="B164" s="72">
        <f>2.7039*100</f>
        <v>270.39</v>
      </c>
      <c r="C164" s="80">
        <f>226.1621-17.6752</f>
        <v>208.48690000000002</v>
      </c>
      <c r="D164" s="80">
        <f t="shared" si="165"/>
        <v>23.2531</v>
      </c>
      <c r="E164" s="80">
        <f t="shared" si="169"/>
        <v>41.26</v>
      </c>
      <c r="F164" s="80">
        <f t="shared" si="133"/>
        <v>64.513099999999994</v>
      </c>
      <c r="G164" s="77">
        <f t="shared" si="154"/>
        <v>273</v>
      </c>
      <c r="H164" s="43">
        <f t="shared" si="107"/>
        <v>-1.6483244781650974E-5</v>
      </c>
      <c r="I164" s="76">
        <f>231.2345-19.0689</f>
        <v>212.16559999999998</v>
      </c>
      <c r="J164" s="76">
        <f t="shared" si="166"/>
        <v>14.574400000000002</v>
      </c>
      <c r="K164" s="76">
        <f t="shared" si="170"/>
        <v>41.26</v>
      </c>
      <c r="L164" s="76">
        <f t="shared" si="98"/>
        <v>55.834400000000002</v>
      </c>
      <c r="M164" s="155">
        <f t="shared" si="159"/>
        <v>268</v>
      </c>
      <c r="N164" s="151">
        <f t="shared" si="134"/>
        <v>-3.9426523297491078E-2</v>
      </c>
      <c r="O164" s="80">
        <f>233.4014+3.6574-21.6614</f>
        <v>215.3974</v>
      </c>
      <c r="P164" s="78">
        <f t="shared" si="153"/>
        <v>-3.6574</v>
      </c>
      <c r="Q164" s="80">
        <f t="shared" si="171"/>
        <v>49.26</v>
      </c>
      <c r="R164" s="177">
        <f t="shared" si="135"/>
        <v>45.602599999999995</v>
      </c>
      <c r="S164" s="82">
        <f t="shared" si="155"/>
        <v>261</v>
      </c>
      <c r="T164" s="43">
        <f t="shared" si="136"/>
        <v>0</v>
      </c>
      <c r="U164" s="253">
        <f>265.2735+12.6796-8.5788</f>
        <v>269.37430000000001</v>
      </c>
      <c r="V164" s="194">
        <f t="shared" si="143"/>
        <v>-12.679600000000001</v>
      </c>
      <c r="W164" s="191">
        <f t="shared" si="172"/>
        <v>30.305899999999998</v>
      </c>
      <c r="X164" s="191">
        <f t="shared" si="138"/>
        <v>17.626299999999997</v>
      </c>
      <c r="Y164" s="198">
        <f t="shared" si="149"/>
        <v>287.00060000000002</v>
      </c>
      <c r="Z164" s="188">
        <f t="shared" si="108"/>
        <v>0</v>
      </c>
      <c r="AA164" s="80">
        <f>193.1827-64.1484</f>
        <v>129.03430000000003</v>
      </c>
      <c r="AB164" s="85">
        <f t="shared" si="145"/>
        <v>5.9657</v>
      </c>
      <c r="AC164" s="87">
        <f t="shared" si="156"/>
        <v>135.00000000000003</v>
      </c>
      <c r="AD164" s="172">
        <f t="shared" si="137"/>
        <v>0</v>
      </c>
      <c r="AE164" s="228">
        <f>222.2664+2.8342-18.3264</f>
        <v>206.77420000000001</v>
      </c>
      <c r="AF164" s="220">
        <f t="shared" si="150"/>
        <v>-2.8341999999999996</v>
      </c>
      <c r="AG164" s="221">
        <f>1+9+12.82+8.94+0.3</f>
        <v>32.059999999999995</v>
      </c>
      <c r="AH164" s="221">
        <f t="shared" si="160"/>
        <v>29.225799999999996</v>
      </c>
      <c r="AI164" s="222">
        <f t="shared" si="161"/>
        <v>236</v>
      </c>
      <c r="AJ164" s="173">
        <f t="shared" si="167"/>
        <v>0</v>
      </c>
      <c r="AK164" s="229">
        <f>218.6234+15.2+0.2608-140.5834</f>
        <v>93.50079999999997</v>
      </c>
      <c r="AL164" s="224">
        <f t="shared" si="126"/>
        <v>-0.26080000000000003</v>
      </c>
      <c r="AM164" s="224">
        <f>1+9+12.52+8.94+0.3</f>
        <v>31.76</v>
      </c>
      <c r="AN164" s="224">
        <f t="shared" si="162"/>
        <v>31.499200000000002</v>
      </c>
      <c r="AO164" s="225">
        <f t="shared" si="163"/>
        <v>124.99999999999997</v>
      </c>
      <c r="AP164" s="172">
        <f t="shared" si="173"/>
        <v>0</v>
      </c>
      <c r="AQ164" s="76">
        <f>231.2345+59.9311</f>
        <v>291.16559999999998</v>
      </c>
      <c r="AR164" s="76">
        <f t="shared" si="168"/>
        <v>14.574400000000002</v>
      </c>
      <c r="AS164" s="76">
        <f t="shared" ref="AS164:AS171" si="174">6.5+3+1+12.82+8.94</f>
        <v>32.26</v>
      </c>
      <c r="AT164" s="76">
        <f t="shared" si="157"/>
        <v>46.834400000000002</v>
      </c>
      <c r="AU164" s="76">
        <f t="shared" si="158"/>
        <v>338</v>
      </c>
      <c r="AV164" s="151">
        <f t="shared" si="164"/>
        <v>2.7355623100304038E-2</v>
      </c>
    </row>
    <row r="165" spans="1:48" ht="15">
      <c r="A165" s="249">
        <v>41760</v>
      </c>
      <c r="B165" s="72">
        <f>2.7686*100</f>
        <v>276.86</v>
      </c>
      <c r="C165" s="80">
        <f>238.4656-29.9787</f>
        <v>208.48689999999999</v>
      </c>
      <c r="D165" s="80">
        <f t="shared" si="165"/>
        <v>23.2531</v>
      </c>
      <c r="E165" s="80">
        <f t="shared" si="169"/>
        <v>41.26</v>
      </c>
      <c r="F165" s="80">
        <f t="shared" si="133"/>
        <v>64.513099999999994</v>
      </c>
      <c r="G165" s="77">
        <f t="shared" si="154"/>
        <v>273</v>
      </c>
      <c r="H165" s="43">
        <f t="shared" si="107"/>
        <v>0</v>
      </c>
      <c r="I165" s="76">
        <f>242.6353-30.4697</f>
        <v>212.16560000000001</v>
      </c>
      <c r="J165" s="76">
        <f t="shared" si="166"/>
        <v>14.574400000000002</v>
      </c>
      <c r="K165" s="76">
        <f t="shared" si="170"/>
        <v>41.26</v>
      </c>
      <c r="L165" s="76">
        <f t="shared" si="98"/>
        <v>55.834400000000002</v>
      </c>
      <c r="M165" s="155">
        <f t="shared" si="159"/>
        <v>268</v>
      </c>
      <c r="N165" s="151">
        <f t="shared" si="134"/>
        <v>0</v>
      </c>
      <c r="O165" s="80">
        <f>244.5788+3.6574-32.8388</f>
        <v>215.3974</v>
      </c>
      <c r="P165" s="78">
        <f t="shared" si="153"/>
        <v>-3.6574</v>
      </c>
      <c r="Q165" s="80">
        <f t="shared" si="171"/>
        <v>49.26</v>
      </c>
      <c r="R165" s="177">
        <f t="shared" si="135"/>
        <v>45.602599999999995</v>
      </c>
      <c r="S165" s="82">
        <f t="shared" si="155"/>
        <v>261</v>
      </c>
      <c r="T165" s="43">
        <f t="shared" si="136"/>
        <v>0</v>
      </c>
      <c r="U165" s="253">
        <f>261.2992+12.6796-4.6045</f>
        <v>269.37430000000001</v>
      </c>
      <c r="V165" s="194">
        <f t="shared" si="143"/>
        <v>-12.679600000000001</v>
      </c>
      <c r="W165" s="191">
        <f t="shared" si="172"/>
        <v>30.305899999999998</v>
      </c>
      <c r="X165" s="191">
        <f t="shared" si="138"/>
        <v>17.626299999999997</v>
      </c>
      <c r="Y165" s="198">
        <f t="shared" si="149"/>
        <v>287.00060000000002</v>
      </c>
      <c r="Z165" s="188">
        <f t="shared" si="108"/>
        <v>0</v>
      </c>
      <c r="AA165" s="80">
        <f>194.4017-65.3674</f>
        <v>129.0343</v>
      </c>
      <c r="AB165" s="85">
        <f t="shared" si="145"/>
        <v>5.9657</v>
      </c>
      <c r="AC165" s="87">
        <f t="shared" si="156"/>
        <v>135</v>
      </c>
      <c r="AD165" s="172">
        <f t="shared" si="137"/>
        <v>0</v>
      </c>
      <c r="AE165" s="228">
        <f>242.6353+2.8342-38.6953</f>
        <v>206.77420000000001</v>
      </c>
      <c r="AF165" s="220">
        <f t="shared" si="150"/>
        <v>-2.8341999999999996</v>
      </c>
      <c r="AG165" s="221">
        <f>1+9+12.82+8.94+0.3</f>
        <v>32.059999999999995</v>
      </c>
      <c r="AH165" s="221">
        <f t="shared" si="160"/>
        <v>29.225799999999996</v>
      </c>
      <c r="AI165" s="222">
        <f t="shared" si="161"/>
        <v>236</v>
      </c>
      <c r="AJ165" s="173">
        <f t="shared" si="167"/>
        <v>0</v>
      </c>
      <c r="AK165" s="229">
        <f>230.5168+15.2+0.2608-152.4768</f>
        <v>93.50079999999997</v>
      </c>
      <c r="AL165" s="224">
        <f t="shared" si="126"/>
        <v>-0.26080000000000003</v>
      </c>
      <c r="AM165" s="224">
        <f>1+9+12.52+8.94+0.3</f>
        <v>31.76</v>
      </c>
      <c r="AN165" s="224">
        <f t="shared" si="162"/>
        <v>31.499200000000002</v>
      </c>
      <c r="AO165" s="225">
        <f t="shared" si="163"/>
        <v>124.99999999999997</v>
      </c>
      <c r="AP165" s="172">
        <f t="shared" si="173"/>
        <v>0</v>
      </c>
      <c r="AQ165" s="76">
        <f>242.6353+60.5303</f>
        <v>303.16559999999998</v>
      </c>
      <c r="AR165" s="76">
        <f t="shared" si="168"/>
        <v>14.574400000000002</v>
      </c>
      <c r="AS165" s="76">
        <f t="shared" si="174"/>
        <v>32.26</v>
      </c>
      <c r="AT165" s="76">
        <f t="shared" si="157"/>
        <v>46.834400000000002</v>
      </c>
      <c r="AU165" s="76">
        <f t="shared" si="158"/>
        <v>350</v>
      </c>
      <c r="AV165" s="151">
        <f t="shared" si="164"/>
        <v>3.5502958579881616E-2</v>
      </c>
    </row>
    <row r="166" spans="1:48" ht="15">
      <c r="A166" s="249">
        <v>41775</v>
      </c>
      <c r="B166" s="72">
        <f>2.8158*100</f>
        <v>281.58</v>
      </c>
      <c r="C166" s="80">
        <f>236.1443-27.6574</f>
        <v>208.48689999999999</v>
      </c>
      <c r="D166" s="80">
        <f t="shared" si="165"/>
        <v>23.2531</v>
      </c>
      <c r="E166" s="80">
        <f t="shared" si="169"/>
        <v>41.26</v>
      </c>
      <c r="F166" s="80">
        <f t="shared" si="133"/>
        <v>64.513099999999994</v>
      </c>
      <c r="G166" s="77">
        <f>SUM(C166:E166)</f>
        <v>273</v>
      </c>
      <c r="H166" s="43">
        <f t="shared" si="107"/>
        <v>0</v>
      </c>
      <c r="I166" s="76">
        <f>243.7507-31.5851</f>
        <v>212.16559999999998</v>
      </c>
      <c r="J166" s="76">
        <f t="shared" si="166"/>
        <v>14.574400000000002</v>
      </c>
      <c r="K166" s="76">
        <f t="shared" si="170"/>
        <v>41.26</v>
      </c>
      <c r="L166" s="76">
        <f t="shared" si="98"/>
        <v>55.834400000000002</v>
      </c>
      <c r="M166" s="155">
        <f t="shared" si="159"/>
        <v>268</v>
      </c>
      <c r="N166" s="151">
        <f t="shared" si="134"/>
        <v>0</v>
      </c>
      <c r="O166" s="80">
        <f>246.0921+3.6574-34.3521</f>
        <v>215.39739999999998</v>
      </c>
      <c r="P166" s="78">
        <f t="shared" si="153"/>
        <v>-3.6574</v>
      </c>
      <c r="Q166" s="80">
        <f t="shared" si="171"/>
        <v>49.26</v>
      </c>
      <c r="R166" s="177">
        <f t="shared" si="135"/>
        <v>45.602599999999995</v>
      </c>
      <c r="S166" s="82">
        <f t="shared" si="155"/>
        <v>261</v>
      </c>
      <c r="T166" s="43">
        <f t="shared" si="136"/>
        <v>0</v>
      </c>
      <c r="U166" s="253">
        <f>253.0612+12.6796+3.6335</f>
        <v>269.37430000000006</v>
      </c>
      <c r="V166" s="194">
        <f t="shared" si="143"/>
        <v>-12.679600000000001</v>
      </c>
      <c r="W166" s="191">
        <f t="shared" si="172"/>
        <v>30.305899999999998</v>
      </c>
      <c r="X166" s="191">
        <f t="shared" si="138"/>
        <v>17.626299999999997</v>
      </c>
      <c r="Y166" s="198">
        <f t="shared" si="149"/>
        <v>287.00060000000008</v>
      </c>
      <c r="Z166" s="188">
        <f t="shared" si="108"/>
        <v>0</v>
      </c>
      <c r="AA166" s="80">
        <f>194.9377-65.9034</f>
        <v>129.0343</v>
      </c>
      <c r="AB166" s="85">
        <f t="shared" si="145"/>
        <v>5.9657</v>
      </c>
      <c r="AC166" s="87">
        <f t="shared" si="156"/>
        <v>135</v>
      </c>
      <c r="AD166" s="172">
        <f t="shared" si="137"/>
        <v>0</v>
      </c>
      <c r="AE166" s="228">
        <f>242.6353+2.8342-38.6953</f>
        <v>206.77420000000001</v>
      </c>
      <c r="AF166" s="220">
        <f t="shared" si="150"/>
        <v>-2.8341999999999996</v>
      </c>
      <c r="AG166" s="221">
        <f>1+9+12.82+8.94+0.3</f>
        <v>32.059999999999995</v>
      </c>
      <c r="AH166" s="221">
        <f t="shared" si="160"/>
        <v>29.225799999999996</v>
      </c>
      <c r="AI166" s="222">
        <f t="shared" si="161"/>
        <v>236</v>
      </c>
      <c r="AJ166" s="173">
        <f t="shared" si="167"/>
        <v>0</v>
      </c>
      <c r="AK166" s="229">
        <f>230.5168+15.2+0.2608-152.4768</f>
        <v>93.50079999999997</v>
      </c>
      <c r="AL166" s="224">
        <f t="shared" si="126"/>
        <v>-0.26080000000000003</v>
      </c>
      <c r="AM166" s="224">
        <f>1+9+12.52+8.94+0.3</f>
        <v>31.76</v>
      </c>
      <c r="AN166" s="224">
        <f t="shared" si="162"/>
        <v>31.499200000000002</v>
      </c>
      <c r="AO166" s="225">
        <f t="shared" si="163"/>
        <v>124.99999999999997</v>
      </c>
      <c r="AP166" s="172">
        <f t="shared" si="173"/>
        <v>0</v>
      </c>
      <c r="AQ166" s="76">
        <f>243.7507+62.4149</f>
        <v>306.16559999999998</v>
      </c>
      <c r="AR166" s="76">
        <f t="shared" si="168"/>
        <v>14.574400000000002</v>
      </c>
      <c r="AS166" s="76">
        <f t="shared" si="174"/>
        <v>32.26</v>
      </c>
      <c r="AT166" s="76">
        <f t="shared" si="157"/>
        <v>46.834400000000002</v>
      </c>
      <c r="AU166" s="76">
        <f t="shared" si="158"/>
        <v>353</v>
      </c>
      <c r="AV166" s="151">
        <f t="shared" si="164"/>
        <v>8.5714285714286742E-3</v>
      </c>
    </row>
    <row r="167" spans="1:48" ht="15">
      <c r="A167" s="249">
        <v>41791</v>
      </c>
      <c r="B167" s="72">
        <v>287.86</v>
      </c>
      <c r="C167" s="80">
        <f>241.0403-32.5534</f>
        <v>208.48689999999999</v>
      </c>
      <c r="D167" s="80">
        <f t="shared" si="165"/>
        <v>23.2531</v>
      </c>
      <c r="E167" s="80">
        <f t="shared" si="169"/>
        <v>41.26</v>
      </c>
      <c r="F167" s="80">
        <f t="shared" si="133"/>
        <v>64.513099999999994</v>
      </c>
      <c r="G167" s="77">
        <f>SUM(C167:E167)</f>
        <v>273</v>
      </c>
      <c r="H167" s="43">
        <f t="shared" si="107"/>
        <v>0</v>
      </c>
      <c r="I167" s="76">
        <f>251.0163-38.8507</f>
        <v>212.16559999999998</v>
      </c>
      <c r="J167" s="76">
        <f t="shared" si="166"/>
        <v>14.574400000000002</v>
      </c>
      <c r="K167" s="76">
        <f t="shared" si="170"/>
        <v>41.26</v>
      </c>
      <c r="L167" s="76">
        <f t="shared" si="98"/>
        <v>55.834400000000002</v>
      </c>
      <c r="M167" s="155">
        <f>SUM(I167:K167)</f>
        <v>268</v>
      </c>
      <c r="N167" s="151">
        <f t="shared" si="134"/>
        <v>0</v>
      </c>
      <c r="O167" s="80">
        <f>253.8524+3.6574-42.1124</f>
        <v>215.39739999999998</v>
      </c>
      <c r="P167" s="78">
        <f t="shared" si="153"/>
        <v>-3.6574</v>
      </c>
      <c r="Q167" s="80">
        <f t="shared" si="171"/>
        <v>49.26</v>
      </c>
      <c r="R167" s="177">
        <f t="shared" si="135"/>
        <v>45.602599999999995</v>
      </c>
      <c r="S167" s="82">
        <f t="shared" si="155"/>
        <v>261</v>
      </c>
      <c r="T167" s="43">
        <f t="shared" si="136"/>
        <v>0</v>
      </c>
      <c r="U167" s="253">
        <f>257.0329+12.6796-0.3382</f>
        <v>269.37430000000001</v>
      </c>
      <c r="V167" s="194">
        <f t="shared" si="143"/>
        <v>-12.679600000000001</v>
      </c>
      <c r="W167" s="191">
        <f t="shared" si="172"/>
        <v>30.305899999999998</v>
      </c>
      <c r="X167" s="191">
        <f t="shared" si="138"/>
        <v>17.626299999999997</v>
      </c>
      <c r="Y167" s="198">
        <f t="shared" si="149"/>
        <v>287.00060000000002</v>
      </c>
      <c r="Z167" s="188">
        <f t="shared" si="108"/>
        <v>0</v>
      </c>
      <c r="AA167" s="80">
        <f>206.4923-77.458</f>
        <v>129.0343</v>
      </c>
      <c r="AB167" s="85">
        <f t="shared" si="145"/>
        <v>5.9657</v>
      </c>
      <c r="AC167" s="87">
        <f>SUM(AA167:AB167)</f>
        <v>135</v>
      </c>
      <c r="AD167" s="172">
        <f t="shared" si="137"/>
        <v>0</v>
      </c>
      <c r="AE167" s="228">
        <f>251.0163+2.8342-47.0763</f>
        <v>206.77420000000001</v>
      </c>
      <c r="AF167" s="220">
        <f t="shared" si="150"/>
        <v>-2.8341999999999996</v>
      </c>
      <c r="AG167" s="221">
        <f t="shared" ref="AG167:AG172" si="175">9+12.82+8.94+0.3+1</f>
        <v>32.06</v>
      </c>
      <c r="AH167" s="221">
        <f t="shared" si="160"/>
        <v>29.225800000000003</v>
      </c>
      <c r="AI167" s="222">
        <f t="shared" si="161"/>
        <v>236</v>
      </c>
      <c r="AJ167" s="173">
        <f t="shared" si="167"/>
        <v>0</v>
      </c>
      <c r="AK167" s="229">
        <f>233.0057+19.6667+0.2608-159.4323</f>
        <v>93.500899999999973</v>
      </c>
      <c r="AL167" s="224">
        <f t="shared" si="126"/>
        <v>-0.26080000000000003</v>
      </c>
      <c r="AM167" s="224">
        <f t="shared" ref="AM167:AM172" si="176">9+12.52+8.94+0.3</f>
        <v>30.76</v>
      </c>
      <c r="AN167" s="224">
        <f t="shared" ref="AN167:AN172" si="177">AL167+AM167+1</f>
        <v>31.499200000000002</v>
      </c>
      <c r="AO167" s="225">
        <f t="shared" si="163"/>
        <v>125.00009999999997</v>
      </c>
      <c r="AP167" s="172">
        <f t="shared" si="173"/>
        <v>8.0000000002300453E-7</v>
      </c>
      <c r="AQ167" s="76">
        <f>251.0163+63.1493</f>
        <v>314.16559999999998</v>
      </c>
      <c r="AR167" s="76">
        <f t="shared" si="168"/>
        <v>14.574400000000002</v>
      </c>
      <c r="AS167" s="76">
        <f t="shared" si="174"/>
        <v>32.26</v>
      </c>
      <c r="AT167" s="76">
        <f>AR167+AS167</f>
        <v>46.834400000000002</v>
      </c>
      <c r="AU167" s="76">
        <f>AQ167+AT167</f>
        <v>361</v>
      </c>
      <c r="AV167" s="151">
        <f t="shared" si="164"/>
        <v>2.2662889518413554E-2</v>
      </c>
    </row>
    <row r="168" spans="1:48" ht="15">
      <c r="A168" s="249">
        <v>41806</v>
      </c>
      <c r="B168" s="72">
        <v>293.12</v>
      </c>
      <c r="C168" s="80">
        <f>246.7788-38.2919</f>
        <v>208.48689999999999</v>
      </c>
      <c r="D168" s="80">
        <f t="shared" si="165"/>
        <v>23.2531</v>
      </c>
      <c r="E168" s="80">
        <f t="shared" si="169"/>
        <v>41.26</v>
      </c>
      <c r="F168" s="80">
        <f t="shared" si="133"/>
        <v>64.513099999999994</v>
      </c>
      <c r="G168" s="77">
        <f t="shared" ref="G168:G174" si="178">SUM(C168:E168)</f>
        <v>273</v>
      </c>
      <c r="H168" s="43">
        <f t="shared" si="107"/>
        <v>0</v>
      </c>
      <c r="I168" s="76">
        <f>250.4911-38.3255</f>
        <v>212.16559999999998</v>
      </c>
      <c r="J168" s="76">
        <f t="shared" si="166"/>
        <v>14.574400000000002</v>
      </c>
      <c r="K168" s="76">
        <f t="shared" si="170"/>
        <v>41.26</v>
      </c>
      <c r="L168" s="76">
        <f t="shared" si="98"/>
        <v>55.834400000000002</v>
      </c>
      <c r="M168" s="155">
        <f>SUM(I168:K168)</f>
        <v>268</v>
      </c>
      <c r="N168" s="151">
        <f t="shared" si="134"/>
        <v>0</v>
      </c>
      <c r="O168" s="80">
        <f>253.1979+3.6574-41.4579</f>
        <v>215.3974</v>
      </c>
      <c r="P168" s="78">
        <f t="shared" si="153"/>
        <v>-3.6574</v>
      </c>
      <c r="Q168" s="80">
        <f t="shared" si="171"/>
        <v>49.26</v>
      </c>
      <c r="R168" s="177">
        <f t="shared" si="135"/>
        <v>45.602599999999995</v>
      </c>
      <c r="S168" s="82">
        <f t="shared" si="155"/>
        <v>261</v>
      </c>
      <c r="T168" s="43">
        <f t="shared" si="136"/>
        <v>0</v>
      </c>
      <c r="U168" s="253">
        <f>266.6751+12.6797-9.9804</f>
        <v>269.37440000000004</v>
      </c>
      <c r="V168" s="194">
        <f t="shared" si="143"/>
        <v>-12.679600000000001</v>
      </c>
      <c r="W168" s="191">
        <f t="shared" si="172"/>
        <v>30.305899999999998</v>
      </c>
      <c r="X168" s="191">
        <f t="shared" si="138"/>
        <v>17.626299999999997</v>
      </c>
      <c r="Y168" s="198">
        <f t="shared" si="149"/>
        <v>287.00070000000005</v>
      </c>
      <c r="Z168" s="188">
        <f t="shared" si="108"/>
        <v>3.4843132734607707E-7</v>
      </c>
      <c r="AA168" s="80">
        <f>209.9027-80.8684</f>
        <v>129.03430000000003</v>
      </c>
      <c r="AB168" s="85">
        <f t="shared" si="145"/>
        <v>5.9657</v>
      </c>
      <c r="AC168" s="87">
        <f>SUM(AA168:AB168)</f>
        <v>135.00000000000003</v>
      </c>
      <c r="AD168" s="172">
        <f t="shared" si="137"/>
        <v>0</v>
      </c>
      <c r="AE168" s="228">
        <f>250.4911+2.8342-46.5511</f>
        <v>206.77420000000001</v>
      </c>
      <c r="AF168" s="220">
        <f t="shared" si="150"/>
        <v>-2.8341999999999996</v>
      </c>
      <c r="AG168" s="221">
        <f t="shared" si="175"/>
        <v>32.06</v>
      </c>
      <c r="AH168" s="221">
        <f>AF168+AG168</f>
        <v>29.225800000000003</v>
      </c>
      <c r="AI168" s="222">
        <f>AE168+AH168</f>
        <v>236</v>
      </c>
      <c r="AJ168" s="173">
        <f t="shared" si="167"/>
        <v>0</v>
      </c>
      <c r="AK168" s="229">
        <f>238.5528+19.6667+0.2608-164.9795</f>
        <v>93.500799999999998</v>
      </c>
      <c r="AL168" s="224">
        <f t="shared" si="126"/>
        <v>-0.26080000000000003</v>
      </c>
      <c r="AM168" s="224">
        <f t="shared" si="176"/>
        <v>30.76</v>
      </c>
      <c r="AN168" s="224">
        <f t="shared" si="177"/>
        <v>31.499200000000002</v>
      </c>
      <c r="AO168" s="225">
        <f>AK168+AN168</f>
        <v>125</v>
      </c>
      <c r="AP168" s="172">
        <f t="shared" si="173"/>
        <v>-7.9999935975738623E-7</v>
      </c>
      <c r="AQ168" s="76">
        <f>250.4911+64.6745</f>
        <v>315.16559999999998</v>
      </c>
      <c r="AR168" s="76">
        <f t="shared" si="168"/>
        <v>14.574400000000002</v>
      </c>
      <c r="AS168" s="76">
        <f t="shared" si="174"/>
        <v>32.26</v>
      </c>
      <c r="AT168" s="76">
        <f>AR168+AS168</f>
        <v>46.834400000000002</v>
      </c>
      <c r="AU168" s="76">
        <f>AQ168+AT168</f>
        <v>362</v>
      </c>
      <c r="AV168" s="151">
        <f t="shared" si="164"/>
        <v>2.7700831024930483E-3</v>
      </c>
    </row>
    <row r="169" spans="1:48" ht="15">
      <c r="A169" s="249">
        <v>41821</v>
      </c>
      <c r="B169" s="72">
        <v>301.32</v>
      </c>
      <c r="C169" s="80">
        <f>264.4579-55.971</f>
        <v>208.48689999999999</v>
      </c>
      <c r="D169" s="80">
        <f t="shared" si="165"/>
        <v>23.2531</v>
      </c>
      <c r="E169" s="80">
        <f t="shared" si="169"/>
        <v>41.26</v>
      </c>
      <c r="F169" s="80">
        <f t="shared" si="133"/>
        <v>64.513099999999994</v>
      </c>
      <c r="G169" s="77">
        <f t="shared" si="178"/>
        <v>273</v>
      </c>
      <c r="H169" s="43">
        <f t="shared" si="107"/>
        <v>0</v>
      </c>
      <c r="I169" s="76">
        <f>266.1496-53.984</f>
        <v>212.16560000000001</v>
      </c>
      <c r="J169" s="76">
        <f t="shared" si="166"/>
        <v>14.574400000000002</v>
      </c>
      <c r="K169" s="76">
        <f t="shared" si="170"/>
        <v>41.26</v>
      </c>
      <c r="L169" s="76">
        <f t="shared" si="98"/>
        <v>55.834400000000002</v>
      </c>
      <c r="M169" s="155">
        <f t="shared" ref="M169:M174" si="179">SUM(I169:K169)</f>
        <v>268</v>
      </c>
      <c r="N169" s="151">
        <f t="shared" si="134"/>
        <v>0</v>
      </c>
      <c r="O169" s="80">
        <f>271.6041+3.6574-59.8641</f>
        <v>215.3974</v>
      </c>
      <c r="P169" s="78">
        <f t="shared" si="153"/>
        <v>-3.6574</v>
      </c>
      <c r="Q169" s="80">
        <f t="shared" si="171"/>
        <v>49.26</v>
      </c>
      <c r="R169" s="177">
        <f t="shared" si="135"/>
        <v>45.602599999999995</v>
      </c>
      <c r="S169" s="82">
        <f t="shared" si="155"/>
        <v>261</v>
      </c>
      <c r="T169" s="43">
        <f t="shared" si="136"/>
        <v>0</v>
      </c>
      <c r="U169" s="253">
        <f>296.0204+12.6796-39.3257</f>
        <v>269.37430000000001</v>
      </c>
      <c r="V169" s="194">
        <f t="shared" si="143"/>
        <v>-12.679600000000001</v>
      </c>
      <c r="W169" s="191">
        <f t="shared" si="172"/>
        <v>30.305899999999998</v>
      </c>
      <c r="X169" s="191">
        <f t="shared" si="138"/>
        <v>17.626299999999997</v>
      </c>
      <c r="Y169" s="198">
        <f t="shared" si="149"/>
        <v>287.00060000000002</v>
      </c>
      <c r="Z169" s="188">
        <f t="shared" si="108"/>
        <v>-3.4843120599870048E-7</v>
      </c>
      <c r="AA169" s="80">
        <f>217.7304-88.6961</f>
        <v>129.0343</v>
      </c>
      <c r="AB169" s="85">
        <f t="shared" si="145"/>
        <v>5.9657</v>
      </c>
      <c r="AC169" s="87">
        <f>SUM(AA169:AB169)</f>
        <v>135</v>
      </c>
      <c r="AD169" s="172">
        <f t="shared" si="137"/>
        <v>0</v>
      </c>
      <c r="AE169" s="228">
        <f>266.1496+2.8342-62.2096</f>
        <v>206.77420000000004</v>
      </c>
      <c r="AF169" s="220">
        <f t="shared" si="150"/>
        <v>-2.8341999999999996</v>
      </c>
      <c r="AG169" s="221">
        <f t="shared" si="175"/>
        <v>32.06</v>
      </c>
      <c r="AH169" s="221">
        <f>AF169+AG169</f>
        <v>29.225800000000003</v>
      </c>
      <c r="AI169" s="222">
        <f>AE169+AH169</f>
        <v>236.00000000000003</v>
      </c>
      <c r="AJ169" s="173">
        <f t="shared" si="167"/>
        <v>0</v>
      </c>
      <c r="AK169" s="229">
        <f>255.6427+19.6667+0.2608-182.0693</f>
        <v>93.500900000000001</v>
      </c>
      <c r="AL169" s="224">
        <f t="shared" si="126"/>
        <v>-0.26080000000000003</v>
      </c>
      <c r="AM169" s="224">
        <f t="shared" si="176"/>
        <v>30.76</v>
      </c>
      <c r="AN169" s="224">
        <f t="shared" si="177"/>
        <v>31.499200000000002</v>
      </c>
      <c r="AO169" s="225">
        <f>AK169+AN169</f>
        <v>125.0001</v>
      </c>
      <c r="AP169" s="172">
        <f t="shared" si="173"/>
        <v>8.0000000002300453E-7</v>
      </c>
      <c r="AQ169" s="76">
        <f>266.1496+66.016</f>
        <v>332.16560000000004</v>
      </c>
      <c r="AR169" s="76">
        <f t="shared" si="168"/>
        <v>14.574400000000002</v>
      </c>
      <c r="AS169" s="76">
        <f t="shared" si="174"/>
        <v>32.26</v>
      </c>
      <c r="AT169" s="76">
        <f>AR169+AS169</f>
        <v>46.834400000000002</v>
      </c>
      <c r="AU169" s="76">
        <f>AQ169+AT169</f>
        <v>379.00000000000006</v>
      </c>
      <c r="AV169" s="151">
        <f t="shared" si="164"/>
        <v>4.6961325966850875E-2</v>
      </c>
    </row>
    <row r="170" spans="1:48" ht="15">
      <c r="A170" s="249">
        <v>41834</v>
      </c>
      <c r="B170" s="72">
        <f>3.1*100</f>
        <v>310</v>
      </c>
      <c r="C170" s="80">
        <f>270.5688+0.9181</f>
        <v>271.48689999999999</v>
      </c>
      <c r="D170" s="80">
        <f t="shared" si="165"/>
        <v>23.2531</v>
      </c>
      <c r="E170" s="80">
        <f t="shared" si="169"/>
        <v>41.26</v>
      </c>
      <c r="F170" s="80">
        <f t="shared" si="133"/>
        <v>64.513099999999994</v>
      </c>
      <c r="G170" s="77">
        <f t="shared" si="178"/>
        <v>336</v>
      </c>
      <c r="H170" s="43">
        <f t="shared" si="107"/>
        <v>0.23076923076923084</v>
      </c>
      <c r="I170" s="76">
        <f>266.5762+4.5894</f>
        <v>271.16559999999998</v>
      </c>
      <c r="J170" s="76">
        <f t="shared" si="166"/>
        <v>14.574400000000002</v>
      </c>
      <c r="K170" s="76">
        <f t="shared" si="170"/>
        <v>41.26</v>
      </c>
      <c r="L170" s="76">
        <f t="shared" si="98"/>
        <v>55.834400000000002</v>
      </c>
      <c r="M170" s="155">
        <f t="shared" si="179"/>
        <v>327</v>
      </c>
      <c r="N170" s="151">
        <f t="shared" si="134"/>
        <v>0.2201492537313432</v>
      </c>
      <c r="O170" s="80">
        <f>273.0611+3.6574+0.6789</f>
        <v>277.3974</v>
      </c>
      <c r="P170" s="78">
        <f t="shared" si="153"/>
        <v>-3.6574</v>
      </c>
      <c r="Q170" s="80">
        <f t="shared" si="171"/>
        <v>49.26</v>
      </c>
      <c r="R170" s="177">
        <f t="shared" si="135"/>
        <v>45.602599999999995</v>
      </c>
      <c r="S170" s="82">
        <f t="shared" si="155"/>
        <v>323</v>
      </c>
      <c r="T170" s="43">
        <f t="shared" si="136"/>
        <v>0.23754789272030652</v>
      </c>
      <c r="U170" s="253">
        <f>301.4327+12.6796+0.262</f>
        <v>314.37430000000001</v>
      </c>
      <c r="V170" s="194">
        <f t="shared" si="143"/>
        <v>-12.679600000000001</v>
      </c>
      <c r="W170" s="191">
        <f t="shared" si="172"/>
        <v>30.305899999999998</v>
      </c>
      <c r="X170" s="191">
        <f t="shared" si="138"/>
        <v>17.626299999999997</v>
      </c>
      <c r="Y170" s="198">
        <f t="shared" si="149"/>
        <v>332.00060000000002</v>
      </c>
      <c r="Z170" s="188">
        <f t="shared" si="108"/>
        <v>0.15679409729457006</v>
      </c>
      <c r="AA170" s="80">
        <f>217.7365-66.7022</f>
        <v>151.0343</v>
      </c>
      <c r="AB170" s="85">
        <f t="shared" si="145"/>
        <v>5.9657</v>
      </c>
      <c r="AC170" s="87">
        <f>SUM(AA170:AB170)</f>
        <v>157</v>
      </c>
      <c r="AD170" s="172">
        <f t="shared" si="137"/>
        <v>0.16296296296296298</v>
      </c>
      <c r="AE170" s="228">
        <f>266.5762+2.8342+0.3638</f>
        <v>269.77420000000001</v>
      </c>
      <c r="AF170" s="220">
        <f t="shared" si="150"/>
        <v>-2.8341999999999996</v>
      </c>
      <c r="AG170" s="221">
        <f t="shared" si="175"/>
        <v>32.06</v>
      </c>
      <c r="AH170" s="221">
        <f>AF170+AG170</f>
        <v>29.225800000000003</v>
      </c>
      <c r="AI170" s="222">
        <f>AE170+AH170</f>
        <v>299</v>
      </c>
      <c r="AJ170" s="173">
        <f t="shared" si="167"/>
        <v>0.26694915254237284</v>
      </c>
      <c r="AK170" s="229">
        <f>261.5498+19.6667+0.2608-155.9765</f>
        <v>125.50080000000003</v>
      </c>
      <c r="AL170" s="224">
        <f t="shared" si="126"/>
        <v>-0.26080000000000003</v>
      </c>
      <c r="AM170" s="224">
        <f t="shared" si="176"/>
        <v>30.76</v>
      </c>
      <c r="AN170" s="224">
        <f t="shared" si="177"/>
        <v>31.499200000000002</v>
      </c>
      <c r="AO170" s="225">
        <f>AK170+AN170</f>
        <v>157.00000000000003</v>
      </c>
      <c r="AP170" s="172">
        <f t="shared" si="173"/>
        <v>0.25599899520080394</v>
      </c>
      <c r="AQ170" s="76">
        <f>266.5762+68.5894</f>
        <v>335.16559999999998</v>
      </c>
      <c r="AR170" s="76">
        <f t="shared" si="168"/>
        <v>14.574400000000002</v>
      </c>
      <c r="AS170" s="76">
        <f t="shared" si="174"/>
        <v>32.26</v>
      </c>
      <c r="AT170" s="76">
        <f>AR170+AS170</f>
        <v>46.834400000000002</v>
      </c>
      <c r="AU170" s="76">
        <f>AQ170+AT170</f>
        <v>382</v>
      </c>
      <c r="AV170" s="151">
        <f t="shared" si="164"/>
        <v>7.9155672823216783E-3</v>
      </c>
    </row>
    <row r="171" spans="1:48" ht="15">
      <c r="A171" s="249">
        <v>41852</v>
      </c>
      <c r="B171" s="72">
        <f>3.15*100</f>
        <v>315</v>
      </c>
      <c r="C171" s="80">
        <f>262.9478+8.5391</f>
        <v>271.48689999999999</v>
      </c>
      <c r="D171" s="80">
        <f t="shared" si="165"/>
        <v>23.2531</v>
      </c>
      <c r="E171" s="80">
        <f t="shared" si="169"/>
        <v>41.26</v>
      </c>
      <c r="F171" s="80">
        <f t="shared" si="133"/>
        <v>64.513099999999994</v>
      </c>
      <c r="G171" s="77">
        <f t="shared" si="178"/>
        <v>336</v>
      </c>
      <c r="H171" s="43">
        <f t="shared" si="107"/>
        <v>0</v>
      </c>
      <c r="I171" s="76">
        <f>266.4217+4.7439</f>
        <v>271.16559999999998</v>
      </c>
      <c r="J171" s="76">
        <f t="shared" si="166"/>
        <v>14.574400000000002</v>
      </c>
      <c r="K171" s="76">
        <f t="shared" si="170"/>
        <v>41.26</v>
      </c>
      <c r="L171" s="76">
        <f t="shared" ref="L171:L196" si="180">J171+K171</f>
        <v>55.834400000000002</v>
      </c>
      <c r="M171" s="155">
        <f t="shared" si="179"/>
        <v>327</v>
      </c>
      <c r="N171" s="151">
        <f t="shared" si="134"/>
        <v>0</v>
      </c>
      <c r="O171" s="80">
        <f>274.8442+3.6574-1.1042</f>
        <v>277.3974</v>
      </c>
      <c r="P171" s="78">
        <f t="shared" si="153"/>
        <v>-3.6574</v>
      </c>
      <c r="Q171" s="80">
        <f t="shared" si="171"/>
        <v>49.26</v>
      </c>
      <c r="R171" s="177">
        <f t="shared" si="135"/>
        <v>45.602599999999995</v>
      </c>
      <c r="S171" s="82">
        <f t="shared" si="155"/>
        <v>323</v>
      </c>
      <c r="T171" s="43">
        <f t="shared" si="136"/>
        <v>0</v>
      </c>
      <c r="U171" s="253">
        <f>307.0148+12.6796-5.3201</f>
        <v>314.37429999999995</v>
      </c>
      <c r="V171" s="194">
        <f t="shared" si="143"/>
        <v>-12.679600000000001</v>
      </c>
      <c r="W171" s="191">
        <f t="shared" ref="W171:W182" si="181">10+8.15+6.38+4.7753+1</f>
        <v>30.305299999999995</v>
      </c>
      <c r="X171" s="191">
        <f t="shared" si="138"/>
        <v>17.625699999999995</v>
      </c>
      <c r="Y171" s="198">
        <f t="shared" si="149"/>
        <v>331.99999999999994</v>
      </c>
      <c r="Z171" s="188">
        <f t="shared" si="108"/>
        <v>-1.8072256497969619E-6</v>
      </c>
      <c r="AA171" s="80">
        <f>211.7786-60.7443</f>
        <v>151.0343</v>
      </c>
      <c r="AB171" s="85">
        <f t="shared" si="145"/>
        <v>5.9657</v>
      </c>
      <c r="AC171" s="87">
        <f>AA171+AB171</f>
        <v>157</v>
      </c>
      <c r="AD171" s="172">
        <f t="shared" si="137"/>
        <v>0</v>
      </c>
      <c r="AE171" s="228">
        <f>266.4217+2.8342+0.5183</f>
        <v>269.77420000000001</v>
      </c>
      <c r="AF171" s="220">
        <f t="shared" si="150"/>
        <v>-2.8341999999999996</v>
      </c>
      <c r="AG171" s="221">
        <f t="shared" si="175"/>
        <v>32.06</v>
      </c>
      <c r="AH171" s="221">
        <f>AF171+AG171</f>
        <v>29.225800000000003</v>
      </c>
      <c r="AI171" s="222">
        <f>AE171+AH171</f>
        <v>299</v>
      </c>
      <c r="AJ171" s="173">
        <f t="shared" si="167"/>
        <v>0</v>
      </c>
      <c r="AK171" s="229">
        <f>254.1829+22.2263+0.2608-151.1692</f>
        <v>125.50080000000003</v>
      </c>
      <c r="AL171" s="224">
        <f t="shared" si="126"/>
        <v>-0.26080000000000003</v>
      </c>
      <c r="AM171" s="224">
        <f t="shared" si="176"/>
        <v>30.76</v>
      </c>
      <c r="AN171" s="224">
        <f t="shared" si="177"/>
        <v>31.499200000000002</v>
      </c>
      <c r="AO171" s="225">
        <f>AK171+AN171</f>
        <v>157.00000000000003</v>
      </c>
      <c r="AP171" s="172">
        <f t="shared" si="173"/>
        <v>0</v>
      </c>
      <c r="AQ171" s="76">
        <f>266.4217+69.7439</f>
        <v>336.16559999999998</v>
      </c>
      <c r="AR171" s="76">
        <f t="shared" si="168"/>
        <v>14.574400000000002</v>
      </c>
      <c r="AS171" s="76">
        <f t="shared" si="174"/>
        <v>32.26</v>
      </c>
      <c r="AT171" s="76">
        <f>AR171+AS171</f>
        <v>46.834400000000002</v>
      </c>
      <c r="AU171" s="76">
        <f>AQ171+AT171</f>
        <v>383</v>
      </c>
      <c r="AV171" s="151">
        <f t="shared" si="164"/>
        <v>2.6178010471205049E-3</v>
      </c>
    </row>
    <row r="172" spans="1:48" ht="15">
      <c r="A172" s="249">
        <v>41867</v>
      </c>
      <c r="B172" s="72">
        <f>3.15*100</f>
        <v>315</v>
      </c>
      <c r="C172" s="80">
        <f>254.7507+16.7362</f>
        <v>271.48689999999999</v>
      </c>
      <c r="D172" s="80">
        <f t="shared" si="165"/>
        <v>23.2531</v>
      </c>
      <c r="E172" s="80">
        <f t="shared" si="169"/>
        <v>41.26</v>
      </c>
      <c r="F172" s="80">
        <f t="shared" si="133"/>
        <v>64.513099999999994</v>
      </c>
      <c r="G172" s="77">
        <f t="shared" si="178"/>
        <v>336</v>
      </c>
      <c r="H172" s="43">
        <f t="shared" si="107"/>
        <v>0</v>
      </c>
      <c r="I172" s="76">
        <f>266.4779+4.6877</f>
        <v>271.16559999999998</v>
      </c>
      <c r="J172" s="76">
        <f t="shared" si="166"/>
        <v>14.574400000000002</v>
      </c>
      <c r="K172" s="76">
        <f t="shared" si="170"/>
        <v>41.26</v>
      </c>
      <c r="L172" s="76">
        <f t="shared" si="180"/>
        <v>55.834400000000002</v>
      </c>
      <c r="M172" s="155">
        <f t="shared" si="179"/>
        <v>327</v>
      </c>
      <c r="N172" s="151">
        <f t="shared" si="134"/>
        <v>0</v>
      </c>
      <c r="O172" s="80">
        <f>275.2493+3.6574-1.5093</f>
        <v>277.3974</v>
      </c>
      <c r="P172" s="78">
        <f t="shared" si="153"/>
        <v>-3.6574</v>
      </c>
      <c r="Q172" s="80">
        <f t="shared" si="171"/>
        <v>49.26</v>
      </c>
      <c r="R172" s="177">
        <f t="shared" si="135"/>
        <v>45.602599999999995</v>
      </c>
      <c r="S172" s="82">
        <f t="shared" si="155"/>
        <v>323</v>
      </c>
      <c r="T172" s="43">
        <f t="shared" si="136"/>
        <v>0</v>
      </c>
      <c r="U172" s="253">
        <f>294.8973+12.6796+6.7974</f>
        <v>314.37429999999995</v>
      </c>
      <c r="V172" s="194">
        <f t="shared" si="143"/>
        <v>-12.679600000000001</v>
      </c>
      <c r="W172" s="191">
        <f t="shared" si="181"/>
        <v>30.305299999999995</v>
      </c>
      <c r="X172" s="191">
        <f t="shared" si="138"/>
        <v>17.625699999999995</v>
      </c>
      <c r="Y172" s="198">
        <f t="shared" si="149"/>
        <v>331.99999999999994</v>
      </c>
      <c r="Z172" s="188">
        <f t="shared" si="108"/>
        <v>0</v>
      </c>
      <c r="AA172" s="80">
        <f>207.2063-56.172</f>
        <v>151.0343</v>
      </c>
      <c r="AB172" s="85">
        <f t="shared" si="145"/>
        <v>5.9657</v>
      </c>
      <c r="AC172" s="87">
        <f>AA172+AB172</f>
        <v>157</v>
      </c>
      <c r="AD172" s="172">
        <f t="shared" si="137"/>
        <v>0</v>
      </c>
      <c r="AE172" s="228">
        <f>266.4779+2.8342+0.4621</f>
        <v>269.77420000000001</v>
      </c>
      <c r="AF172" s="220">
        <f t="shared" si="150"/>
        <v>-2.8341999999999996</v>
      </c>
      <c r="AG172" s="221">
        <f t="shared" si="175"/>
        <v>32.06</v>
      </c>
      <c r="AH172" s="221">
        <f>AF172+AG172</f>
        <v>29.225800000000003</v>
      </c>
      <c r="AI172" s="222">
        <f t="shared" ref="AI172:AI191" si="182">AE172+AH172</f>
        <v>299</v>
      </c>
      <c r="AJ172" s="173">
        <f t="shared" si="167"/>
        <v>0</v>
      </c>
      <c r="AK172" s="229">
        <f>246.259+22.2263+0.2608-143.2453</f>
        <v>125.50080000000003</v>
      </c>
      <c r="AL172" s="224">
        <f t="shared" si="126"/>
        <v>-0.26080000000000003</v>
      </c>
      <c r="AM172" s="224">
        <f t="shared" si="176"/>
        <v>30.76</v>
      </c>
      <c r="AN172" s="224">
        <f t="shared" si="177"/>
        <v>31.499200000000002</v>
      </c>
      <c r="AO172" s="225">
        <f t="shared" ref="AO172:AO178" si="183">AK172+AN172</f>
        <v>157.00000000000003</v>
      </c>
      <c r="AP172" s="172">
        <f t="shared" si="173"/>
        <v>0</v>
      </c>
      <c r="AQ172" s="76"/>
      <c r="AR172" s="76"/>
      <c r="AS172" s="76"/>
      <c r="AT172" s="76"/>
      <c r="AU172" s="76"/>
      <c r="AV172" s="151"/>
    </row>
    <row r="173" spans="1:48" ht="15">
      <c r="A173" s="247">
        <v>41883</v>
      </c>
      <c r="B173" s="72">
        <f t="shared" ref="B173:B178" si="184">3.2*100</f>
        <v>320</v>
      </c>
      <c r="C173" s="80">
        <f>252.4838+19.0031</f>
        <v>271.48689999999999</v>
      </c>
      <c r="D173" s="80">
        <f t="shared" si="165"/>
        <v>23.2531</v>
      </c>
      <c r="E173" s="80">
        <f t="shared" si="169"/>
        <v>41.26</v>
      </c>
      <c r="F173" s="80">
        <f t="shared" si="133"/>
        <v>64.513099999999994</v>
      </c>
      <c r="G173" s="77">
        <f t="shared" si="178"/>
        <v>336</v>
      </c>
      <c r="H173" s="43">
        <f t="shared" si="107"/>
        <v>0</v>
      </c>
      <c r="I173" s="76">
        <f>262.4777+8.6879</f>
        <v>271.16560000000004</v>
      </c>
      <c r="J173" s="76">
        <f t="shared" si="166"/>
        <v>14.574400000000002</v>
      </c>
      <c r="K173" s="76">
        <f t="shared" si="170"/>
        <v>41.26</v>
      </c>
      <c r="L173" s="76">
        <f t="shared" si="180"/>
        <v>55.834400000000002</v>
      </c>
      <c r="M173" s="155">
        <f t="shared" si="179"/>
        <v>327.00000000000006</v>
      </c>
      <c r="N173" s="151">
        <f t="shared" si="134"/>
        <v>0</v>
      </c>
      <c r="O173" s="80">
        <f>270.108+3.6574+3.632</f>
        <v>277.3974</v>
      </c>
      <c r="P173" s="78">
        <f t="shared" si="153"/>
        <v>-3.6574</v>
      </c>
      <c r="Q173" s="80">
        <f t="shared" si="171"/>
        <v>49.26</v>
      </c>
      <c r="R173" s="177">
        <f t="shared" si="135"/>
        <v>45.602599999999995</v>
      </c>
      <c r="S173" s="82">
        <f t="shared" si="155"/>
        <v>323</v>
      </c>
      <c r="T173" s="43">
        <f t="shared" si="136"/>
        <v>0</v>
      </c>
      <c r="U173" s="253">
        <f>286.08+12.6796+15.6147</f>
        <v>314.37429999999995</v>
      </c>
      <c r="V173" s="194">
        <f t="shared" si="143"/>
        <v>-12.679600000000001</v>
      </c>
      <c r="W173" s="191">
        <f t="shared" si="181"/>
        <v>30.305299999999995</v>
      </c>
      <c r="X173" s="191">
        <f t="shared" si="138"/>
        <v>17.625699999999995</v>
      </c>
      <c r="Y173" s="198">
        <f t="shared" si="149"/>
        <v>331.99999999999994</v>
      </c>
      <c r="Z173" s="188">
        <f t="shared" si="108"/>
        <v>0</v>
      </c>
      <c r="AA173" s="80">
        <f>206.6806-55.6463</f>
        <v>151.0343</v>
      </c>
      <c r="AB173" s="85">
        <f t="shared" si="145"/>
        <v>5.9657</v>
      </c>
      <c r="AC173" s="87">
        <f>AA173+AB173</f>
        <v>157</v>
      </c>
      <c r="AD173" s="172">
        <f t="shared" si="137"/>
        <v>0</v>
      </c>
      <c r="AE173" s="228">
        <f>262.4777+2.8342+4.4623</f>
        <v>269.77420000000006</v>
      </c>
      <c r="AF173" s="220">
        <f t="shared" si="150"/>
        <v>-2.8341999999999996</v>
      </c>
      <c r="AG173" s="221">
        <f t="shared" ref="AG173:AG182" si="185">1+9+12.82+8.94+0.3</f>
        <v>32.059999999999995</v>
      </c>
      <c r="AH173" s="262">
        <f t="shared" ref="AH173:AH178" si="186">AF173+AG173</f>
        <v>29.225799999999996</v>
      </c>
      <c r="AI173" s="222">
        <f t="shared" si="182"/>
        <v>299.00000000000006</v>
      </c>
      <c r="AJ173" s="173">
        <f t="shared" si="167"/>
        <v>0</v>
      </c>
      <c r="AK173" s="229">
        <f>244.0677+22.2263+0.2608-141.054</f>
        <v>125.5008</v>
      </c>
      <c r="AL173" s="224">
        <f t="shared" si="126"/>
        <v>-0.26080000000000003</v>
      </c>
      <c r="AM173" s="224">
        <f t="shared" ref="AM173:AM182" si="187">1+9+12.52+8.94+0.3</f>
        <v>31.76</v>
      </c>
      <c r="AN173" s="224">
        <f t="shared" ref="AN173:AN178" si="188">AL173+AM173</f>
        <v>31.499200000000002</v>
      </c>
      <c r="AO173" s="225">
        <f t="shared" si="183"/>
        <v>157</v>
      </c>
      <c r="AP173" s="172">
        <f t="shared" si="173"/>
        <v>0</v>
      </c>
      <c r="AQ173" s="76"/>
      <c r="AR173" s="76"/>
      <c r="AS173" s="76"/>
      <c r="AT173" s="76"/>
      <c r="AU173" s="76"/>
      <c r="AV173" s="151"/>
    </row>
    <row r="174" spans="1:48" ht="15">
      <c r="A174" s="249">
        <v>41898</v>
      </c>
      <c r="B174" s="72">
        <f t="shared" si="184"/>
        <v>320</v>
      </c>
      <c r="C174" s="73">
        <f>255.9327+15.5542</f>
        <v>271.48689999999999</v>
      </c>
      <c r="D174" s="80">
        <f t="shared" si="165"/>
        <v>23.2531</v>
      </c>
      <c r="E174" s="80">
        <f t="shared" si="169"/>
        <v>41.26</v>
      </c>
      <c r="F174" s="80">
        <f t="shared" si="133"/>
        <v>64.513099999999994</v>
      </c>
      <c r="G174" s="77">
        <f t="shared" si="178"/>
        <v>336</v>
      </c>
      <c r="H174" s="43">
        <f t="shared" si="107"/>
        <v>0</v>
      </c>
      <c r="I174" s="156">
        <f>260.0689+11.0967</f>
        <v>271.16559999999998</v>
      </c>
      <c r="J174" s="76">
        <f t="shared" si="166"/>
        <v>14.574400000000002</v>
      </c>
      <c r="K174" s="76">
        <f t="shared" si="170"/>
        <v>41.26</v>
      </c>
      <c r="L174" s="76">
        <f t="shared" si="180"/>
        <v>55.834400000000002</v>
      </c>
      <c r="M174" s="155">
        <f t="shared" si="179"/>
        <v>327</v>
      </c>
      <c r="N174" s="151">
        <f t="shared" si="134"/>
        <v>0</v>
      </c>
      <c r="O174" s="73">
        <f>266.355+3.6574+7.385</f>
        <v>277.3974</v>
      </c>
      <c r="P174" s="78">
        <f t="shared" si="153"/>
        <v>-3.6574</v>
      </c>
      <c r="Q174" s="80">
        <f t="shared" si="171"/>
        <v>49.26</v>
      </c>
      <c r="R174" s="177">
        <f t="shared" si="135"/>
        <v>45.602599999999995</v>
      </c>
      <c r="S174" s="82">
        <f t="shared" si="155"/>
        <v>323</v>
      </c>
      <c r="T174" s="43">
        <f t="shared" si="136"/>
        <v>0</v>
      </c>
      <c r="U174" s="231">
        <f>286.8+12.6796+14.8947</f>
        <v>314.37430000000001</v>
      </c>
      <c r="V174" s="194">
        <f t="shared" si="143"/>
        <v>-12.679600000000001</v>
      </c>
      <c r="W174" s="191">
        <f t="shared" si="181"/>
        <v>30.305299999999995</v>
      </c>
      <c r="X174" s="191">
        <f t="shared" si="138"/>
        <v>17.625699999999995</v>
      </c>
      <c r="Y174" s="198">
        <f t="shared" si="149"/>
        <v>332</v>
      </c>
      <c r="Z174" s="188">
        <f t="shared" si="108"/>
        <v>0</v>
      </c>
      <c r="AA174" s="73">
        <f>206.1901-55.1558</f>
        <v>151.0343</v>
      </c>
      <c r="AB174" s="85">
        <f t="shared" si="145"/>
        <v>5.9657</v>
      </c>
      <c r="AC174" s="87">
        <f>AA174+AB174</f>
        <v>157</v>
      </c>
      <c r="AD174" s="172">
        <f t="shared" si="137"/>
        <v>0</v>
      </c>
      <c r="AE174" s="219">
        <f>260.0689+2.8342+6.8711</f>
        <v>269.77420000000001</v>
      </c>
      <c r="AF174" s="220">
        <f t="shared" si="150"/>
        <v>-2.8341999999999996</v>
      </c>
      <c r="AG174" s="221">
        <f t="shared" si="185"/>
        <v>32.059999999999995</v>
      </c>
      <c r="AH174" s="262">
        <f t="shared" si="186"/>
        <v>29.225799999999996</v>
      </c>
      <c r="AI174" s="222">
        <f t="shared" si="182"/>
        <v>299</v>
      </c>
      <c r="AJ174" s="173">
        <f t="shared" si="167"/>
        <v>0</v>
      </c>
      <c r="AK174" s="223">
        <f>247.4016+22.2263+0.2608-144.3879</f>
        <v>125.50080000000003</v>
      </c>
      <c r="AL174" s="224">
        <f t="shared" si="126"/>
        <v>-0.26080000000000003</v>
      </c>
      <c r="AM174" s="224">
        <f t="shared" si="187"/>
        <v>31.76</v>
      </c>
      <c r="AN174" s="224">
        <f t="shared" si="188"/>
        <v>31.499200000000002</v>
      </c>
      <c r="AO174" s="225">
        <f t="shared" si="183"/>
        <v>157.00000000000003</v>
      </c>
      <c r="AP174" s="172">
        <f t="shared" si="173"/>
        <v>0</v>
      </c>
      <c r="AQ174" s="76"/>
      <c r="AR174" s="76"/>
      <c r="AS174" s="76"/>
      <c r="AT174" s="76"/>
      <c r="AU174" s="76"/>
      <c r="AV174" s="138"/>
    </row>
    <row r="175" spans="1:48" ht="15">
      <c r="A175" s="249">
        <v>41913</v>
      </c>
      <c r="B175" s="72">
        <f t="shared" si="184"/>
        <v>320</v>
      </c>
      <c r="C175" s="73">
        <f>251.2414+20.2455</f>
        <v>271.48689999999999</v>
      </c>
      <c r="D175" s="80">
        <f t="shared" si="165"/>
        <v>23.2531</v>
      </c>
      <c r="E175" s="80">
        <f t="shared" si="169"/>
        <v>41.26</v>
      </c>
      <c r="F175" s="80">
        <f t="shared" si="133"/>
        <v>64.513099999999994</v>
      </c>
      <c r="G175" s="77">
        <f>SUM(C175:E175)</f>
        <v>336</v>
      </c>
      <c r="H175" s="43">
        <f t="shared" si="107"/>
        <v>0</v>
      </c>
      <c r="I175" s="156">
        <f>251.0668+20.0988</f>
        <v>271.16559999999998</v>
      </c>
      <c r="J175" s="76">
        <f t="shared" si="166"/>
        <v>14.574400000000002</v>
      </c>
      <c r="K175" s="76">
        <f t="shared" si="170"/>
        <v>41.26</v>
      </c>
      <c r="L175" s="76">
        <f t="shared" si="180"/>
        <v>55.834400000000002</v>
      </c>
      <c r="M175" s="155">
        <f>SUM(I175:K175)</f>
        <v>327</v>
      </c>
      <c r="N175" s="151">
        <f t="shared" si="134"/>
        <v>0</v>
      </c>
      <c r="O175" s="73">
        <f>258.4263+3.6574+15.3137</f>
        <v>277.3974</v>
      </c>
      <c r="P175" s="78">
        <f t="shared" si="153"/>
        <v>-3.6574</v>
      </c>
      <c r="Q175" s="80">
        <f t="shared" si="171"/>
        <v>49.26</v>
      </c>
      <c r="R175" s="177">
        <f t="shared" si="135"/>
        <v>45.602599999999995</v>
      </c>
      <c r="S175" s="82">
        <f t="shared" si="155"/>
        <v>323</v>
      </c>
      <c r="T175" s="43">
        <f t="shared" si="136"/>
        <v>0</v>
      </c>
      <c r="U175" s="231">
        <f>279.8691+12.6796+21.8256</f>
        <v>314.37430000000001</v>
      </c>
      <c r="V175" s="194">
        <f t="shared" si="143"/>
        <v>-12.679600000000001</v>
      </c>
      <c r="W175" s="191">
        <f t="shared" si="181"/>
        <v>30.305299999999995</v>
      </c>
      <c r="X175" s="191">
        <f t="shared" si="138"/>
        <v>17.625699999999995</v>
      </c>
      <c r="Y175" s="198">
        <f t="shared" si="149"/>
        <v>332</v>
      </c>
      <c r="Z175" s="188">
        <f t="shared" si="108"/>
        <v>0</v>
      </c>
      <c r="AA175" s="73">
        <f>200.5802-49.5459</f>
        <v>151.03429999999997</v>
      </c>
      <c r="AB175" s="85">
        <f t="shared" si="145"/>
        <v>5.9657</v>
      </c>
      <c r="AC175" s="87">
        <f>AA175+AB175</f>
        <v>156.99999999999997</v>
      </c>
      <c r="AD175" s="172">
        <f t="shared" si="137"/>
        <v>0</v>
      </c>
      <c r="AE175" s="219">
        <f>251.0668+2.8342+15.8732</f>
        <v>269.77420000000001</v>
      </c>
      <c r="AF175" s="220">
        <f t="shared" si="150"/>
        <v>-2.8341999999999996</v>
      </c>
      <c r="AG175" s="221">
        <f t="shared" si="185"/>
        <v>32.059999999999995</v>
      </c>
      <c r="AH175" s="262">
        <f t="shared" si="186"/>
        <v>29.225799999999996</v>
      </c>
      <c r="AI175" s="222">
        <f t="shared" si="182"/>
        <v>299</v>
      </c>
      <c r="AJ175" s="173">
        <f t="shared" si="167"/>
        <v>0</v>
      </c>
      <c r="AK175" s="223">
        <f>242.8667+25.681+0.2608-143.3077</f>
        <v>125.50080000000003</v>
      </c>
      <c r="AL175" s="224">
        <f t="shared" si="126"/>
        <v>-0.26080000000000003</v>
      </c>
      <c r="AM175" s="224">
        <f t="shared" si="187"/>
        <v>31.76</v>
      </c>
      <c r="AN175" s="224">
        <f t="shared" si="188"/>
        <v>31.499200000000002</v>
      </c>
      <c r="AO175" s="225">
        <f t="shared" si="183"/>
        <v>157.00000000000003</v>
      </c>
      <c r="AP175" s="172">
        <f t="shared" si="173"/>
        <v>0</v>
      </c>
      <c r="AQ175" s="76"/>
      <c r="AR175" s="76"/>
      <c r="AS175" s="76"/>
      <c r="AT175" s="76"/>
      <c r="AU175" s="76"/>
      <c r="AV175" s="138"/>
    </row>
    <row r="176" spans="1:48" ht="15">
      <c r="A176" s="249">
        <v>41928</v>
      </c>
      <c r="B176" s="72">
        <f t="shared" si="184"/>
        <v>320</v>
      </c>
      <c r="C176" s="80">
        <f>243.9551+27.5318</f>
        <v>271.48689999999999</v>
      </c>
      <c r="D176" s="80">
        <f t="shared" si="165"/>
        <v>23.2531</v>
      </c>
      <c r="E176" s="80">
        <f t="shared" si="169"/>
        <v>41.26</v>
      </c>
      <c r="F176" s="80">
        <f t="shared" si="133"/>
        <v>64.513099999999994</v>
      </c>
      <c r="G176" s="77">
        <f t="shared" ref="G176:G182" si="189">SUM(C176:E176)</f>
        <v>336</v>
      </c>
      <c r="H176" s="43">
        <f t="shared" si="107"/>
        <v>0</v>
      </c>
      <c r="I176" s="76">
        <f>241.3459+29.8197</f>
        <v>271.16559999999998</v>
      </c>
      <c r="J176" s="76">
        <f t="shared" si="166"/>
        <v>14.574400000000002</v>
      </c>
      <c r="K176" s="76">
        <f t="shared" si="170"/>
        <v>41.26</v>
      </c>
      <c r="L176" s="76">
        <f t="shared" si="180"/>
        <v>55.834400000000002</v>
      </c>
      <c r="M176" s="155">
        <f t="shared" ref="M176:M184" si="190">SUM(I176:K176)</f>
        <v>327</v>
      </c>
      <c r="N176" s="151">
        <f t="shared" si="134"/>
        <v>0</v>
      </c>
      <c r="O176" s="80">
        <f>250.1435+3.6574+23.5965</f>
        <v>277.3974</v>
      </c>
      <c r="P176" s="78">
        <f t="shared" si="153"/>
        <v>-3.6574</v>
      </c>
      <c r="Q176" s="80">
        <f t="shared" si="171"/>
        <v>49.26</v>
      </c>
      <c r="R176" s="177">
        <f t="shared" si="135"/>
        <v>45.602599999999995</v>
      </c>
      <c r="S176" s="82">
        <f t="shared" si="155"/>
        <v>323</v>
      </c>
      <c r="T176" s="43">
        <f t="shared" si="136"/>
        <v>0</v>
      </c>
      <c r="U176" s="253">
        <f>257.488+12.6796+44.2067</f>
        <v>314.37430000000001</v>
      </c>
      <c r="V176" s="194">
        <f t="shared" si="143"/>
        <v>-12.679600000000001</v>
      </c>
      <c r="W176" s="191">
        <f t="shared" si="181"/>
        <v>30.305299999999995</v>
      </c>
      <c r="X176" s="191">
        <f t="shared" si="138"/>
        <v>17.625699999999995</v>
      </c>
      <c r="Y176" s="198">
        <f t="shared" si="149"/>
        <v>332</v>
      </c>
      <c r="Z176" s="188">
        <f t="shared" si="108"/>
        <v>0</v>
      </c>
      <c r="AA176" s="80">
        <f>191.9646-40.9303</f>
        <v>151.03429999999997</v>
      </c>
      <c r="AB176" s="85">
        <f t="shared" si="145"/>
        <v>5.9657</v>
      </c>
      <c r="AC176" s="87">
        <f t="shared" ref="AC176:AC196" si="191">AA176+AB176</f>
        <v>156.99999999999997</v>
      </c>
      <c r="AD176" s="172">
        <f t="shared" si="137"/>
        <v>0</v>
      </c>
      <c r="AE176" s="228">
        <f>241.3459+2.8342+25.5941</f>
        <v>269.77420000000001</v>
      </c>
      <c r="AF176" s="220">
        <f t="shared" si="150"/>
        <v>-2.8341999999999996</v>
      </c>
      <c r="AG176" s="221">
        <f t="shared" si="185"/>
        <v>32.059999999999995</v>
      </c>
      <c r="AH176" s="262">
        <f t="shared" si="186"/>
        <v>29.225799999999996</v>
      </c>
      <c r="AI176" s="222">
        <f t="shared" si="182"/>
        <v>299</v>
      </c>
      <c r="AJ176" s="173">
        <f t="shared" si="167"/>
        <v>0</v>
      </c>
      <c r="AK176" s="229">
        <f>235.8232+25.681+0.2608-136.2642</f>
        <v>125.50080000000005</v>
      </c>
      <c r="AL176" s="224">
        <f t="shared" si="126"/>
        <v>-0.26080000000000003</v>
      </c>
      <c r="AM176" s="224">
        <f t="shared" si="187"/>
        <v>31.76</v>
      </c>
      <c r="AN176" s="224">
        <f t="shared" si="188"/>
        <v>31.499200000000002</v>
      </c>
      <c r="AO176" s="225">
        <f t="shared" si="183"/>
        <v>157.00000000000006</v>
      </c>
      <c r="AP176" s="172">
        <f t="shared" si="173"/>
        <v>0</v>
      </c>
      <c r="AQ176" s="76"/>
      <c r="AR176" s="76"/>
      <c r="AS176" s="76"/>
      <c r="AT176" s="76"/>
      <c r="AU176" s="76"/>
      <c r="AV176" s="138"/>
    </row>
    <row r="177" spans="1:48" ht="15">
      <c r="A177" s="249">
        <v>41933</v>
      </c>
      <c r="B177" s="72">
        <f t="shared" si="184"/>
        <v>320</v>
      </c>
      <c r="C177" s="80">
        <f>243.9551+20.5318</f>
        <v>264.48689999999999</v>
      </c>
      <c r="D177" s="80">
        <f t="shared" si="165"/>
        <v>23.2531</v>
      </c>
      <c r="E177" s="80">
        <f t="shared" si="169"/>
        <v>41.26</v>
      </c>
      <c r="F177" s="80">
        <f t="shared" si="133"/>
        <v>64.513099999999994</v>
      </c>
      <c r="G177" s="77">
        <f t="shared" si="189"/>
        <v>329</v>
      </c>
      <c r="H177" s="43">
        <f t="shared" si="107"/>
        <v>-2.083333333333337E-2</v>
      </c>
      <c r="I177" s="76">
        <f>241.3459+22.8197</f>
        <v>264.16559999999998</v>
      </c>
      <c r="J177" s="76">
        <f t="shared" si="166"/>
        <v>14.574400000000002</v>
      </c>
      <c r="K177" s="76">
        <f t="shared" si="170"/>
        <v>41.26</v>
      </c>
      <c r="L177" s="76">
        <f t="shared" si="180"/>
        <v>55.834400000000002</v>
      </c>
      <c r="M177" s="155">
        <f t="shared" si="190"/>
        <v>320</v>
      </c>
      <c r="N177" s="151">
        <f t="shared" si="134"/>
        <v>-2.1406727828746197E-2</v>
      </c>
      <c r="O177" s="80">
        <f>250.1435+3.6574+16.5965</f>
        <v>270.3974</v>
      </c>
      <c r="P177" s="78">
        <f t="shared" si="153"/>
        <v>-3.6574</v>
      </c>
      <c r="Q177" s="80">
        <f t="shared" si="171"/>
        <v>49.26</v>
      </c>
      <c r="R177" s="177">
        <f t="shared" si="135"/>
        <v>45.602599999999995</v>
      </c>
      <c r="S177" s="82">
        <f t="shared" si="155"/>
        <v>316</v>
      </c>
      <c r="T177" s="43">
        <f t="shared" si="136"/>
        <v>-2.1671826625387025E-2</v>
      </c>
      <c r="U177" s="253">
        <f>257.488+12.6796+37.2067</f>
        <v>307.37430000000001</v>
      </c>
      <c r="V177" s="194">
        <f t="shared" si="143"/>
        <v>-12.679600000000001</v>
      </c>
      <c r="W177" s="191">
        <f t="shared" si="181"/>
        <v>30.305299999999995</v>
      </c>
      <c r="X177" s="191">
        <f t="shared" si="138"/>
        <v>17.625699999999995</v>
      </c>
      <c r="Y177" s="198">
        <f t="shared" si="149"/>
        <v>325</v>
      </c>
      <c r="Z177" s="188">
        <f t="shared" si="108"/>
        <v>-2.108433734939763E-2</v>
      </c>
      <c r="AA177" s="80">
        <f>191.9646-40.9303</f>
        <v>151.03429999999997</v>
      </c>
      <c r="AB177" s="85">
        <f t="shared" si="145"/>
        <v>5.9657</v>
      </c>
      <c r="AC177" s="87">
        <f t="shared" si="191"/>
        <v>156.99999999999997</v>
      </c>
      <c r="AD177" s="172">
        <f t="shared" si="137"/>
        <v>0</v>
      </c>
      <c r="AE177" s="228">
        <f>241.3459+2.8342+19.5941</f>
        <v>263.77420000000001</v>
      </c>
      <c r="AF177" s="220">
        <f t="shared" si="150"/>
        <v>-2.8341999999999996</v>
      </c>
      <c r="AG177" s="221">
        <f t="shared" si="185"/>
        <v>32.059999999999995</v>
      </c>
      <c r="AH177" s="262">
        <f t="shared" si="186"/>
        <v>29.225799999999996</v>
      </c>
      <c r="AI177" s="222">
        <f t="shared" si="182"/>
        <v>293</v>
      </c>
      <c r="AJ177" s="173">
        <f t="shared" si="167"/>
        <v>-2.006688963210701E-2</v>
      </c>
      <c r="AK177" s="229">
        <f>235.8232+25.681+0.2608-136.2642</f>
        <v>125.50080000000005</v>
      </c>
      <c r="AL177" s="224">
        <f t="shared" si="126"/>
        <v>-0.26080000000000003</v>
      </c>
      <c r="AM177" s="224">
        <f t="shared" si="187"/>
        <v>31.76</v>
      </c>
      <c r="AN177" s="224">
        <f t="shared" si="188"/>
        <v>31.499200000000002</v>
      </c>
      <c r="AO177" s="225">
        <f t="shared" si="183"/>
        <v>157.00000000000006</v>
      </c>
      <c r="AP177" s="172">
        <f t="shared" si="173"/>
        <v>0</v>
      </c>
      <c r="AQ177" s="76"/>
      <c r="AR177" s="76"/>
      <c r="AS177" s="76"/>
      <c r="AT177" s="76"/>
      <c r="AU177" s="76"/>
      <c r="AV177" s="138"/>
    </row>
    <row r="178" spans="1:48" ht="15">
      <c r="A178" s="249">
        <v>41944</v>
      </c>
      <c r="B178" s="72">
        <f t="shared" si="184"/>
        <v>320</v>
      </c>
      <c r="C178" s="80">
        <f>216.5269+47.96</f>
        <v>264.48689999999999</v>
      </c>
      <c r="D178" s="80">
        <f t="shared" si="165"/>
        <v>23.2531</v>
      </c>
      <c r="E178" s="80">
        <f t="shared" si="169"/>
        <v>41.26</v>
      </c>
      <c r="F178" s="80">
        <f t="shared" si="133"/>
        <v>64.513099999999994</v>
      </c>
      <c r="G178" s="77">
        <f t="shared" si="189"/>
        <v>329</v>
      </c>
      <c r="H178" s="43">
        <f t="shared" ref="H178:H188" si="192">G178/G177-1</f>
        <v>0</v>
      </c>
      <c r="I178" s="76">
        <f>229.3737+34.7919</f>
        <v>264.16560000000004</v>
      </c>
      <c r="J178" s="76">
        <f t="shared" si="166"/>
        <v>14.574400000000002</v>
      </c>
      <c r="K178" s="76">
        <f t="shared" si="170"/>
        <v>41.26</v>
      </c>
      <c r="L178" s="76">
        <f t="shared" si="180"/>
        <v>55.834400000000002</v>
      </c>
      <c r="M178" s="155">
        <f t="shared" si="190"/>
        <v>320.00000000000006</v>
      </c>
      <c r="N178" s="151">
        <f t="shared" si="134"/>
        <v>0</v>
      </c>
      <c r="O178" s="80">
        <f>239.1101+3.6574+27.6299</f>
        <v>270.3974</v>
      </c>
      <c r="P178" s="78">
        <f t="shared" si="153"/>
        <v>-3.6574</v>
      </c>
      <c r="Q178" s="80">
        <f t="shared" si="171"/>
        <v>49.26</v>
      </c>
      <c r="R178" s="177">
        <f t="shared" si="135"/>
        <v>45.602599999999995</v>
      </c>
      <c r="S178" s="82">
        <f t="shared" si="155"/>
        <v>316</v>
      </c>
      <c r="T178" s="43">
        <f t="shared" si="136"/>
        <v>0</v>
      </c>
      <c r="U178" s="253">
        <f>228.576+12.6796+66.1187</f>
        <v>307.37430000000001</v>
      </c>
      <c r="V178" s="194">
        <f t="shared" si="143"/>
        <v>-12.679600000000001</v>
      </c>
      <c r="W178" s="191">
        <f t="shared" si="181"/>
        <v>30.305299999999995</v>
      </c>
      <c r="X178" s="191">
        <f t="shared" si="138"/>
        <v>17.625699999999995</v>
      </c>
      <c r="Y178" s="198">
        <f t="shared" si="149"/>
        <v>325</v>
      </c>
      <c r="Z178" s="188">
        <f t="shared" ref="Z178:Z196" si="193">Y178/Y177-1</f>
        <v>0</v>
      </c>
      <c r="AA178" s="80">
        <f>172.4218-21.3875</f>
        <v>151.0343</v>
      </c>
      <c r="AB178" s="85">
        <f t="shared" si="145"/>
        <v>5.9657</v>
      </c>
      <c r="AC178" s="87">
        <f t="shared" si="191"/>
        <v>157</v>
      </c>
      <c r="AD178" s="172">
        <f t="shared" si="137"/>
        <v>0</v>
      </c>
      <c r="AE178" s="228">
        <f>229.3737+2.8342+31.5663</f>
        <v>263.77420000000001</v>
      </c>
      <c r="AF178" s="220">
        <f t="shared" si="150"/>
        <v>-2.8341999999999996</v>
      </c>
      <c r="AG178" s="221">
        <f t="shared" si="185"/>
        <v>32.059999999999995</v>
      </c>
      <c r="AH178" s="262">
        <f t="shared" si="186"/>
        <v>29.225799999999996</v>
      </c>
      <c r="AI178" s="222">
        <f t="shared" si="182"/>
        <v>293</v>
      </c>
      <c r="AJ178" s="173">
        <f t="shared" si="167"/>
        <v>0</v>
      </c>
      <c r="AK178" s="229">
        <f>209.3093+25.681+0.2608-109.7503</f>
        <v>125.50080000000001</v>
      </c>
      <c r="AL178" s="224">
        <f t="shared" si="126"/>
        <v>-0.26080000000000003</v>
      </c>
      <c r="AM178" s="224">
        <f t="shared" si="187"/>
        <v>31.76</v>
      </c>
      <c r="AN178" s="224">
        <f t="shared" si="188"/>
        <v>31.499200000000002</v>
      </c>
      <c r="AO178" s="225">
        <f t="shared" si="183"/>
        <v>157</v>
      </c>
      <c r="AP178" s="172">
        <f t="shared" si="173"/>
        <v>0</v>
      </c>
      <c r="AQ178" s="76"/>
      <c r="AR178" s="76"/>
      <c r="AS178" s="76"/>
      <c r="AT178" s="76"/>
      <c r="AU178" s="76"/>
      <c r="AV178" s="138"/>
    </row>
    <row r="179" spans="1:48" ht="15">
      <c r="A179" s="249">
        <v>41959</v>
      </c>
      <c r="B179" s="72">
        <f>3.2*100</f>
        <v>320</v>
      </c>
      <c r="C179" s="80">
        <f>215.0041+49.4828</f>
        <v>264.48689999999999</v>
      </c>
      <c r="D179" s="80">
        <f t="shared" si="165"/>
        <v>23.2531</v>
      </c>
      <c r="E179" s="80">
        <f t="shared" si="169"/>
        <v>41.26</v>
      </c>
      <c r="F179" s="80">
        <f>D179+E179</f>
        <v>64.513099999999994</v>
      </c>
      <c r="G179" s="77">
        <f t="shared" si="189"/>
        <v>329</v>
      </c>
      <c r="H179" s="43">
        <f t="shared" si="192"/>
        <v>0</v>
      </c>
      <c r="I179" s="76">
        <f>229.8086+34.357</f>
        <v>264.16560000000004</v>
      </c>
      <c r="J179" s="76">
        <f t="shared" si="166"/>
        <v>14.574400000000002</v>
      </c>
      <c r="K179" s="76">
        <f t="shared" si="170"/>
        <v>41.26</v>
      </c>
      <c r="L179" s="76">
        <f t="shared" si="180"/>
        <v>55.834400000000002</v>
      </c>
      <c r="M179" s="155">
        <f t="shared" si="190"/>
        <v>320.00000000000006</v>
      </c>
      <c r="N179" s="151">
        <f t="shared" si="134"/>
        <v>0</v>
      </c>
      <c r="O179" s="80">
        <f>239.5185+3.6574+27.2215</f>
        <v>270.3974</v>
      </c>
      <c r="P179" s="78">
        <f t="shared" si="153"/>
        <v>-3.6574</v>
      </c>
      <c r="Q179" s="80">
        <f t="shared" si="171"/>
        <v>49.26</v>
      </c>
      <c r="R179" s="177">
        <f>P179+Q179</f>
        <v>45.602599999999995</v>
      </c>
      <c r="S179" s="82">
        <f t="shared" si="155"/>
        <v>316</v>
      </c>
      <c r="T179" s="43">
        <f t="shared" si="136"/>
        <v>0</v>
      </c>
      <c r="U179" s="253">
        <f>223.6533+12.6796+71.0414</f>
        <v>307.37430000000001</v>
      </c>
      <c r="V179" s="194">
        <f t="shared" si="143"/>
        <v>-12.679600000000001</v>
      </c>
      <c r="W179" s="191">
        <f t="shared" si="181"/>
        <v>30.305299999999995</v>
      </c>
      <c r="X179" s="191">
        <f>V179+W179</f>
        <v>17.625699999999995</v>
      </c>
      <c r="Y179" s="198">
        <f t="shared" si="149"/>
        <v>325</v>
      </c>
      <c r="Z179" s="188">
        <f t="shared" si="193"/>
        <v>0</v>
      </c>
      <c r="AA179" s="80">
        <f>167.3609-16.3266</f>
        <v>151.03429999999997</v>
      </c>
      <c r="AB179" s="85">
        <f t="shared" si="145"/>
        <v>5.9657</v>
      </c>
      <c r="AC179" s="87">
        <f t="shared" si="191"/>
        <v>156.99999999999997</v>
      </c>
      <c r="AD179" s="172">
        <f t="shared" si="137"/>
        <v>0</v>
      </c>
      <c r="AE179" s="228">
        <f>229.8086+2.8342+31.1314</f>
        <v>263.77420000000001</v>
      </c>
      <c r="AF179" s="220">
        <f t="shared" si="150"/>
        <v>-2.8341999999999996</v>
      </c>
      <c r="AG179" s="221">
        <f t="shared" si="185"/>
        <v>32.059999999999995</v>
      </c>
      <c r="AH179" s="262">
        <f>AF179+AG179</f>
        <v>29.225799999999996</v>
      </c>
      <c r="AI179" s="222">
        <f t="shared" si="182"/>
        <v>293</v>
      </c>
      <c r="AJ179" s="173">
        <f t="shared" si="167"/>
        <v>0</v>
      </c>
      <c r="AK179" s="229">
        <f>207.8373+25.681+0.2608-108.2783</f>
        <v>125.5008</v>
      </c>
      <c r="AL179" s="224">
        <f t="shared" si="126"/>
        <v>-0.26080000000000003</v>
      </c>
      <c r="AM179" s="224">
        <f t="shared" si="187"/>
        <v>31.76</v>
      </c>
      <c r="AN179" s="224">
        <f>AL179+AM179</f>
        <v>31.499200000000002</v>
      </c>
      <c r="AO179" s="225">
        <f>AK179+AN179</f>
        <v>157</v>
      </c>
      <c r="AP179" s="172">
        <f t="shared" si="173"/>
        <v>0</v>
      </c>
      <c r="AQ179" s="76"/>
      <c r="AR179" s="76"/>
      <c r="AS179" s="76"/>
      <c r="AT179" s="76"/>
      <c r="AU179" s="76"/>
      <c r="AV179" s="138"/>
    </row>
    <row r="180" spans="1:48" ht="15">
      <c r="A180" s="249">
        <v>41963</v>
      </c>
      <c r="B180" s="72">
        <f>3.2*100</f>
        <v>320</v>
      </c>
      <c r="C180" s="80">
        <f>215.0041+13.5747</f>
        <v>228.5788</v>
      </c>
      <c r="D180" s="80">
        <f>2.78+8+7.3231+0.05+0.1+5+45.9081</f>
        <v>69.161199999999994</v>
      </c>
      <c r="E180" s="80">
        <f t="shared" si="169"/>
        <v>41.26</v>
      </c>
      <c r="F180" s="80">
        <f t="shared" ref="F180:F196" si="194">D180+E180</f>
        <v>110.4212</v>
      </c>
      <c r="G180" s="77">
        <f t="shared" si="189"/>
        <v>339</v>
      </c>
      <c r="H180" s="43">
        <f t="shared" si="192"/>
        <v>3.039513677811545E-2</v>
      </c>
      <c r="I180" s="76">
        <f>229.8086-0.2106</f>
        <v>229.59800000000001</v>
      </c>
      <c r="J180" s="76">
        <f>1.8+8+7.3231+0.05+0.1-2.6987+44.5677</f>
        <v>59.142100000000006</v>
      </c>
      <c r="K180" s="76">
        <f t="shared" si="170"/>
        <v>41.26</v>
      </c>
      <c r="L180" s="76">
        <f t="shared" si="180"/>
        <v>100.4021</v>
      </c>
      <c r="M180" s="155">
        <f t="shared" si="190"/>
        <v>330.00010000000003</v>
      </c>
      <c r="N180" s="151">
        <f t="shared" si="134"/>
        <v>3.1250312499999877E-2</v>
      </c>
      <c r="O180" s="80">
        <f>239.5185+3.6574-6.41</f>
        <v>236.76589999999999</v>
      </c>
      <c r="P180" s="78">
        <f>1.0375+0.05+0.1-4.8449+42.6315</f>
        <v>38.9741</v>
      </c>
      <c r="Q180" s="80">
        <f t="shared" si="171"/>
        <v>49.26</v>
      </c>
      <c r="R180" s="177">
        <f>P180+Q180</f>
        <v>88.234099999999998</v>
      </c>
      <c r="S180" s="82">
        <f t="shared" si="155"/>
        <v>325</v>
      </c>
      <c r="T180" s="43">
        <f t="shared" si="136"/>
        <v>2.8481012658227778E-2</v>
      </c>
      <c r="U180" s="253">
        <f>223.6533+12.6796+0.7677</f>
        <v>237.10059999999999</v>
      </c>
      <c r="V180" s="194">
        <f>0.7246+5-18.4042+39.2737</f>
        <v>26.594099999999997</v>
      </c>
      <c r="W180" s="191">
        <f t="shared" si="181"/>
        <v>30.305299999999995</v>
      </c>
      <c r="X180" s="191">
        <f>V180+W180</f>
        <v>56.899399999999993</v>
      </c>
      <c r="Y180" s="198">
        <f t="shared" si="149"/>
        <v>294</v>
      </c>
      <c r="Z180" s="188">
        <f t="shared" si="193"/>
        <v>-9.5384615384615401E-2</v>
      </c>
      <c r="AA180" s="80">
        <f>167.3609-16.3266</f>
        <v>151.03429999999997</v>
      </c>
      <c r="AB180" s="85">
        <f t="shared" si="145"/>
        <v>5.9657</v>
      </c>
      <c r="AC180" s="87">
        <f t="shared" si="191"/>
        <v>156.99999999999997</v>
      </c>
      <c r="AD180" s="172">
        <f t="shared" si="137"/>
        <v>0</v>
      </c>
      <c r="AE180" s="228">
        <f>229.8086+2.8342-0.2213</f>
        <v>232.42150000000001</v>
      </c>
      <c r="AF180" s="220">
        <f>0.2945+3+0.1-6.2287+40.3528</f>
        <v>37.518599999999999</v>
      </c>
      <c r="AG180" s="221">
        <f t="shared" si="185"/>
        <v>32.059999999999995</v>
      </c>
      <c r="AH180" s="262">
        <f>AF180+AG180</f>
        <v>69.578599999999994</v>
      </c>
      <c r="AI180" s="222">
        <f t="shared" si="182"/>
        <v>302.00009999999997</v>
      </c>
      <c r="AJ180" s="173">
        <f t="shared" si="167"/>
        <v>3.0717064846416342E-2</v>
      </c>
      <c r="AK180" s="229">
        <f>207.8373+25.681+0.2608-108.2783</f>
        <v>125.5008</v>
      </c>
      <c r="AL180" s="224">
        <f t="shared" si="126"/>
        <v>-0.26080000000000003</v>
      </c>
      <c r="AM180" s="224">
        <f t="shared" si="187"/>
        <v>31.76</v>
      </c>
      <c r="AN180" s="224">
        <f>AL180+AM180</f>
        <v>31.499200000000002</v>
      </c>
      <c r="AO180" s="225">
        <f>AK180+AN180</f>
        <v>157</v>
      </c>
      <c r="AP180" s="172">
        <f t="shared" si="173"/>
        <v>0</v>
      </c>
      <c r="AQ180" s="76"/>
      <c r="AR180" s="76"/>
      <c r="AS180" s="76"/>
      <c r="AT180" s="76"/>
      <c r="AU180" s="76"/>
      <c r="AV180" s="138"/>
    </row>
    <row r="181" spans="1:48" ht="15">
      <c r="A181" s="249">
        <v>41974</v>
      </c>
      <c r="B181" s="72">
        <f>3.2*100</f>
        <v>320</v>
      </c>
      <c r="C181" s="80">
        <f>206.8592+21.7196</f>
        <v>228.5788</v>
      </c>
      <c r="D181" s="80">
        <f>2.78+8+7.3231+0.05+0.1+5+45.9081</f>
        <v>69.161199999999994</v>
      </c>
      <c r="E181" s="80">
        <f t="shared" si="169"/>
        <v>41.26</v>
      </c>
      <c r="F181" s="80">
        <f t="shared" si="194"/>
        <v>110.4212</v>
      </c>
      <c r="G181" s="77">
        <f t="shared" si="189"/>
        <v>339</v>
      </c>
      <c r="H181" s="43">
        <f t="shared" si="192"/>
        <v>0</v>
      </c>
      <c r="I181" s="76">
        <f>219.9318+9.6662</f>
        <v>229.59800000000001</v>
      </c>
      <c r="J181" s="76">
        <f>1.8+8+7.3231+0.05+0.1-2.6987+44.5677</f>
        <v>59.142100000000006</v>
      </c>
      <c r="K181" s="76">
        <f t="shared" si="170"/>
        <v>41.26</v>
      </c>
      <c r="L181" s="76">
        <f t="shared" si="180"/>
        <v>100.4021</v>
      </c>
      <c r="M181" s="155">
        <f t="shared" si="190"/>
        <v>330.00010000000003</v>
      </c>
      <c r="N181" s="151">
        <f t="shared" si="134"/>
        <v>0</v>
      </c>
      <c r="O181" s="80">
        <f>226.8931+3.6574+6.2154</f>
        <v>236.76589999999999</v>
      </c>
      <c r="P181" s="78">
        <f>1.0375+0.05+0.1-4.8449+42.6315</f>
        <v>38.9741</v>
      </c>
      <c r="Q181" s="80">
        <f t="shared" si="171"/>
        <v>49.26</v>
      </c>
      <c r="R181" s="177">
        <f t="shared" ref="R181:R196" si="195">P181+Q181</f>
        <v>88.234099999999998</v>
      </c>
      <c r="S181" s="82">
        <f t="shared" si="155"/>
        <v>325</v>
      </c>
      <c r="T181" s="43">
        <f t="shared" si="136"/>
        <v>0</v>
      </c>
      <c r="U181" s="253">
        <f>226.4727+12.6796-2.0517</f>
        <v>237.10059999999999</v>
      </c>
      <c r="V181" s="194">
        <f>0.7246+5-18.4042+39.2737</f>
        <v>26.594099999999997</v>
      </c>
      <c r="W181" s="191">
        <f t="shared" si="181"/>
        <v>30.305299999999995</v>
      </c>
      <c r="X181" s="191">
        <f t="shared" ref="X181:X196" si="196">V181+W181</f>
        <v>56.899399999999993</v>
      </c>
      <c r="Y181" s="198">
        <f t="shared" si="149"/>
        <v>294</v>
      </c>
      <c r="Z181" s="188">
        <f t="shared" si="193"/>
        <v>0</v>
      </c>
      <c r="AA181" s="80">
        <f>155.7977-4.7634</f>
        <v>151.0343</v>
      </c>
      <c r="AB181" s="85">
        <f t="shared" si="145"/>
        <v>5.9657</v>
      </c>
      <c r="AC181" s="87">
        <f t="shared" si="191"/>
        <v>157</v>
      </c>
      <c r="AD181" s="172">
        <f t="shared" si="137"/>
        <v>0</v>
      </c>
      <c r="AE181" s="228">
        <f>219.9318+2.8342+9.6555</f>
        <v>232.42150000000001</v>
      </c>
      <c r="AF181" s="220">
        <f>0.2945+3+0.1-6.2287+40.3528</f>
        <v>37.518599999999999</v>
      </c>
      <c r="AG181" s="221">
        <f t="shared" si="185"/>
        <v>32.059999999999995</v>
      </c>
      <c r="AH181" s="262">
        <f t="shared" ref="AH181:AH196" si="197">AF181+AG181</f>
        <v>69.578599999999994</v>
      </c>
      <c r="AI181" s="222">
        <f t="shared" si="182"/>
        <v>302.00009999999997</v>
      </c>
      <c r="AJ181" s="173">
        <f t="shared" si="167"/>
        <v>0</v>
      </c>
      <c r="AK181" s="229">
        <f>199.9639+25.681+0.2608-100.4049</f>
        <v>125.5008</v>
      </c>
      <c r="AL181" s="224">
        <f t="shared" si="126"/>
        <v>-0.26080000000000003</v>
      </c>
      <c r="AM181" s="224">
        <f t="shared" si="187"/>
        <v>31.76</v>
      </c>
      <c r="AN181" s="224">
        <f t="shared" ref="AN181:AN196" si="198">AL181+AM181</f>
        <v>31.499200000000002</v>
      </c>
      <c r="AO181" s="225">
        <f t="shared" ref="AO181:AO196" si="199">AK181+AN181</f>
        <v>157</v>
      </c>
      <c r="AP181" s="172">
        <f t="shared" si="173"/>
        <v>0</v>
      </c>
      <c r="AQ181" s="76"/>
      <c r="AR181" s="76"/>
      <c r="AS181" s="76"/>
      <c r="AT181" s="76"/>
      <c r="AU181" s="76"/>
      <c r="AV181" s="138"/>
    </row>
    <row r="182" spans="1:48" ht="15">
      <c r="A182" s="249">
        <v>41989</v>
      </c>
      <c r="B182" s="72">
        <f>3.2*100</f>
        <v>320</v>
      </c>
      <c r="C182" s="80">
        <f>178.2945+50.2843</f>
        <v>228.5788</v>
      </c>
      <c r="D182" s="80">
        <f>2.78+8+7.3231+0.05+0.1+5+45.9081</f>
        <v>69.161199999999994</v>
      </c>
      <c r="E182" s="80">
        <f t="shared" si="169"/>
        <v>41.26</v>
      </c>
      <c r="F182" s="80">
        <f t="shared" si="194"/>
        <v>110.4212</v>
      </c>
      <c r="G182" s="77">
        <f t="shared" si="189"/>
        <v>339</v>
      </c>
      <c r="H182" s="43">
        <f t="shared" si="192"/>
        <v>0</v>
      </c>
      <c r="I182" s="76">
        <f>197.4332+32.1647</f>
        <v>229.59790000000001</v>
      </c>
      <c r="J182" s="76">
        <f>1.8+8+7.3231+0.05+0.1-2.6987+44.5677</f>
        <v>59.142100000000006</v>
      </c>
      <c r="K182" s="76">
        <f t="shared" si="170"/>
        <v>41.26</v>
      </c>
      <c r="L182" s="76">
        <f t="shared" si="180"/>
        <v>100.4021</v>
      </c>
      <c r="M182" s="155">
        <f t="shared" si="190"/>
        <v>330</v>
      </c>
      <c r="N182" s="151">
        <f t="shared" si="134"/>
        <v>-3.0303021125721585E-7</v>
      </c>
      <c r="O182" s="80">
        <f>205.1852+3.6574+27.9233</f>
        <v>236.76590000000002</v>
      </c>
      <c r="P182" s="78">
        <f>1.0375+0.05+0.1-4.8449+42.6315</f>
        <v>38.9741</v>
      </c>
      <c r="Q182" s="80">
        <f t="shared" si="171"/>
        <v>49.26</v>
      </c>
      <c r="R182" s="177">
        <f t="shared" si="195"/>
        <v>88.234099999999998</v>
      </c>
      <c r="S182" s="82">
        <f t="shared" si="155"/>
        <v>325</v>
      </c>
      <c r="T182" s="43">
        <f t="shared" si="136"/>
        <v>0</v>
      </c>
      <c r="U182" s="253">
        <f>203.8255+12.6796+20.5956</f>
        <v>237.10069999999999</v>
      </c>
      <c r="V182" s="194">
        <f>0.7246+5-18.4042+39.2737</f>
        <v>26.594099999999997</v>
      </c>
      <c r="W182" s="191">
        <f t="shared" si="181"/>
        <v>30.305299999999995</v>
      </c>
      <c r="X182" s="191">
        <f t="shared" si="196"/>
        <v>56.899399999999993</v>
      </c>
      <c r="Y182" s="198">
        <f t="shared" si="149"/>
        <v>294.00009999999997</v>
      </c>
      <c r="Z182" s="188">
        <f t="shared" si="193"/>
        <v>3.4013605443306005E-7</v>
      </c>
      <c r="AA182" s="80">
        <f>136.9765+14.0578</f>
        <v>151.03429999999997</v>
      </c>
      <c r="AB182" s="85">
        <f t="shared" si="145"/>
        <v>5.9657</v>
      </c>
      <c r="AC182" s="87">
        <f t="shared" si="191"/>
        <v>156.99999999999997</v>
      </c>
      <c r="AD182" s="172">
        <f t="shared" si="137"/>
        <v>0</v>
      </c>
      <c r="AE182" s="228">
        <f>197.4332+2.8342+32.154</f>
        <v>232.42140000000001</v>
      </c>
      <c r="AF182" s="220">
        <f>0.2945+3+0.1-6.2287+40.3528</f>
        <v>37.518599999999999</v>
      </c>
      <c r="AG182" s="221">
        <f t="shared" si="185"/>
        <v>32.059999999999995</v>
      </c>
      <c r="AH182" s="262">
        <f t="shared" si="197"/>
        <v>69.578599999999994</v>
      </c>
      <c r="AI182" s="222">
        <f t="shared" si="182"/>
        <v>302</v>
      </c>
      <c r="AJ182" s="173">
        <f t="shared" si="167"/>
        <v>-3.3112571806714897E-7</v>
      </c>
      <c r="AK182" s="229">
        <f>172.3513+25.681+0.2608-72.7923</f>
        <v>125.50080000000001</v>
      </c>
      <c r="AL182" s="224">
        <f t="shared" si="126"/>
        <v>-0.26080000000000003</v>
      </c>
      <c r="AM182" s="224">
        <f t="shared" si="187"/>
        <v>31.76</v>
      </c>
      <c r="AN182" s="224">
        <f t="shared" si="198"/>
        <v>31.499200000000002</v>
      </c>
      <c r="AO182" s="225">
        <f t="shared" si="199"/>
        <v>157</v>
      </c>
      <c r="AP182" s="172">
        <f t="shared" si="173"/>
        <v>0</v>
      </c>
      <c r="AQ182" s="76"/>
      <c r="AR182" s="76"/>
      <c r="AS182" s="76"/>
      <c r="AT182" s="76"/>
      <c r="AU182" s="76"/>
      <c r="AV182" s="138"/>
    </row>
    <row r="183" spans="1:48" ht="15">
      <c r="A183" s="249">
        <v>42005</v>
      </c>
      <c r="B183" s="72">
        <f>3.2*100</f>
        <v>320</v>
      </c>
      <c r="C183" s="80">
        <f>154.8163+44.8263</f>
        <v>199.64260000000002</v>
      </c>
      <c r="D183" s="80">
        <f>2.78+8+7.3231+0.05+0.1+5+40.8443</f>
        <v>64.097399999999993</v>
      </c>
      <c r="E183" s="80">
        <f>6.5+3+1+9+12.82+8.94</f>
        <v>41.26</v>
      </c>
      <c r="F183" s="80">
        <f t="shared" si="194"/>
        <v>105.35739999999998</v>
      </c>
      <c r="G183" s="77">
        <f t="shared" ref="G183:G188" si="200">SUM(C183:E183)</f>
        <v>305</v>
      </c>
      <c r="H183" s="43">
        <f t="shared" si="192"/>
        <v>-0.10029498525073743</v>
      </c>
      <c r="I183" s="76">
        <f>178.7968+22.716</f>
        <v>201.5128</v>
      </c>
      <c r="J183" s="76">
        <f>1.8+8+7.3231+0.05+0.1-2.6987+39.6528</f>
        <v>54.227200000000003</v>
      </c>
      <c r="K183" s="76">
        <f>6.5+3+1+9+12.82+8.94</f>
        <v>41.26</v>
      </c>
      <c r="L183" s="76">
        <f t="shared" si="180"/>
        <v>95.487200000000001</v>
      </c>
      <c r="M183" s="155">
        <f t="shared" si="190"/>
        <v>297</v>
      </c>
      <c r="N183" s="151">
        <f t="shared" si="134"/>
        <v>-9.9999999999999978E-2</v>
      </c>
      <c r="O183" s="80">
        <f>189.0483+3.6574+15.9751</f>
        <v>208.6808</v>
      </c>
      <c r="P183" s="78">
        <f>1.0375+0.05+0.1-4.8449+37.7166</f>
        <v>34.059199999999997</v>
      </c>
      <c r="Q183" s="80">
        <f>6.5+3+1+10+12.82+8.94+7</f>
        <v>49.26</v>
      </c>
      <c r="R183" s="177">
        <f t="shared" si="195"/>
        <v>83.319199999999995</v>
      </c>
      <c r="S183" s="82">
        <f t="shared" si="155"/>
        <v>292</v>
      </c>
      <c r="T183" s="43">
        <f t="shared" si="136"/>
        <v>-0.10153846153846158</v>
      </c>
      <c r="U183" s="253">
        <f>178.7911+12.6796+20.098</f>
        <v>211.56869999999998</v>
      </c>
      <c r="V183" s="194">
        <f>0.7246+5-18.4042+34.8056</f>
        <v>22.125999999999998</v>
      </c>
      <c r="W183" s="191">
        <f>10+8.15+6.38+4.7753+1</f>
        <v>30.305299999999995</v>
      </c>
      <c r="X183" s="191">
        <f t="shared" si="196"/>
        <v>52.431299999999993</v>
      </c>
      <c r="Y183" s="198">
        <f t="shared" si="149"/>
        <v>264</v>
      </c>
      <c r="Z183" s="188">
        <f t="shared" si="193"/>
        <v>-0.10204112175472047</v>
      </c>
      <c r="AA183" s="80">
        <f>117.5438+17.4905</f>
        <v>135.0343</v>
      </c>
      <c r="AB183" s="85">
        <f t="shared" si="145"/>
        <v>5.9657</v>
      </c>
      <c r="AC183" s="87">
        <f t="shared" si="191"/>
        <v>141</v>
      </c>
      <c r="AD183" s="172">
        <f t="shared" si="137"/>
        <v>-0.10191082802547757</v>
      </c>
      <c r="AE183" s="228">
        <f>178.7968+2.8342+24.4075</f>
        <v>206.0385</v>
      </c>
      <c r="AF183" s="220">
        <f>0.2945+3+0.1-6.2287+35.7357</f>
        <v>32.901499999999999</v>
      </c>
      <c r="AG183" s="221">
        <f>1+9+12.82+8.94+0.3</f>
        <v>32.059999999999995</v>
      </c>
      <c r="AH183" s="262">
        <f t="shared" si="197"/>
        <v>64.961500000000001</v>
      </c>
      <c r="AI183" s="222">
        <f t="shared" si="182"/>
        <v>271</v>
      </c>
      <c r="AJ183" s="173">
        <f t="shared" si="167"/>
        <v>-0.10264900662251653</v>
      </c>
      <c r="AK183" s="229">
        <f>149.6557+25.681+0.2608-50.0967</f>
        <v>125.5008</v>
      </c>
      <c r="AL183" s="224">
        <f t="shared" si="126"/>
        <v>-0.26080000000000003</v>
      </c>
      <c r="AM183" s="224">
        <f>1+9+12.52+8.94+0.3</f>
        <v>31.76</v>
      </c>
      <c r="AN183" s="224">
        <f t="shared" si="198"/>
        <v>31.499200000000002</v>
      </c>
      <c r="AO183" s="225">
        <f t="shared" si="199"/>
        <v>157</v>
      </c>
      <c r="AP183" s="172">
        <f t="shared" si="173"/>
        <v>0</v>
      </c>
      <c r="AQ183" s="76"/>
      <c r="AR183" s="76"/>
      <c r="AS183" s="76"/>
      <c r="AT183" s="76"/>
      <c r="AU183" s="76"/>
      <c r="AV183" s="138"/>
    </row>
    <row r="184" spans="1:48" ht="15">
      <c r="A184" s="249">
        <v>42020</v>
      </c>
      <c r="B184" s="72">
        <f>3.25*100</f>
        <v>325</v>
      </c>
      <c r="C184" s="80">
        <v>199.64259999999999</v>
      </c>
      <c r="D184" s="80">
        <f>2.78+8+7.3231+0.05+0.1+5+40.8443</f>
        <v>64.097399999999993</v>
      </c>
      <c r="E184" s="80">
        <f>6.5+3+1+9+12.82+8.94</f>
        <v>41.26</v>
      </c>
      <c r="F184" s="80">
        <f t="shared" si="194"/>
        <v>105.35739999999998</v>
      </c>
      <c r="G184" s="77">
        <f t="shared" si="200"/>
        <v>305</v>
      </c>
      <c r="H184" s="43">
        <f t="shared" si="192"/>
        <v>0</v>
      </c>
      <c r="I184" s="76">
        <v>201.5128</v>
      </c>
      <c r="J184" s="76">
        <f>1.8+8+7.3231+0.05+0.1-2.6987+39.6528</f>
        <v>54.227200000000003</v>
      </c>
      <c r="K184" s="76">
        <f>6.5+3+1+9+12.82+8.94</f>
        <v>41.26</v>
      </c>
      <c r="L184" s="76">
        <f t="shared" si="180"/>
        <v>95.487200000000001</v>
      </c>
      <c r="M184" s="155">
        <f t="shared" si="190"/>
        <v>297</v>
      </c>
      <c r="N184" s="151">
        <f t="shared" si="134"/>
        <v>0</v>
      </c>
      <c r="O184" s="80">
        <v>208.6808</v>
      </c>
      <c r="P184" s="78">
        <f>1.0375+0.05+0.1-4.8449+37.7166</f>
        <v>34.059199999999997</v>
      </c>
      <c r="Q184" s="80">
        <f>6.5+3+1+10+12.82+8.94+7</f>
        <v>49.26</v>
      </c>
      <c r="R184" s="177">
        <f t="shared" si="195"/>
        <v>83.319199999999995</v>
      </c>
      <c r="S184" s="82">
        <f t="shared" si="155"/>
        <v>292</v>
      </c>
      <c r="T184" s="43">
        <f t="shared" si="136"/>
        <v>0</v>
      </c>
      <c r="U184" s="253">
        <v>208.1645</v>
      </c>
      <c r="V184" s="194">
        <f>0.7246+5-18.4042+34.2098</f>
        <v>21.530200000000001</v>
      </c>
      <c r="W184" s="191">
        <f>10+8.15+6.38+4.7753+5</f>
        <v>34.305299999999995</v>
      </c>
      <c r="X184" s="191">
        <f t="shared" si="196"/>
        <v>55.835499999999996</v>
      </c>
      <c r="Y184" s="198">
        <f t="shared" si="149"/>
        <v>264</v>
      </c>
      <c r="Z184" s="188">
        <f t="shared" si="193"/>
        <v>0</v>
      </c>
      <c r="AA184" s="80">
        <v>135.0343</v>
      </c>
      <c r="AB184" s="85">
        <f t="shared" si="145"/>
        <v>5.9657</v>
      </c>
      <c r="AC184" s="87">
        <f t="shared" si="191"/>
        <v>141</v>
      </c>
      <c r="AD184" s="172">
        <f t="shared" si="137"/>
        <v>0</v>
      </c>
      <c r="AE184" s="228">
        <f>206.0385</f>
        <v>206.0385</v>
      </c>
      <c r="AF184" s="220">
        <f>0.2945+3+0.1-6.2287+35.7357</f>
        <v>32.901499999999999</v>
      </c>
      <c r="AG184" s="221">
        <f>1+9+12.82+8.94+0.3</f>
        <v>32.059999999999995</v>
      </c>
      <c r="AH184" s="262">
        <f t="shared" si="197"/>
        <v>64.961500000000001</v>
      </c>
      <c r="AI184" s="222">
        <f t="shared" si="182"/>
        <v>271</v>
      </c>
      <c r="AJ184" s="173">
        <f t="shared" si="167"/>
        <v>0</v>
      </c>
      <c r="AK184" s="229">
        <v>125.5008</v>
      </c>
      <c r="AL184" s="224">
        <f t="shared" si="126"/>
        <v>-0.26080000000000003</v>
      </c>
      <c r="AM184" s="224">
        <f>1+9+12.52+8.94+0.3</f>
        <v>31.76</v>
      </c>
      <c r="AN184" s="224">
        <f t="shared" si="198"/>
        <v>31.499200000000002</v>
      </c>
      <c r="AO184" s="225">
        <f t="shared" si="199"/>
        <v>157</v>
      </c>
      <c r="AP184" s="172">
        <f t="shared" si="173"/>
        <v>0</v>
      </c>
      <c r="AQ184" s="76"/>
      <c r="AR184" s="76"/>
      <c r="AS184" s="76"/>
      <c r="AT184" s="76"/>
      <c r="AU184" s="76"/>
      <c r="AV184" s="138"/>
    </row>
    <row r="185" spans="1:48" ht="15">
      <c r="A185" s="249">
        <v>42036</v>
      </c>
      <c r="B185" s="72">
        <f>3.25*100</f>
        <v>325</v>
      </c>
      <c r="C185" s="80">
        <f>140.9536+52.6891</f>
        <v>193.64269999999999</v>
      </c>
      <c r="D185" s="80">
        <f>2.78+8+7.3231+0.05+0.1+5+39.7943</f>
        <v>63.047399999999996</v>
      </c>
      <c r="E185" s="80">
        <f t="shared" ref="E185:E192" si="201">6.5+3+1+10+16.67+11.14</f>
        <v>48.31</v>
      </c>
      <c r="F185" s="80">
        <f t="shared" si="194"/>
        <v>111.3574</v>
      </c>
      <c r="G185" s="77">
        <f t="shared" si="200"/>
        <v>305.00009999999997</v>
      </c>
      <c r="H185" s="43">
        <f t="shared" si="192"/>
        <v>3.2786885229008078E-7</v>
      </c>
      <c r="I185" s="76">
        <f>157.3458+38.1671</f>
        <v>195.5129</v>
      </c>
      <c r="J185" s="76">
        <f>1.8+8+7.3231+0.05+0.1-2.6987+38.6028</f>
        <v>53.177200000000006</v>
      </c>
      <c r="K185" s="76">
        <f t="shared" ref="K185:K193" si="202">6.5+3+1+10+16.67+11.14</f>
        <v>48.31</v>
      </c>
      <c r="L185" s="76">
        <f t="shared" si="180"/>
        <v>101.4872</v>
      </c>
      <c r="M185" s="155">
        <f t="shared" ref="M185:M190" si="203">SUM(I185:K185)</f>
        <v>297.00009999999997</v>
      </c>
      <c r="N185" s="151">
        <f t="shared" si="134"/>
        <v>3.3670033672272837E-7</v>
      </c>
      <c r="O185" s="80">
        <f>164.9578+3.6574+34.0656</f>
        <v>202.68079999999998</v>
      </c>
      <c r="P185" s="78">
        <f>1.0375+0.05+0.1-4.8449+36.6666</f>
        <v>33.0092</v>
      </c>
      <c r="Q185" s="80">
        <f t="shared" ref="Q185:Q193" si="204">6.5+3+1+11+16.67+11.14+7</f>
        <v>56.31</v>
      </c>
      <c r="R185" s="177">
        <f t="shared" si="195"/>
        <v>89.319199999999995</v>
      </c>
      <c r="S185" s="82">
        <f t="shared" si="155"/>
        <v>292</v>
      </c>
      <c r="T185" s="43">
        <f t="shared" si="136"/>
        <v>0</v>
      </c>
      <c r="U185" s="253">
        <f>145.2011+12.6796+45.1433</f>
        <v>203.024</v>
      </c>
      <c r="V185" s="194">
        <f>0.7246+5-18.4042+33.3103</f>
        <v>20.630699999999997</v>
      </c>
      <c r="W185" s="191">
        <f t="shared" ref="W185:W195" si="205">12+10.595+7.975+4.7753+5</f>
        <v>40.345300000000002</v>
      </c>
      <c r="X185" s="191">
        <f t="shared" si="196"/>
        <v>60.975999999999999</v>
      </c>
      <c r="Y185" s="198">
        <f t="shared" si="149"/>
        <v>264</v>
      </c>
      <c r="Z185" s="188">
        <f t="shared" si="193"/>
        <v>0</v>
      </c>
      <c r="AA185" s="80">
        <f>100.1098+34.9245</f>
        <v>135.0343</v>
      </c>
      <c r="AB185" s="85">
        <f t="shared" si="145"/>
        <v>5.9657</v>
      </c>
      <c r="AC185" s="87">
        <f t="shared" si="191"/>
        <v>141</v>
      </c>
      <c r="AD185" s="172">
        <f t="shared" si="137"/>
        <v>0</v>
      </c>
      <c r="AE185" s="228">
        <f>157.3458+2.8342+39.8585</f>
        <v>200.0385</v>
      </c>
      <c r="AF185" s="220">
        <f>0.2945+3+0.1-6.2287+34.6857</f>
        <v>31.851499999999998</v>
      </c>
      <c r="AG185" s="221">
        <f t="shared" ref="AG185:AG193" si="206">1+10+16.67+11.14+0.3</f>
        <v>39.11</v>
      </c>
      <c r="AH185" s="262">
        <f t="shared" si="197"/>
        <v>70.961500000000001</v>
      </c>
      <c r="AI185" s="222">
        <f t="shared" si="182"/>
        <v>271</v>
      </c>
      <c r="AJ185" s="173">
        <f t="shared" si="167"/>
        <v>0</v>
      </c>
      <c r="AK185" s="229">
        <f>136.2551+23.113+0.2608-41.1781</f>
        <v>118.45079999999999</v>
      </c>
      <c r="AL185" s="224">
        <f t="shared" si="126"/>
        <v>-0.26080000000000003</v>
      </c>
      <c r="AM185" s="224">
        <f t="shared" ref="AM185:AM192" si="207">1+10+16.37+11.14+0.3</f>
        <v>38.81</v>
      </c>
      <c r="AN185" s="224">
        <f t="shared" si="198"/>
        <v>38.549199999999999</v>
      </c>
      <c r="AO185" s="225">
        <f t="shared" si="199"/>
        <v>157</v>
      </c>
      <c r="AP185" s="172">
        <f t="shared" si="173"/>
        <v>0</v>
      </c>
      <c r="AQ185" s="76"/>
      <c r="AR185" s="76"/>
      <c r="AS185" s="76"/>
      <c r="AT185" s="76"/>
      <c r="AU185" s="76"/>
      <c r="AV185" s="138"/>
    </row>
    <row r="186" spans="1:48" ht="15">
      <c r="A186" s="249">
        <v>42051</v>
      </c>
      <c r="B186" s="72">
        <f>3.5*100</f>
        <v>350</v>
      </c>
      <c r="C186" s="80">
        <f>165.1438+28.4988</f>
        <v>193.64259999999999</v>
      </c>
      <c r="D186" s="80">
        <f>2.78+8+7.3231+0.05+0.1+5+39.7943</f>
        <v>63.047399999999996</v>
      </c>
      <c r="E186" s="80">
        <f t="shared" si="201"/>
        <v>48.31</v>
      </c>
      <c r="F186" s="80">
        <f t="shared" si="194"/>
        <v>111.3574</v>
      </c>
      <c r="G186" s="77">
        <f t="shared" si="200"/>
        <v>305</v>
      </c>
      <c r="H186" s="43">
        <f t="shared" si="192"/>
        <v>-3.278687449315143E-7</v>
      </c>
      <c r="I186" s="76">
        <f>184.7353+10.7775</f>
        <v>195.5128</v>
      </c>
      <c r="J186" s="76">
        <f>1.8+8+7.3231+0.05+0.1-2.6987+38.6028</f>
        <v>53.177200000000006</v>
      </c>
      <c r="K186" s="76">
        <f t="shared" si="202"/>
        <v>48.31</v>
      </c>
      <c r="L186" s="76">
        <f t="shared" si="180"/>
        <v>101.4872</v>
      </c>
      <c r="M186" s="155">
        <f t="shared" si="203"/>
        <v>297</v>
      </c>
      <c r="N186" s="151">
        <f t="shared" si="134"/>
        <v>-3.3670022325793525E-7</v>
      </c>
      <c r="O186" s="80">
        <f>190.8611+3.6574+8.1623</f>
        <v>202.68079999999998</v>
      </c>
      <c r="P186" s="78">
        <f>1.0375+0.05+0.1-4.8449+36.6666</f>
        <v>33.0092</v>
      </c>
      <c r="Q186" s="80">
        <f t="shared" si="204"/>
        <v>56.31</v>
      </c>
      <c r="R186" s="177">
        <f>P186+Q186</f>
        <v>89.319199999999995</v>
      </c>
      <c r="S186" s="82">
        <f t="shared" si="155"/>
        <v>292</v>
      </c>
      <c r="T186" s="43">
        <f t="shared" si="136"/>
        <v>0</v>
      </c>
      <c r="U186" s="253">
        <f>187.8479+12.6796+2.4965</f>
        <v>203.024</v>
      </c>
      <c r="V186" s="194">
        <f>0.7246+5-18.4042+33.3103</f>
        <v>20.630699999999997</v>
      </c>
      <c r="W186" s="191">
        <f t="shared" si="205"/>
        <v>40.345300000000002</v>
      </c>
      <c r="X186" s="191">
        <f t="shared" si="196"/>
        <v>60.975999999999999</v>
      </c>
      <c r="Y186" s="198">
        <f t="shared" si="149"/>
        <v>264</v>
      </c>
      <c r="Z186" s="188">
        <f t="shared" si="193"/>
        <v>0</v>
      </c>
      <c r="AA186" s="80">
        <f>121.6654+13.3689</f>
        <v>135.0343</v>
      </c>
      <c r="AB186" s="85">
        <f t="shared" si="145"/>
        <v>5.9657</v>
      </c>
      <c r="AC186" s="87">
        <f t="shared" si="191"/>
        <v>141</v>
      </c>
      <c r="AD186" s="172">
        <f t="shared" si="137"/>
        <v>0</v>
      </c>
      <c r="AE186" s="228">
        <f>184.735317396607+2.8342+12.4689379225419</f>
        <v>200.03845531914891</v>
      </c>
      <c r="AF186" s="220">
        <f>0.2945+3+0.1-6.2287+34.6857</f>
        <v>31.851499999999998</v>
      </c>
      <c r="AG186" s="221">
        <f t="shared" si="206"/>
        <v>39.11</v>
      </c>
      <c r="AH186" s="262">
        <f t="shared" si="197"/>
        <v>70.961500000000001</v>
      </c>
      <c r="AI186" s="222">
        <f t="shared" si="182"/>
        <v>270.99995531914891</v>
      </c>
      <c r="AJ186" s="173">
        <f t="shared" si="167"/>
        <v>-1.6487398923903385E-7</v>
      </c>
      <c r="AK186" s="229">
        <f>159.639+23.113+0.2608-64.562</f>
        <v>118.4508</v>
      </c>
      <c r="AL186" s="224">
        <f t="shared" si="126"/>
        <v>-0.26080000000000003</v>
      </c>
      <c r="AM186" s="224">
        <f t="shared" si="207"/>
        <v>38.81</v>
      </c>
      <c r="AN186" s="224">
        <f t="shared" si="198"/>
        <v>38.549199999999999</v>
      </c>
      <c r="AO186" s="225">
        <f t="shared" si="199"/>
        <v>157</v>
      </c>
      <c r="AP186" s="172">
        <f t="shared" si="173"/>
        <v>0</v>
      </c>
      <c r="AQ186" s="76"/>
      <c r="AR186" s="76"/>
      <c r="AS186" s="76"/>
      <c r="AT186" s="76"/>
      <c r="AU186" s="76"/>
      <c r="AV186" s="138"/>
    </row>
    <row r="187" spans="1:48" ht="15">
      <c r="A187" s="249">
        <v>42064</v>
      </c>
      <c r="B187" s="72">
        <f>3.6*100</f>
        <v>360</v>
      </c>
      <c r="C187" s="80">
        <f>184.9403+8.7023</f>
        <v>193.64260000000002</v>
      </c>
      <c r="D187" s="80">
        <f>2.78+8+7.3231+0.05+0.1+5+39.7943</f>
        <v>63.047399999999996</v>
      </c>
      <c r="E187" s="80">
        <f t="shared" si="201"/>
        <v>48.31</v>
      </c>
      <c r="F187" s="80">
        <f t="shared" si="194"/>
        <v>111.3574</v>
      </c>
      <c r="G187" s="77">
        <f t="shared" si="200"/>
        <v>305</v>
      </c>
      <c r="H187" s="43">
        <f t="shared" si="192"/>
        <v>0</v>
      </c>
      <c r="I187" s="76">
        <f>205.8999-10.387</f>
        <v>195.5129</v>
      </c>
      <c r="J187" s="76">
        <f>1.8+8+7.3231+0.05+0.1-2.6987+38.6028</f>
        <v>53.177200000000006</v>
      </c>
      <c r="K187" s="76">
        <f t="shared" si="202"/>
        <v>48.31</v>
      </c>
      <c r="L187" s="76">
        <f t="shared" si="180"/>
        <v>101.4872</v>
      </c>
      <c r="M187" s="155">
        <f t="shared" si="203"/>
        <v>297.00009999999997</v>
      </c>
      <c r="N187" s="151">
        <f t="shared" si="134"/>
        <v>3.3670033672272837E-7</v>
      </c>
      <c r="O187" s="80">
        <f>208.6476+3.6574-9.6242</f>
        <v>202.6808</v>
      </c>
      <c r="P187" s="78">
        <f>1.0375+0.05+0.1-4.8449+36.6666</f>
        <v>33.0092</v>
      </c>
      <c r="Q187" s="80">
        <f t="shared" si="204"/>
        <v>56.31</v>
      </c>
      <c r="R187" s="177">
        <f t="shared" si="195"/>
        <v>89.319199999999995</v>
      </c>
      <c r="S187" s="82">
        <f t="shared" si="155"/>
        <v>292</v>
      </c>
      <c r="T187" s="43">
        <f t="shared" si="136"/>
        <v>0</v>
      </c>
      <c r="U187" s="253">
        <f>219.6164+12.6796-29.2719</f>
        <v>203.0241</v>
      </c>
      <c r="V187" s="194">
        <f>0.7246+5-18.4042+33.3103</f>
        <v>20.630699999999997</v>
      </c>
      <c r="W187" s="191">
        <f t="shared" si="205"/>
        <v>40.345300000000002</v>
      </c>
      <c r="X187" s="191">
        <f t="shared" si="196"/>
        <v>60.975999999999999</v>
      </c>
      <c r="Y187" s="198">
        <f t="shared" si="149"/>
        <v>264.00009999999997</v>
      </c>
      <c r="Z187" s="188">
        <f t="shared" si="193"/>
        <v>3.7878787861878038E-7</v>
      </c>
      <c r="AA187" s="80">
        <f>135.3242-0.2899</f>
        <v>135.0343</v>
      </c>
      <c r="AB187" s="85">
        <f t="shared" si="145"/>
        <v>5.9657</v>
      </c>
      <c r="AC187" s="87">
        <f t="shared" si="191"/>
        <v>141</v>
      </c>
      <c r="AD187" s="172">
        <f t="shared" si="137"/>
        <v>0</v>
      </c>
      <c r="AE187" s="228">
        <f>205.8999+2.8342-8.6956</f>
        <v>200.0385</v>
      </c>
      <c r="AF187" s="220">
        <f>0.2945+3+0.1-6.2287+34.6857</f>
        <v>31.851499999999998</v>
      </c>
      <c r="AG187" s="221">
        <f t="shared" si="206"/>
        <v>39.11</v>
      </c>
      <c r="AH187" s="262">
        <f t="shared" si="197"/>
        <v>70.961500000000001</v>
      </c>
      <c r="AI187" s="222">
        <f t="shared" si="182"/>
        <v>271</v>
      </c>
      <c r="AJ187" s="173">
        <f t="shared" si="167"/>
        <v>1.6487401643949795E-7</v>
      </c>
      <c r="AK187" s="229">
        <f>178.7757+23.113+0.2608-83.6987</f>
        <v>118.45079999999999</v>
      </c>
      <c r="AL187" s="224">
        <f t="shared" si="126"/>
        <v>-0.26080000000000003</v>
      </c>
      <c r="AM187" s="224">
        <f t="shared" si="207"/>
        <v>38.81</v>
      </c>
      <c r="AN187" s="224">
        <f t="shared" si="198"/>
        <v>38.549199999999999</v>
      </c>
      <c r="AO187" s="225">
        <f t="shared" si="199"/>
        <v>157</v>
      </c>
      <c r="AP187" s="172">
        <f t="shared" si="173"/>
        <v>0</v>
      </c>
      <c r="AQ187" s="76"/>
      <c r="AR187" s="76"/>
      <c r="AS187" s="76"/>
      <c r="AT187" s="76"/>
      <c r="AU187" s="76"/>
      <c r="AV187" s="138"/>
    </row>
    <row r="188" spans="1:48" ht="15">
      <c r="A188" s="249">
        <v>42079</v>
      </c>
      <c r="B188" s="72">
        <f>3.71*100</f>
        <v>371</v>
      </c>
      <c r="C188" s="80">
        <f>198.6842-5.0416</f>
        <v>193.64260000000002</v>
      </c>
      <c r="D188" s="80">
        <f>2.78+8+7.3231+0.05+0.1+5+39.7943</f>
        <v>63.047399999999996</v>
      </c>
      <c r="E188" s="80">
        <f t="shared" si="201"/>
        <v>48.31</v>
      </c>
      <c r="F188" s="80">
        <f t="shared" si="194"/>
        <v>111.3574</v>
      </c>
      <c r="G188" s="77">
        <f t="shared" si="200"/>
        <v>305</v>
      </c>
      <c r="H188" s="43">
        <f t="shared" si="192"/>
        <v>0</v>
      </c>
      <c r="I188" s="76">
        <f>207.9717-12.4589</f>
        <v>195.5128</v>
      </c>
      <c r="J188" s="76">
        <f>1.8+8+7.3231+0.05+0.1-2.6987+38.6028</f>
        <v>53.177200000000006</v>
      </c>
      <c r="K188" s="76">
        <f t="shared" si="202"/>
        <v>48.31</v>
      </c>
      <c r="L188" s="76">
        <f t="shared" si="180"/>
        <v>101.4872</v>
      </c>
      <c r="M188" s="155">
        <f t="shared" si="203"/>
        <v>297</v>
      </c>
      <c r="N188" s="151">
        <f t="shared" si="134"/>
        <v>-3.3670022325793525E-7</v>
      </c>
      <c r="O188" s="80">
        <f>210.1981+3.6574-11.1747</f>
        <v>202.6808</v>
      </c>
      <c r="P188" s="78">
        <f>1.0375+0.05+0.1-4.8449+36.6666</f>
        <v>33.0092</v>
      </c>
      <c r="Q188" s="80">
        <f t="shared" si="204"/>
        <v>56.31</v>
      </c>
      <c r="R188" s="177">
        <f t="shared" si="195"/>
        <v>89.319199999999995</v>
      </c>
      <c r="S188" s="82">
        <f t="shared" ref="S188:S196" si="208">SUM(O188:Q188)</f>
        <v>292</v>
      </c>
      <c r="T188" s="43">
        <f t="shared" si="136"/>
        <v>0</v>
      </c>
      <c r="U188" s="253">
        <f>228.3093+12.6796-37.9649</f>
        <v>203.024</v>
      </c>
      <c r="V188" s="194">
        <f>0.7246+5-18.4042+33.3103</f>
        <v>20.630699999999997</v>
      </c>
      <c r="W188" s="191">
        <f t="shared" si="205"/>
        <v>40.345300000000002</v>
      </c>
      <c r="X188" s="191">
        <f t="shared" si="196"/>
        <v>60.975999999999999</v>
      </c>
      <c r="Y188" s="198">
        <f t="shared" ref="Y188:Y196" si="209">SUM(U188:W188)</f>
        <v>264</v>
      </c>
      <c r="Z188" s="188">
        <f t="shared" si="193"/>
        <v>-3.787877351779656E-7</v>
      </c>
      <c r="AA188" s="80">
        <f>141.5094-6.4751</f>
        <v>135.0343</v>
      </c>
      <c r="AB188" s="85">
        <f t="shared" si="145"/>
        <v>5.9657</v>
      </c>
      <c r="AC188" s="87">
        <f t="shared" si="191"/>
        <v>141</v>
      </c>
      <c r="AD188" s="172">
        <f t="shared" si="137"/>
        <v>0</v>
      </c>
      <c r="AE188" s="228">
        <f>207.97174183893+2.8342-10.7674865197806</f>
        <v>200.03845531914942</v>
      </c>
      <c r="AF188" s="220">
        <f>0.2945+3+0.1-6.2287+34.6857</f>
        <v>31.851499999999998</v>
      </c>
      <c r="AG188" s="221">
        <f t="shared" si="206"/>
        <v>39.11</v>
      </c>
      <c r="AH188" s="262">
        <f t="shared" si="197"/>
        <v>70.961500000000001</v>
      </c>
      <c r="AI188" s="222">
        <f t="shared" si="182"/>
        <v>270.99995531914942</v>
      </c>
      <c r="AJ188" s="173">
        <f t="shared" si="167"/>
        <v>-1.648739873516547E-7</v>
      </c>
      <c r="AK188" s="229">
        <f>192.0614+23.113+0.2608-96.9844</f>
        <v>118.45079999999999</v>
      </c>
      <c r="AL188" s="224">
        <f t="shared" si="126"/>
        <v>-0.26080000000000003</v>
      </c>
      <c r="AM188" s="224">
        <f t="shared" si="207"/>
        <v>38.81</v>
      </c>
      <c r="AN188" s="224">
        <f t="shared" si="198"/>
        <v>38.549199999999999</v>
      </c>
      <c r="AO188" s="225">
        <f t="shared" si="199"/>
        <v>157</v>
      </c>
      <c r="AP188" s="172">
        <f t="shared" si="173"/>
        <v>0</v>
      </c>
      <c r="AQ188" s="76"/>
      <c r="AR188" s="76"/>
      <c r="AS188" s="76"/>
      <c r="AT188" s="76"/>
      <c r="AU188" s="76"/>
      <c r="AV188" s="138"/>
    </row>
    <row r="189" spans="1:48" ht="15">
      <c r="A189" s="249">
        <v>42095</v>
      </c>
      <c r="B189" s="72">
        <f>3.9*100</f>
        <v>390</v>
      </c>
      <c r="C189" s="80">
        <f>207.0677+6.7231</f>
        <v>213.79079999999999</v>
      </c>
      <c r="D189" s="80">
        <f>2.78+8+7.3231+0.05+0.1+5+19.6461</f>
        <v>42.8992</v>
      </c>
      <c r="E189" s="80">
        <f t="shared" si="201"/>
        <v>48.31</v>
      </c>
      <c r="F189" s="80">
        <f t="shared" si="194"/>
        <v>91.20920000000001</v>
      </c>
      <c r="G189" s="77">
        <f t="shared" ref="G189:G194" si="210">SUM(C189:E189)</f>
        <v>305</v>
      </c>
      <c r="H189" s="43">
        <f t="shared" ref="H189:H196" si="211">G189/G188-1</f>
        <v>0</v>
      </c>
      <c r="I189" s="76">
        <f>204.2663</f>
        <v>204.2663</v>
      </c>
      <c r="J189" s="76">
        <f>1.8+8+7.3231+0.05+0.1-2.6987+29.8493</f>
        <v>44.423700000000004</v>
      </c>
      <c r="K189" s="76">
        <f t="shared" si="202"/>
        <v>48.31</v>
      </c>
      <c r="L189" s="76">
        <f t="shared" si="180"/>
        <v>92.733699999999999</v>
      </c>
      <c r="M189" s="155">
        <f t="shared" si="203"/>
        <v>297</v>
      </c>
      <c r="N189" s="151">
        <f t="shared" ref="N189:N196" si="212">M189/M188-1</f>
        <v>0</v>
      </c>
      <c r="O189" s="80">
        <f>207.9518+3.6574</f>
        <v>211.60919999999999</v>
      </c>
      <c r="P189" s="78">
        <f>1.0375+0.05+0.1-4.8449+27.7382</f>
        <v>24.0808</v>
      </c>
      <c r="Q189" s="80">
        <f t="shared" si="204"/>
        <v>56.31</v>
      </c>
      <c r="R189" s="177">
        <f t="shared" si="195"/>
        <v>80.390799999999999</v>
      </c>
      <c r="S189" s="82">
        <f t="shared" si="208"/>
        <v>292</v>
      </c>
      <c r="T189" s="43">
        <f t="shared" si="136"/>
        <v>0</v>
      </c>
      <c r="U189" s="253">
        <f>229.5505+12.6796-5.8958</f>
        <v>236.33429999999998</v>
      </c>
      <c r="V189" s="194">
        <f>0.7246+5-18.4042</f>
        <v>-12.679600000000001</v>
      </c>
      <c r="W189" s="191">
        <f t="shared" si="205"/>
        <v>40.345300000000002</v>
      </c>
      <c r="X189" s="191">
        <f t="shared" si="196"/>
        <v>27.665700000000001</v>
      </c>
      <c r="Y189" s="198">
        <f t="shared" si="209"/>
        <v>264</v>
      </c>
      <c r="Z189" s="188">
        <f t="shared" si="193"/>
        <v>0</v>
      </c>
      <c r="AA189" s="80">
        <f>137.4334-2.3991</f>
        <v>135.0343</v>
      </c>
      <c r="AB189" s="85">
        <f t="shared" si="145"/>
        <v>5.9657</v>
      </c>
      <c r="AC189" s="87">
        <f t="shared" si="191"/>
        <v>141</v>
      </c>
      <c r="AD189" s="172">
        <f t="shared" si="137"/>
        <v>0</v>
      </c>
      <c r="AE189" s="228">
        <f>204.2663+2.8342</f>
        <v>207.10050000000001</v>
      </c>
      <c r="AF189" s="220">
        <f>0.2945+3+0.1-6.2287+27.6237</f>
        <v>24.7895</v>
      </c>
      <c r="AG189" s="221">
        <f t="shared" si="206"/>
        <v>39.11</v>
      </c>
      <c r="AH189" s="262">
        <f t="shared" si="197"/>
        <v>63.899500000000003</v>
      </c>
      <c r="AI189" s="222">
        <f t="shared" si="182"/>
        <v>271</v>
      </c>
      <c r="AJ189" s="173">
        <f t="shared" si="167"/>
        <v>1.6487401466314111E-7</v>
      </c>
      <c r="AK189" s="229">
        <f>200.1655+23.113+0.2608-105.0885</f>
        <v>118.4508</v>
      </c>
      <c r="AL189" s="224">
        <f t="shared" si="126"/>
        <v>-0.26080000000000003</v>
      </c>
      <c r="AM189" s="224">
        <f t="shared" si="207"/>
        <v>38.81</v>
      </c>
      <c r="AN189" s="224">
        <f t="shared" si="198"/>
        <v>38.549199999999999</v>
      </c>
      <c r="AO189" s="225">
        <f t="shared" si="199"/>
        <v>157</v>
      </c>
      <c r="AP189" s="172">
        <f t="shared" si="173"/>
        <v>0</v>
      </c>
      <c r="AQ189" s="76"/>
      <c r="AR189" s="76"/>
      <c r="AS189" s="76"/>
      <c r="AT189" s="76"/>
      <c r="AU189" s="76"/>
      <c r="AV189" s="138"/>
    </row>
    <row r="190" spans="1:48" ht="15">
      <c r="A190" s="249">
        <v>42103</v>
      </c>
      <c r="B190" s="72">
        <f>3.9*100</f>
        <v>390</v>
      </c>
      <c r="C190" s="80">
        <f>207.0677-13.4251</f>
        <v>193.64260000000002</v>
      </c>
      <c r="D190" s="80">
        <f>2.78+8+7.3231+0.05+0.1+5+39.7943</f>
        <v>63.047399999999996</v>
      </c>
      <c r="E190" s="80">
        <f t="shared" si="201"/>
        <v>48.31</v>
      </c>
      <c r="F190" s="80">
        <f t="shared" si="194"/>
        <v>111.3574</v>
      </c>
      <c r="G190" s="77">
        <f t="shared" si="210"/>
        <v>305</v>
      </c>
      <c r="H190" s="43">
        <f t="shared" si="211"/>
        <v>0</v>
      </c>
      <c r="I190" s="76">
        <f>204.2663-8.7535</f>
        <v>195.5128</v>
      </c>
      <c r="J190" s="76">
        <f>1.8+8+7.3231+0.05+0.1-2.6987+38.6028</f>
        <v>53.177200000000006</v>
      </c>
      <c r="K190" s="76">
        <f t="shared" si="202"/>
        <v>48.31</v>
      </c>
      <c r="L190" s="76">
        <f t="shared" si="180"/>
        <v>101.4872</v>
      </c>
      <c r="M190" s="155">
        <f t="shared" si="203"/>
        <v>297</v>
      </c>
      <c r="N190" s="151">
        <f t="shared" si="212"/>
        <v>0</v>
      </c>
      <c r="O190" s="80">
        <f>207.9518+3.6574-8.9284</f>
        <v>202.68079999999998</v>
      </c>
      <c r="P190" s="78">
        <f>1.0375+0.05+0.1-4.8449+36.6666</f>
        <v>33.0092</v>
      </c>
      <c r="Q190" s="80">
        <f t="shared" si="204"/>
        <v>56.31</v>
      </c>
      <c r="R190" s="177">
        <f t="shared" si="195"/>
        <v>89.319199999999995</v>
      </c>
      <c r="S190" s="82">
        <f t="shared" si="208"/>
        <v>292</v>
      </c>
      <c r="T190" s="43">
        <f t="shared" si="136"/>
        <v>0</v>
      </c>
      <c r="U190" s="253">
        <f>229.5505+12.6796-39.206</f>
        <v>203.02409999999998</v>
      </c>
      <c r="V190" s="194">
        <f>0.7246+5-18.4042+33.3103</f>
        <v>20.630699999999997</v>
      </c>
      <c r="W190" s="191">
        <f t="shared" si="205"/>
        <v>40.345300000000002</v>
      </c>
      <c r="X190" s="191">
        <f t="shared" si="196"/>
        <v>60.975999999999999</v>
      </c>
      <c r="Y190" s="198">
        <f t="shared" si="209"/>
        <v>264.00009999999997</v>
      </c>
      <c r="Z190" s="188">
        <f t="shared" si="193"/>
        <v>3.7878787861878038E-7</v>
      </c>
      <c r="AA190" s="80">
        <f>137.4334-2.3991</f>
        <v>135.0343</v>
      </c>
      <c r="AB190" s="85">
        <f t="shared" si="145"/>
        <v>5.9657</v>
      </c>
      <c r="AC190" s="87">
        <f t="shared" si="191"/>
        <v>141</v>
      </c>
      <c r="AD190" s="172">
        <f t="shared" si="137"/>
        <v>0</v>
      </c>
      <c r="AE190" s="228">
        <f>204.266332148539+2.8342-7.06207682939004</f>
        <v>200.03845531914897</v>
      </c>
      <c r="AF190" s="220">
        <f>0.2945+3+0.1-6.2287+34.6857</f>
        <v>31.851499999999998</v>
      </c>
      <c r="AG190" s="221">
        <f t="shared" si="206"/>
        <v>39.11</v>
      </c>
      <c r="AH190" s="262">
        <f t="shared" si="197"/>
        <v>70.961500000000001</v>
      </c>
      <c r="AI190" s="222">
        <f t="shared" si="182"/>
        <v>270.99995531914897</v>
      </c>
      <c r="AJ190" s="173">
        <f t="shared" si="167"/>
        <v>-1.6487398901698924E-7</v>
      </c>
      <c r="AK190" s="229">
        <f>200.1655+23.113+0.2608-105.0885</f>
        <v>118.4508</v>
      </c>
      <c r="AL190" s="224">
        <f t="shared" si="126"/>
        <v>-0.26080000000000003</v>
      </c>
      <c r="AM190" s="224">
        <f t="shared" si="207"/>
        <v>38.81</v>
      </c>
      <c r="AN190" s="224">
        <f t="shared" si="198"/>
        <v>38.549199999999999</v>
      </c>
      <c r="AO190" s="225">
        <f t="shared" si="199"/>
        <v>157</v>
      </c>
      <c r="AP190" s="172">
        <f t="shared" si="173"/>
        <v>0</v>
      </c>
      <c r="AQ190" s="76"/>
      <c r="AR190" s="76"/>
      <c r="AS190" s="76"/>
      <c r="AT190" s="76"/>
      <c r="AU190" s="76"/>
      <c r="AV190" s="138"/>
    </row>
    <row r="191" spans="1:48" ht="15">
      <c r="A191" s="249">
        <v>42110</v>
      </c>
      <c r="B191" s="72">
        <f>3.95*100</f>
        <v>395</v>
      </c>
      <c r="C191" s="80">
        <f>209.6979-16.0553</f>
        <v>193.64260000000002</v>
      </c>
      <c r="D191" s="80">
        <f>2.78+8+7.3231+0.05+0.1+5+39.7943</f>
        <v>63.047399999999996</v>
      </c>
      <c r="E191" s="80">
        <f t="shared" si="201"/>
        <v>48.31</v>
      </c>
      <c r="F191" s="80">
        <f t="shared" si="194"/>
        <v>111.3574</v>
      </c>
      <c r="G191" s="77">
        <f t="shared" si="210"/>
        <v>305</v>
      </c>
      <c r="H191" s="43">
        <f t="shared" si="211"/>
        <v>0</v>
      </c>
      <c r="I191" s="76">
        <f>210.5406-15.0278</f>
        <v>195.51280000000003</v>
      </c>
      <c r="J191" s="76">
        <f>1.8+8+7.3231+0.05+0.1-2.6987+38.6028</f>
        <v>53.177200000000006</v>
      </c>
      <c r="K191" s="76">
        <f t="shared" si="202"/>
        <v>48.31</v>
      </c>
      <c r="L191" s="76">
        <f t="shared" si="180"/>
        <v>101.4872</v>
      </c>
      <c r="M191" s="155">
        <f t="shared" ref="M191:M196" si="213">SUM(I191:K191)</f>
        <v>297</v>
      </c>
      <c r="N191" s="151">
        <f t="shared" si="212"/>
        <v>0</v>
      </c>
      <c r="O191" s="80">
        <f>213.3773+3.6574-14.3539</f>
        <v>202.68079999999998</v>
      </c>
      <c r="P191" s="78">
        <f>1.0375+0.05+0.1-4.8449+36.6666</f>
        <v>33.0092</v>
      </c>
      <c r="Q191" s="80">
        <f t="shared" si="204"/>
        <v>56.31</v>
      </c>
      <c r="R191" s="177">
        <f t="shared" si="195"/>
        <v>89.319199999999995</v>
      </c>
      <c r="S191" s="82">
        <f t="shared" si="208"/>
        <v>292</v>
      </c>
      <c r="T191" s="43">
        <f t="shared" si="136"/>
        <v>0</v>
      </c>
      <c r="U191" s="253">
        <f>222.8458+12.6796-32.5014</f>
        <v>203.024</v>
      </c>
      <c r="V191" s="194">
        <f>0.7246+5-18.4042+33.3103</f>
        <v>20.630699999999997</v>
      </c>
      <c r="W191" s="191">
        <f t="shared" si="205"/>
        <v>40.345300000000002</v>
      </c>
      <c r="X191" s="191">
        <f t="shared" si="196"/>
        <v>60.975999999999999</v>
      </c>
      <c r="Y191" s="198">
        <f t="shared" si="209"/>
        <v>264</v>
      </c>
      <c r="Z191" s="188">
        <f t="shared" si="193"/>
        <v>-3.787877351779656E-7</v>
      </c>
      <c r="AA191" s="80">
        <f>143.4899-8.4556</f>
        <v>135.0343</v>
      </c>
      <c r="AB191" s="85">
        <f t="shared" si="145"/>
        <v>5.9657</v>
      </c>
      <c r="AC191" s="87">
        <f t="shared" si="191"/>
        <v>141</v>
      </c>
      <c r="AD191" s="172">
        <f t="shared" si="137"/>
        <v>0</v>
      </c>
      <c r="AE191" s="228">
        <f>210.54064785318+2.8342-13.3363925340311</f>
        <v>200.03845531914891</v>
      </c>
      <c r="AF191" s="220">
        <f>0.2945+3+0.1-6.2287+34.6857</f>
        <v>31.851499999999998</v>
      </c>
      <c r="AG191" s="221">
        <f t="shared" si="206"/>
        <v>39.11</v>
      </c>
      <c r="AH191" s="262">
        <f t="shared" si="197"/>
        <v>70.961500000000001</v>
      </c>
      <c r="AI191" s="222">
        <f t="shared" si="182"/>
        <v>270.99995531914891</v>
      </c>
      <c r="AJ191" s="173">
        <f t="shared" si="167"/>
        <v>0</v>
      </c>
      <c r="AK191" s="229">
        <f>202.708+23.113+0.2608-107.631</f>
        <v>118.45079999999999</v>
      </c>
      <c r="AL191" s="224">
        <f t="shared" si="126"/>
        <v>-0.26080000000000003</v>
      </c>
      <c r="AM191" s="224">
        <f t="shared" si="207"/>
        <v>38.81</v>
      </c>
      <c r="AN191" s="224">
        <f t="shared" si="198"/>
        <v>38.549199999999999</v>
      </c>
      <c r="AO191" s="225">
        <f t="shared" si="199"/>
        <v>157</v>
      </c>
      <c r="AP191" s="172">
        <f t="shared" si="173"/>
        <v>0</v>
      </c>
      <c r="AQ191" s="76"/>
      <c r="AR191" s="76"/>
      <c r="AS191" s="76"/>
      <c r="AT191" s="76"/>
      <c r="AU191" s="76"/>
      <c r="AV191" s="138"/>
    </row>
    <row r="192" spans="1:48" ht="15">
      <c r="A192" s="249">
        <v>42125</v>
      </c>
      <c r="B192" s="72">
        <f>3.95*100</f>
        <v>395</v>
      </c>
      <c r="C192" s="80">
        <f>221.3463-27.7037</f>
        <v>193.64260000000002</v>
      </c>
      <c r="D192" s="80">
        <f>2.78+8+7.3231+0.05+0.1+5+39.7943</f>
        <v>63.047399999999996</v>
      </c>
      <c r="E192" s="80">
        <f t="shared" si="201"/>
        <v>48.31</v>
      </c>
      <c r="F192" s="80">
        <f t="shared" si="194"/>
        <v>111.3574</v>
      </c>
      <c r="G192" s="77">
        <f t="shared" si="210"/>
        <v>305</v>
      </c>
      <c r="H192" s="43">
        <f t="shared" si="211"/>
        <v>0</v>
      </c>
      <c r="I192" s="76">
        <f>222.8282-27.3154</f>
        <v>195.5128</v>
      </c>
      <c r="J192" s="76">
        <f>1.8+8+7.3231+0.05+0.1-2.6987+38.6028</f>
        <v>53.177200000000006</v>
      </c>
      <c r="K192" s="76">
        <f t="shared" si="202"/>
        <v>48.31</v>
      </c>
      <c r="L192" s="76">
        <f t="shared" si="180"/>
        <v>101.4872</v>
      </c>
      <c r="M192" s="155">
        <f t="shared" si="213"/>
        <v>297</v>
      </c>
      <c r="N192" s="151">
        <f t="shared" si="212"/>
        <v>0</v>
      </c>
      <c r="O192" s="80">
        <f>222.7646+3.6574-23.7412</f>
        <v>202.6808</v>
      </c>
      <c r="P192" s="78">
        <f>1.0375+0.05+0.1-4.8449+36.6666</f>
        <v>33.0092</v>
      </c>
      <c r="Q192" s="80">
        <f t="shared" si="204"/>
        <v>56.31</v>
      </c>
      <c r="R192" s="177">
        <f t="shared" si="195"/>
        <v>89.319199999999995</v>
      </c>
      <c r="S192" s="82">
        <f t="shared" si="208"/>
        <v>292</v>
      </c>
      <c r="T192" s="43">
        <f t="shared" si="136"/>
        <v>0</v>
      </c>
      <c r="U192" s="253">
        <f>221.8518+12.6796-31.5073</f>
        <v>203.02409999999998</v>
      </c>
      <c r="V192" s="194">
        <f>0.7246+5-18.4042+33.3103</f>
        <v>20.630699999999997</v>
      </c>
      <c r="W192" s="191">
        <f t="shared" si="205"/>
        <v>40.345300000000002</v>
      </c>
      <c r="X192" s="191">
        <f t="shared" si="196"/>
        <v>60.975999999999999</v>
      </c>
      <c r="Y192" s="198">
        <f t="shared" si="209"/>
        <v>264.00009999999997</v>
      </c>
      <c r="Z192" s="188">
        <f t="shared" si="193"/>
        <v>3.7878787861878038E-7</v>
      </c>
      <c r="AA192" s="80">
        <f>155.224-20.1897</f>
        <v>135.0343</v>
      </c>
      <c r="AB192" s="85">
        <f t="shared" si="145"/>
        <v>5.9657</v>
      </c>
      <c r="AC192" s="87">
        <f t="shared" si="191"/>
        <v>141</v>
      </c>
      <c r="AD192" s="172">
        <f t="shared" si="137"/>
        <v>0</v>
      </c>
      <c r="AE192" s="228">
        <f>222.828223891569+2.8342-25.6239685724204</f>
        <v>200.0384553191486</v>
      </c>
      <c r="AF192" s="220">
        <f>0.2945+3+0.1-6.2287+34.6857</f>
        <v>31.851499999999998</v>
      </c>
      <c r="AG192" s="221">
        <f t="shared" si="206"/>
        <v>39.11</v>
      </c>
      <c r="AH192" s="262">
        <f t="shared" si="197"/>
        <v>70.961500000000001</v>
      </c>
      <c r="AI192" s="222">
        <f>AE192+AH192</f>
        <v>270.99995531914863</v>
      </c>
      <c r="AJ192" s="173">
        <f t="shared" si="167"/>
        <v>-9.9920072216264089E-16</v>
      </c>
      <c r="AK192" s="229">
        <f>213.9681+23.113+0.2608-118.8911</f>
        <v>118.45079999999999</v>
      </c>
      <c r="AL192" s="224">
        <f t="shared" si="126"/>
        <v>-0.26080000000000003</v>
      </c>
      <c r="AM192" s="224">
        <f t="shared" si="207"/>
        <v>38.81</v>
      </c>
      <c r="AN192" s="224">
        <f t="shared" si="198"/>
        <v>38.549199999999999</v>
      </c>
      <c r="AO192" s="225">
        <f t="shared" si="199"/>
        <v>157</v>
      </c>
      <c r="AP192" s="172">
        <f t="shared" si="173"/>
        <v>0</v>
      </c>
      <c r="AQ192" s="76"/>
      <c r="AR192" s="76"/>
      <c r="AS192" s="76"/>
      <c r="AT192" s="76"/>
      <c r="AU192" s="76"/>
      <c r="AV192" s="138"/>
    </row>
    <row r="193" spans="1:48" ht="15">
      <c r="A193" s="249">
        <v>42140</v>
      </c>
      <c r="B193" s="72">
        <f>3.95*100</f>
        <v>395</v>
      </c>
      <c r="C193" s="80">
        <f>230.991190362667-37.3485456818155</f>
        <v>193.6426446808515</v>
      </c>
      <c r="D193" s="80">
        <f>2.78+8+7.3231+0.05+0.1+5+39.7943</f>
        <v>63.047399999999996</v>
      </c>
      <c r="E193" s="80">
        <f>6.5+3+1+10+16.67+11.14</f>
        <v>48.31</v>
      </c>
      <c r="F193" s="80">
        <f>D193+E193</f>
        <v>111.3574</v>
      </c>
      <c r="G193" s="77">
        <f t="shared" si="210"/>
        <v>305.00004468085149</v>
      </c>
      <c r="H193" s="43">
        <f t="shared" si="211"/>
        <v>1.464945951212826E-7</v>
      </c>
      <c r="I193" s="76">
        <f>234.059771173622-38.5469371310692</f>
        <v>195.51283404255281</v>
      </c>
      <c r="J193" s="76">
        <f>1.8+8+7.3231+0.05+0.1-2.6987+38.6028</f>
        <v>53.177200000000006</v>
      </c>
      <c r="K193" s="76">
        <f t="shared" si="202"/>
        <v>48.31</v>
      </c>
      <c r="L193" s="76">
        <f t="shared" si="180"/>
        <v>101.4872</v>
      </c>
      <c r="M193" s="155">
        <f t="shared" si="213"/>
        <v>297.00003404255278</v>
      </c>
      <c r="N193" s="151">
        <f t="shared" si="212"/>
        <v>1.1462138993501014E-7</v>
      </c>
      <c r="O193" s="80">
        <f>231.9662+3.6574-32.9428</f>
        <v>202.68079999999998</v>
      </c>
      <c r="P193" s="78">
        <f>1.0375+0.05+0.1-4.8449+36.6666</f>
        <v>33.0092</v>
      </c>
      <c r="Q193" s="80">
        <f t="shared" si="204"/>
        <v>56.31</v>
      </c>
      <c r="R193" s="177">
        <f t="shared" si="195"/>
        <v>89.319199999999995</v>
      </c>
      <c r="S193" s="82">
        <f t="shared" si="208"/>
        <v>292</v>
      </c>
      <c r="T193" s="43">
        <f t="shared" si="136"/>
        <v>0</v>
      </c>
      <c r="U193" s="253">
        <f>229.6925+12.6796-39.3481</f>
        <v>203.024</v>
      </c>
      <c r="V193" s="194">
        <f>0.7246+5-18.4042+33.3103</f>
        <v>20.630699999999997</v>
      </c>
      <c r="W193" s="191">
        <f t="shared" si="205"/>
        <v>40.345300000000002</v>
      </c>
      <c r="X193" s="191">
        <f t="shared" si="196"/>
        <v>60.975999999999999</v>
      </c>
      <c r="Y193" s="198">
        <f t="shared" si="209"/>
        <v>264</v>
      </c>
      <c r="Z193" s="188">
        <f t="shared" si="193"/>
        <v>-3.787877351779656E-7</v>
      </c>
      <c r="AA193" s="80">
        <f>163.3412-28.3069</f>
        <v>135.03429999999997</v>
      </c>
      <c r="AB193" s="85">
        <f t="shared" si="145"/>
        <v>5.9657</v>
      </c>
      <c r="AC193" s="87">
        <f t="shared" si="191"/>
        <v>140.99999999999997</v>
      </c>
      <c r="AD193" s="172">
        <f t="shared" si="137"/>
        <v>0</v>
      </c>
      <c r="AE193" s="228">
        <f>234.0598+2.8342-36.8555</f>
        <v>200.0385</v>
      </c>
      <c r="AF193" s="220">
        <f>0.2945+3+0.1-6.2287+34.6857</f>
        <v>31.851499999999998</v>
      </c>
      <c r="AG193" s="221">
        <f t="shared" si="206"/>
        <v>39.11</v>
      </c>
      <c r="AH193" s="262">
        <f t="shared" si="197"/>
        <v>70.961500000000001</v>
      </c>
      <c r="AI193" s="222">
        <f>AE193+AH193</f>
        <v>271</v>
      </c>
      <c r="AJ193" s="173">
        <f>AI193/AI192-1</f>
        <v>1.6487401754972097E-7</v>
      </c>
      <c r="AK193" s="229">
        <f>223.2915+23.113+0.2608-128.7145</f>
        <v>117.95080000000002</v>
      </c>
      <c r="AL193" s="224">
        <f t="shared" si="126"/>
        <v>-0.26080000000000003</v>
      </c>
      <c r="AM193" s="224">
        <f>1.5+10+16.37+11.14+0.3</f>
        <v>39.31</v>
      </c>
      <c r="AN193" s="224">
        <f t="shared" si="198"/>
        <v>39.049199999999999</v>
      </c>
      <c r="AO193" s="225">
        <f t="shared" si="199"/>
        <v>157</v>
      </c>
      <c r="AP193" s="172">
        <f t="shared" si="173"/>
        <v>0</v>
      </c>
      <c r="AQ193" s="76"/>
      <c r="AR193" s="76"/>
      <c r="AS193" s="76"/>
      <c r="AT193" s="76"/>
      <c r="AU193" s="76"/>
      <c r="AV193" s="138"/>
    </row>
    <row r="194" spans="1:48" ht="15">
      <c r="A194" s="249">
        <v>42141</v>
      </c>
      <c r="B194" s="72">
        <f>3.95*100</f>
        <v>395</v>
      </c>
      <c r="C194" s="80">
        <f>230.9912-14.0188</f>
        <v>216.97239999999999</v>
      </c>
      <c r="D194" s="80">
        <f>2.78+8+7.3231+0.05+0.1+5+43.9645</f>
        <v>67.217600000000004</v>
      </c>
      <c r="E194" s="80">
        <f>6.5+3+1.5+10+16.67+11.14</f>
        <v>48.81</v>
      </c>
      <c r="F194" s="80">
        <f>D194+E194</f>
        <v>116.02760000000001</v>
      </c>
      <c r="G194" s="77">
        <f t="shared" si="210"/>
        <v>333</v>
      </c>
      <c r="H194" s="43">
        <f t="shared" si="211"/>
        <v>9.1803118745268808E-2</v>
      </c>
      <c r="I194" s="76">
        <f>234.0598-16.0682</f>
        <v>217.99160000000001</v>
      </c>
      <c r="J194" s="76">
        <f>1.8+8+7.3231+0.05+0.1-2.6987+42.624</f>
        <v>57.198400000000007</v>
      </c>
      <c r="K194" s="76">
        <f>6.5+3+1.5+10+16.67+11.14</f>
        <v>48.81</v>
      </c>
      <c r="L194" s="76">
        <f t="shared" si="180"/>
        <v>106.00840000000001</v>
      </c>
      <c r="M194" s="155">
        <f t="shared" si="213"/>
        <v>324</v>
      </c>
      <c r="N194" s="151">
        <f t="shared" si="212"/>
        <v>9.0908965867589009E-2</v>
      </c>
      <c r="O194" s="80">
        <f>231.9662+3.6574-10.4641</f>
        <v>225.15949999999998</v>
      </c>
      <c r="P194" s="78">
        <f>1.0375+0.05+0.1-4.8449+40.6879</f>
        <v>37.030499999999996</v>
      </c>
      <c r="Q194" s="80">
        <f>6.5+3+1.5+11+16.67+11.14+7</f>
        <v>56.81</v>
      </c>
      <c r="R194" s="177">
        <f t="shared" si="195"/>
        <v>93.840499999999992</v>
      </c>
      <c r="S194" s="82">
        <f>SUM(O194:Q194)</f>
        <v>319</v>
      </c>
      <c r="T194" s="43">
        <f t="shared" si="136"/>
        <v>9.2465753424657571E-2</v>
      </c>
      <c r="U194" s="253">
        <f>229.6925+12.6796-18.9225</f>
        <v>223.44959999999998</v>
      </c>
      <c r="V194" s="194">
        <f>0.7246+5-18.4042+36.8847</f>
        <v>24.205100000000002</v>
      </c>
      <c r="W194" s="191">
        <f t="shared" si="205"/>
        <v>40.345300000000002</v>
      </c>
      <c r="X194" s="191">
        <f t="shared" si="196"/>
        <v>64.550399999999996</v>
      </c>
      <c r="Y194" s="198">
        <f t="shared" si="209"/>
        <v>288</v>
      </c>
      <c r="Z194" s="188">
        <f t="shared" si="193"/>
        <v>9.0909090909090828E-2</v>
      </c>
      <c r="AA194" s="80">
        <f>163.3412-28.3069</f>
        <v>135.03429999999997</v>
      </c>
      <c r="AB194" s="85">
        <f t="shared" si="145"/>
        <v>5.9657</v>
      </c>
      <c r="AC194" s="87">
        <f t="shared" si="191"/>
        <v>140.99999999999997</v>
      </c>
      <c r="AD194" s="172">
        <f t="shared" si="137"/>
        <v>0</v>
      </c>
      <c r="AE194" s="228">
        <f>234.0598+2.8342-16.0789</f>
        <v>220.8151</v>
      </c>
      <c r="AF194" s="220">
        <f>0.2945+3+0.1-6.2287+38.4091</f>
        <v>35.5749</v>
      </c>
      <c r="AG194" s="221">
        <f>1.5+10+16.67+11.14+0.3</f>
        <v>39.61</v>
      </c>
      <c r="AH194" s="262">
        <f t="shared" si="197"/>
        <v>75.184899999999999</v>
      </c>
      <c r="AI194" s="222">
        <f>AE194+AH194</f>
        <v>296</v>
      </c>
      <c r="AJ194" s="173">
        <f t="shared" si="167"/>
        <v>9.2250922509225175E-2</v>
      </c>
      <c r="AK194" s="229">
        <f>223.2915+23.113+0.2608-128.7145</f>
        <v>117.95080000000002</v>
      </c>
      <c r="AL194" s="224">
        <f t="shared" si="126"/>
        <v>-0.26080000000000003</v>
      </c>
      <c r="AM194" s="224">
        <f>1.5+10+16.37+11.14+0.3</f>
        <v>39.31</v>
      </c>
      <c r="AN194" s="224">
        <f t="shared" si="198"/>
        <v>39.049199999999999</v>
      </c>
      <c r="AO194" s="225">
        <f t="shared" si="199"/>
        <v>157</v>
      </c>
      <c r="AP194" s="172">
        <f t="shared" si="173"/>
        <v>0</v>
      </c>
      <c r="AQ194" s="76"/>
      <c r="AR194" s="76"/>
      <c r="AS194" s="76"/>
      <c r="AT194" s="76"/>
      <c r="AU194" s="76"/>
      <c r="AV194" s="138"/>
    </row>
    <row r="195" spans="1:48" ht="15">
      <c r="A195" s="249">
        <v>42156</v>
      </c>
      <c r="B195" s="72">
        <f>4.19*100</f>
        <v>419.00000000000006</v>
      </c>
      <c r="C195" s="80">
        <f>247.1331-30.1607</f>
        <v>216.97240000000002</v>
      </c>
      <c r="D195" s="80">
        <f>2.78+8+7.3231+0.05+0.1+5+43.9645</f>
        <v>67.217600000000004</v>
      </c>
      <c r="E195" s="80">
        <f>6.5+3+1.5+10+16.67+11.14</f>
        <v>48.81</v>
      </c>
      <c r="F195" s="80">
        <f t="shared" si="194"/>
        <v>116.02760000000001</v>
      </c>
      <c r="G195" s="77">
        <f>SUM(C195:E195)</f>
        <v>333.00000000000006</v>
      </c>
      <c r="H195" s="43">
        <f t="shared" si="211"/>
        <v>0</v>
      </c>
      <c r="I195" s="76">
        <f>250.7949-32.8034</f>
        <v>217.9915</v>
      </c>
      <c r="J195" s="76">
        <f>1.8+8+7.3231+0.05+0.1-2.6987+42.624</f>
        <v>57.198400000000007</v>
      </c>
      <c r="K195" s="76">
        <f>6.5+3+1.5+10+16.67+11.14</f>
        <v>48.81</v>
      </c>
      <c r="L195" s="76">
        <f t="shared" si="180"/>
        <v>106.00840000000001</v>
      </c>
      <c r="M195" s="155">
        <f t="shared" si="213"/>
        <v>323.99990000000003</v>
      </c>
      <c r="N195" s="151">
        <f t="shared" si="212"/>
        <v>-3.0864197519964165E-7</v>
      </c>
      <c r="O195" s="80">
        <f>246.491+3.6574-24.9888</f>
        <v>225.15960000000001</v>
      </c>
      <c r="P195" s="78">
        <f>1.0375+0.05+0.1-4.8449+40.6879</f>
        <v>37.030499999999996</v>
      </c>
      <c r="Q195" s="80">
        <f>6.5+3+1.5+11+16.67+11.14+7</f>
        <v>56.81</v>
      </c>
      <c r="R195" s="177">
        <f t="shared" si="195"/>
        <v>93.840499999999992</v>
      </c>
      <c r="S195" s="82">
        <f t="shared" si="208"/>
        <v>319.00010000000003</v>
      </c>
      <c r="T195" s="43">
        <f t="shared" si="136"/>
        <v>3.1347962381467198E-7</v>
      </c>
      <c r="U195" s="253">
        <f>230.9109+12.6796-20.1409</f>
        <v>223.4496</v>
      </c>
      <c r="V195" s="194">
        <f>0.7246+5-18.4042+36.8847</f>
        <v>24.205100000000002</v>
      </c>
      <c r="W195" s="191">
        <f t="shared" si="205"/>
        <v>40.345300000000002</v>
      </c>
      <c r="X195" s="191">
        <f t="shared" si="196"/>
        <v>64.550399999999996</v>
      </c>
      <c r="Y195" s="198">
        <f t="shared" si="209"/>
        <v>288</v>
      </c>
      <c r="Z195" s="188">
        <f t="shared" si="193"/>
        <v>0</v>
      </c>
      <c r="AA195" s="80">
        <f>171.2728-36.2385</f>
        <v>135.03429999999997</v>
      </c>
      <c r="AB195" s="85">
        <f t="shared" si="145"/>
        <v>5.9657</v>
      </c>
      <c r="AC195" s="87">
        <f t="shared" si="191"/>
        <v>140.99999999999997</v>
      </c>
      <c r="AD195" s="172">
        <f t="shared" si="137"/>
        <v>0</v>
      </c>
      <c r="AE195" s="228">
        <f>250.7949+2.8342-32.8141</f>
        <v>220.81500000000003</v>
      </c>
      <c r="AF195" s="220">
        <f>0.2945+3+0.1-6.2287+38.4091</f>
        <v>35.5749</v>
      </c>
      <c r="AG195" s="221">
        <f>1.5+10+16.67+11.14+0.3</f>
        <v>39.61</v>
      </c>
      <c r="AH195" s="262">
        <f t="shared" si="197"/>
        <v>75.184899999999999</v>
      </c>
      <c r="AI195" s="222">
        <f>AE195+AH195</f>
        <v>295.99990000000003</v>
      </c>
      <c r="AJ195" s="173">
        <f t="shared" si="167"/>
        <v>-3.3783783770502396E-7</v>
      </c>
      <c r="AK195" s="229">
        <f>238.8954+23.113+0.2608-144.3184</f>
        <v>117.95080000000002</v>
      </c>
      <c r="AL195" s="224">
        <f t="shared" si="126"/>
        <v>-0.26080000000000003</v>
      </c>
      <c r="AM195" s="224">
        <f>1.5+10+16.37+11.14+0.3</f>
        <v>39.31</v>
      </c>
      <c r="AN195" s="224">
        <f t="shared" si="198"/>
        <v>39.049199999999999</v>
      </c>
      <c r="AO195" s="225">
        <f t="shared" si="199"/>
        <v>157</v>
      </c>
      <c r="AP195" s="172">
        <f t="shared" si="173"/>
        <v>0</v>
      </c>
      <c r="AQ195" s="76"/>
      <c r="AR195" s="76"/>
      <c r="AS195" s="76"/>
      <c r="AT195" s="76"/>
      <c r="AU195" s="76"/>
      <c r="AV195" s="138"/>
    </row>
    <row r="196" spans="1:48" ht="15">
      <c r="A196" s="249">
        <v>42171</v>
      </c>
      <c r="B196" s="72">
        <f>4.5215*100</f>
        <v>452.15</v>
      </c>
      <c r="C196" s="80">
        <f>269.5123-37.2037</f>
        <v>232.30859999999998</v>
      </c>
      <c r="D196" s="80">
        <f>2.78+8+7.3231+0.05+0.1+5+46.2983</f>
        <v>69.551400000000001</v>
      </c>
      <c r="E196" s="80">
        <f>4.5+3+1.5+9+16+11.14</f>
        <v>45.14</v>
      </c>
      <c r="F196" s="80">
        <f t="shared" si="194"/>
        <v>114.6914</v>
      </c>
      <c r="G196" s="77">
        <f>SUM(C196:E196)</f>
        <v>347</v>
      </c>
      <c r="H196" s="43">
        <f t="shared" si="211"/>
        <v>4.2042042042041761E-2</v>
      </c>
      <c r="I196" s="76">
        <f>260.5966-28.12</f>
        <v>232.47660000000002</v>
      </c>
      <c r="J196" s="76">
        <f>1.8+8+7.3231+0.05+0.1-2.6987+44.8089</f>
        <v>59.383300000000006</v>
      </c>
      <c r="K196" s="76">
        <f>4.5+3+1.5+9+16+11.14</f>
        <v>45.14</v>
      </c>
      <c r="L196" s="76">
        <f t="shared" si="180"/>
        <v>104.52330000000001</v>
      </c>
      <c r="M196" s="155">
        <f t="shared" si="213"/>
        <v>336.99990000000003</v>
      </c>
      <c r="N196" s="151">
        <f t="shared" si="212"/>
        <v>4.0123469173910298E-2</v>
      </c>
      <c r="O196" s="80">
        <f>259.1923+3.6574-23.2051</f>
        <v>239.64459999999997</v>
      </c>
      <c r="P196" s="78">
        <f>1.0375+0.05+0.1-4.8449+42.8728</f>
        <v>39.215399999999995</v>
      </c>
      <c r="Q196" s="80">
        <f>4.5+3+1.5+10+16+11.14+7</f>
        <v>53.14</v>
      </c>
      <c r="R196" s="177">
        <f t="shared" si="195"/>
        <v>92.355400000000003</v>
      </c>
      <c r="S196" s="82">
        <f t="shared" si="208"/>
        <v>331.99999999999994</v>
      </c>
      <c r="T196" s="43">
        <f t="shared" si="136"/>
        <v>4.075202484262519E-2</v>
      </c>
      <c r="U196" s="253">
        <f>242.748+12.6796-20.9142</f>
        <v>234.51339999999999</v>
      </c>
      <c r="V196" s="194">
        <f>0.7246+5-18.4042+38.8209</f>
        <v>26.141300000000001</v>
      </c>
      <c r="W196" s="191">
        <f>11+10.595+7.975+4.7753+5</f>
        <v>39.345300000000002</v>
      </c>
      <c r="X196" s="191">
        <f t="shared" si="196"/>
        <v>65.48660000000001</v>
      </c>
      <c r="Y196" s="198">
        <f t="shared" si="209"/>
        <v>300</v>
      </c>
      <c r="Z196" s="188">
        <f t="shared" si="193"/>
        <v>4.1666666666666741E-2</v>
      </c>
      <c r="AA196" s="80">
        <f>179.0963-44.062</f>
        <v>135.03430000000003</v>
      </c>
      <c r="AB196" s="85">
        <f t="shared" si="145"/>
        <v>5.9657</v>
      </c>
      <c r="AC196" s="87">
        <f t="shared" si="191"/>
        <v>141.00000000000003</v>
      </c>
      <c r="AD196" s="172">
        <f t="shared" si="137"/>
        <v>0</v>
      </c>
      <c r="AE196" s="228">
        <f>260.5966+2.8342-30.9817</f>
        <v>232.44910000000004</v>
      </c>
      <c r="AF196" s="220">
        <f>0.2945+3+0.1-6.2287+40.4451</f>
        <v>37.610899999999994</v>
      </c>
      <c r="AG196" s="221">
        <f>1.5+9+16+11.14+0.3</f>
        <v>37.94</v>
      </c>
      <c r="AH196" s="262">
        <f t="shared" si="197"/>
        <v>75.550899999999984</v>
      </c>
      <c r="AI196" s="222">
        <f>AE196+AH196</f>
        <v>308</v>
      </c>
      <c r="AJ196" s="173">
        <f t="shared" si="167"/>
        <v>4.0540892074625523E-2</v>
      </c>
      <c r="AK196" s="229">
        <f>260.5286+23.113+0.2608-164.2816</f>
        <v>119.6208</v>
      </c>
      <c r="AL196" s="224">
        <f t="shared" si="126"/>
        <v>-0.26080000000000003</v>
      </c>
      <c r="AM196" s="224">
        <f>1.5+9+15.7+11.14+0.3</f>
        <v>37.64</v>
      </c>
      <c r="AN196" s="224">
        <f t="shared" si="198"/>
        <v>37.379199999999997</v>
      </c>
      <c r="AO196" s="225">
        <f t="shared" si="199"/>
        <v>157</v>
      </c>
      <c r="AP196" s="172">
        <f t="shared" si="173"/>
        <v>0</v>
      </c>
      <c r="AQ196" s="76"/>
      <c r="AR196" s="76"/>
      <c r="AS196" s="76"/>
      <c r="AT196" s="76"/>
      <c r="AU196" s="76"/>
      <c r="AV196" s="138"/>
    </row>
    <row r="197" spans="1:48" ht="15">
      <c r="A197" s="249"/>
      <c r="B197" s="232"/>
      <c r="C197" s="80"/>
      <c r="D197" s="80"/>
      <c r="E197" s="80"/>
      <c r="F197" s="80"/>
      <c r="G197" s="77"/>
      <c r="H197" s="62"/>
      <c r="I197" s="76"/>
      <c r="J197" s="76"/>
      <c r="K197" s="76"/>
      <c r="L197" s="76"/>
      <c r="M197" s="155"/>
      <c r="N197" s="138"/>
      <c r="O197" s="80"/>
      <c r="P197" s="78"/>
      <c r="Q197" s="80"/>
      <c r="R197" s="177"/>
      <c r="S197" s="82"/>
      <c r="T197" s="62"/>
      <c r="U197" s="253"/>
      <c r="V197" s="194"/>
      <c r="W197" s="191"/>
      <c r="X197" s="191"/>
      <c r="Y197" s="198"/>
      <c r="Z197" s="189"/>
      <c r="AA197" s="80"/>
      <c r="AB197" s="85"/>
      <c r="AC197" s="87"/>
      <c r="AD197" s="254"/>
      <c r="AE197" s="228"/>
      <c r="AF197" s="220"/>
      <c r="AG197" s="221"/>
      <c r="AH197" s="262"/>
      <c r="AI197" s="222"/>
      <c r="AJ197" s="227"/>
      <c r="AK197" s="229"/>
      <c r="AL197" s="224"/>
      <c r="AM197" s="266"/>
      <c r="AN197" s="224"/>
      <c r="AO197" s="225"/>
      <c r="AP197" s="254"/>
      <c r="AQ197" s="76"/>
      <c r="AR197" s="76"/>
      <c r="AS197" s="76"/>
      <c r="AT197" s="76"/>
      <c r="AU197" s="76"/>
      <c r="AV197" s="138"/>
    </row>
    <row r="198" spans="1:48" ht="15">
      <c r="A198" s="249"/>
      <c r="B198" s="232"/>
      <c r="C198" s="80"/>
      <c r="D198" s="80"/>
      <c r="E198" s="80"/>
      <c r="F198" s="80"/>
      <c r="G198" s="80"/>
      <c r="H198" s="62"/>
      <c r="I198" s="76"/>
      <c r="J198" s="76"/>
      <c r="K198" s="76"/>
      <c r="L198" s="76"/>
      <c r="M198" s="76"/>
      <c r="N198" s="138"/>
      <c r="O198" s="80"/>
      <c r="P198" s="78"/>
      <c r="Q198" s="80"/>
      <c r="R198" s="177"/>
      <c r="S198" s="80"/>
      <c r="T198" s="62"/>
      <c r="U198" s="253"/>
      <c r="V198" s="194"/>
      <c r="W198" s="191"/>
      <c r="X198" s="191"/>
      <c r="Y198" s="198"/>
      <c r="Z198" s="189"/>
      <c r="AA198" s="80"/>
      <c r="AB198" s="85"/>
      <c r="AC198" s="87"/>
      <c r="AD198" s="254"/>
      <c r="AE198" s="228"/>
      <c r="AF198" s="220"/>
      <c r="AG198" s="221"/>
      <c r="AH198" s="221"/>
      <c r="AI198" s="222"/>
      <c r="AJ198" s="227"/>
      <c r="AK198" s="229"/>
      <c r="AL198" s="224"/>
      <c r="AM198" s="224"/>
      <c r="AN198" s="224"/>
      <c r="AO198" s="225"/>
      <c r="AP198" s="254"/>
      <c r="AQ198" s="76"/>
      <c r="AR198" s="76"/>
      <c r="AS198" s="76"/>
      <c r="AT198" s="76"/>
      <c r="AU198" s="76"/>
      <c r="AV198" s="138"/>
    </row>
    <row r="199" spans="1:48" ht="29.25" customHeight="1">
      <c r="C199" s="411" t="s">
        <v>35</v>
      </c>
      <c r="D199" s="411"/>
      <c r="E199" s="411"/>
      <c r="F199" s="411"/>
      <c r="G199" s="411"/>
      <c r="H199" s="411"/>
      <c r="I199" s="411"/>
      <c r="J199" s="411"/>
      <c r="K199" s="411"/>
      <c r="L199" s="411"/>
      <c r="M199" s="411"/>
      <c r="N199" s="411"/>
      <c r="O199" s="411"/>
    </row>
    <row r="200" spans="1:48" ht="24.75" customHeight="1">
      <c r="C200" s="411"/>
      <c r="D200" s="411"/>
      <c r="E200" s="411"/>
      <c r="F200" s="411"/>
      <c r="G200" s="411"/>
      <c r="H200" s="411"/>
      <c r="I200" s="411"/>
      <c r="J200" s="411"/>
      <c r="K200" s="411"/>
      <c r="L200" s="411"/>
      <c r="M200" s="411"/>
      <c r="N200" s="411"/>
      <c r="O200" s="411"/>
    </row>
  </sheetData>
  <mergeCells count="7">
    <mergeCell ref="C199:O200"/>
    <mergeCell ref="AE6:AJ6"/>
    <mergeCell ref="AK6:AP6"/>
    <mergeCell ref="AQ6:AV6"/>
    <mergeCell ref="C6:G6"/>
    <mergeCell ref="U6:Z6"/>
    <mergeCell ref="AA6:AD6"/>
  </mergeCells>
  <pageMargins left="0.7" right="0.7" top="0.75" bottom="0.75" header="0.3" footer="0.3"/>
  <pageSetup scale="38" orientation="portrait" r:id="rId1"/>
  <colBreaks count="1" manualBreakCount="1">
    <brk id="14" max="10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228"/>
  <sheetViews>
    <sheetView tabSelected="1" workbookViewId="0">
      <pane xSplit="2" ySplit="7" topLeftCell="C207" activePane="bottomRight" state="frozen"/>
      <selection pane="bottomRight" activeCell="O225" sqref="O225"/>
      <selection pane="bottomLeft" activeCell="A8" sqref="A8"/>
      <selection pane="topRight" activeCell="C1" sqref="C1"/>
    </sheetView>
  </sheetViews>
  <sheetFormatPr defaultColWidth="14" defaultRowHeight="14.25"/>
  <cols>
    <col min="1" max="1" width="14" style="268"/>
    <col min="2" max="2" width="18.140625" style="268" bestFit="1" customWidth="1"/>
    <col min="3" max="3" width="14.28515625" style="268" customWidth="1"/>
    <col min="4" max="4" width="14.28515625" style="268" bestFit="1" customWidth="1"/>
    <col min="5" max="5" width="12.42578125" style="268" bestFit="1" customWidth="1"/>
    <col min="6" max="6" width="14" style="268" customWidth="1"/>
    <col min="7" max="7" width="15" style="268" bestFit="1" customWidth="1"/>
    <col min="8" max="8" width="13.85546875" style="268" customWidth="1"/>
    <col min="9" max="9" width="14.85546875" style="268" bestFit="1" customWidth="1"/>
    <col min="10" max="10" width="14.28515625" style="268" bestFit="1" customWidth="1"/>
    <col min="11" max="11" width="18.85546875" style="268" customWidth="1"/>
    <col min="12" max="12" width="17.7109375" style="268" customWidth="1"/>
    <col min="13" max="15" width="14" style="268"/>
    <col min="16" max="16" width="16.42578125" style="268" bestFit="1" customWidth="1"/>
    <col min="17" max="19" width="14" style="268"/>
    <col min="20" max="20" width="15.7109375" style="268" bestFit="1" customWidth="1"/>
    <col min="21" max="21" width="14" style="268"/>
    <col min="22" max="22" width="16.42578125" style="268" bestFit="1" customWidth="1"/>
    <col min="23" max="16384" width="14" style="268"/>
  </cols>
  <sheetData>
    <row r="1" spans="1:27" ht="15">
      <c r="A1" s="339"/>
      <c r="B1" s="313"/>
      <c r="C1" s="340"/>
      <c r="D1" s="340"/>
      <c r="E1" s="341"/>
      <c r="F1" s="340"/>
      <c r="G1" s="340"/>
      <c r="H1" s="342"/>
      <c r="I1" s="343"/>
      <c r="J1" s="344"/>
      <c r="K1" s="343"/>
      <c r="L1" s="344"/>
    </row>
    <row r="2" spans="1:27" ht="15.75">
      <c r="A2" s="339"/>
      <c r="B2" s="313"/>
      <c r="C2" s="340"/>
      <c r="D2" s="345" t="s">
        <v>25</v>
      </c>
      <c r="E2" s="341"/>
      <c r="F2" s="340"/>
      <c r="G2" s="340"/>
      <c r="H2" s="342"/>
      <c r="I2" s="343"/>
      <c r="J2" s="344"/>
      <c r="K2" s="343"/>
      <c r="L2" s="344"/>
    </row>
    <row r="3" spans="1:27" ht="18.75" thickBot="1">
      <c r="A3" s="339"/>
      <c r="B3" s="313"/>
      <c r="C3" s="346" t="s">
        <v>36</v>
      </c>
      <c r="D3" s="340"/>
      <c r="E3" s="341"/>
      <c r="F3" s="340"/>
      <c r="G3" s="340"/>
      <c r="H3" s="342"/>
      <c r="I3" s="343"/>
      <c r="J3" s="344"/>
      <c r="K3" s="343"/>
      <c r="L3" s="344"/>
    </row>
    <row r="4" spans="1:27" ht="21" thickBot="1">
      <c r="A4" s="347" t="s">
        <v>28</v>
      </c>
      <c r="B4" s="348"/>
      <c r="C4" s="349"/>
      <c r="D4" s="350"/>
      <c r="E4" s="351"/>
      <c r="F4" s="350"/>
      <c r="G4" s="350"/>
      <c r="H4" s="352"/>
      <c r="I4" s="353"/>
      <c r="J4" s="354"/>
      <c r="K4" s="355"/>
      <c r="L4" s="354"/>
      <c r="M4" s="356"/>
      <c r="N4" s="356"/>
      <c r="O4" s="357"/>
      <c r="P4" s="358"/>
      <c r="Q4" s="356"/>
      <c r="R4" s="356"/>
      <c r="S4" s="356"/>
      <c r="T4" s="356"/>
      <c r="U4" s="357"/>
      <c r="V4" s="353"/>
      <c r="W4" s="354"/>
      <c r="X4" s="355"/>
      <c r="Y4" s="354"/>
      <c r="Z4" s="355"/>
      <c r="AA4" s="359"/>
    </row>
    <row r="5" spans="1:27" ht="18">
      <c r="A5" s="360" t="s">
        <v>5</v>
      </c>
      <c r="B5" s="361" t="s">
        <v>6</v>
      </c>
      <c r="C5" s="425" t="s">
        <v>11</v>
      </c>
      <c r="D5" s="426"/>
      <c r="E5" s="426"/>
      <c r="F5" s="427"/>
      <c r="G5" s="422" t="s">
        <v>30</v>
      </c>
      <c r="H5" s="423"/>
      <c r="I5" s="423"/>
      <c r="J5" s="423"/>
      <c r="K5" s="423"/>
      <c r="L5" s="424"/>
    </row>
    <row r="6" spans="1:27">
      <c r="A6" s="362" t="s">
        <v>12</v>
      </c>
      <c r="B6" s="363"/>
      <c r="C6" s="364" t="s">
        <v>13</v>
      </c>
      <c r="D6" s="365" t="s">
        <v>14</v>
      </c>
      <c r="E6" s="365" t="s">
        <v>19</v>
      </c>
      <c r="F6" s="366" t="s">
        <v>18</v>
      </c>
      <c r="G6" s="367" t="s">
        <v>13</v>
      </c>
      <c r="H6" s="368" t="s">
        <v>14</v>
      </c>
      <c r="I6" s="368" t="s">
        <v>15</v>
      </c>
      <c r="J6" s="368" t="s">
        <v>16</v>
      </c>
      <c r="K6" s="368" t="s">
        <v>17</v>
      </c>
      <c r="L6" s="369" t="s">
        <v>18</v>
      </c>
    </row>
    <row r="7" spans="1:27" ht="15" thickBot="1">
      <c r="A7" s="370"/>
      <c r="B7" s="371" t="s">
        <v>32</v>
      </c>
      <c r="C7" s="372" t="s">
        <v>33</v>
      </c>
      <c r="D7" s="373" t="s">
        <v>33</v>
      </c>
      <c r="E7" s="373" t="s">
        <v>33</v>
      </c>
      <c r="F7" s="374" t="s">
        <v>22</v>
      </c>
      <c r="G7" s="375" t="s">
        <v>21</v>
      </c>
      <c r="H7" s="376" t="s">
        <v>21</v>
      </c>
      <c r="I7" s="376" t="s">
        <v>21</v>
      </c>
      <c r="J7" s="376" t="s">
        <v>21</v>
      </c>
      <c r="K7" s="376" t="s">
        <v>21</v>
      </c>
      <c r="L7" s="377" t="s">
        <v>22</v>
      </c>
    </row>
    <row r="8" spans="1:27" ht="15">
      <c r="A8" s="326">
        <v>42186</v>
      </c>
      <c r="B8" s="332">
        <f>4.6508*100</f>
        <v>465.08000000000004</v>
      </c>
      <c r="C8" s="378">
        <f>183.0901-48.0558</f>
        <v>135.0343</v>
      </c>
      <c r="D8" s="378">
        <f t="shared" ref="D8:D14" si="0">3.2094+4+0.05+0.1-1.3937</f>
        <v>5.9657</v>
      </c>
      <c r="E8" s="379">
        <f t="shared" ref="E8:E25" si="1">C8+D8</f>
        <v>141</v>
      </c>
      <c r="F8" s="380"/>
      <c r="G8" s="381">
        <f>269.8337+23.113+0.2608-173.5867</f>
        <v>119.62080000000003</v>
      </c>
      <c r="H8" s="382">
        <f t="shared" ref="H8:H19" si="2">0.1-0.3608</f>
        <v>-0.26080000000000003</v>
      </c>
      <c r="I8" s="382">
        <f>1.5+9+15.7+11.14+0.3</f>
        <v>37.64</v>
      </c>
      <c r="J8" s="382">
        <f t="shared" ref="J8:J25" si="3">H8+I8</f>
        <v>37.379199999999997</v>
      </c>
      <c r="K8" s="383">
        <f t="shared" ref="K8:K25" si="4">G8+J8</f>
        <v>157.00000000000003</v>
      </c>
      <c r="L8" s="384"/>
    </row>
    <row r="9" spans="1:27" ht="15">
      <c r="A9" s="326">
        <v>42201</v>
      </c>
      <c r="B9" s="332">
        <f>4.25*100</f>
        <v>425</v>
      </c>
      <c r="C9" s="378">
        <f>157.6317-22.5974</f>
        <v>135.0343</v>
      </c>
      <c r="D9" s="378">
        <f t="shared" si="0"/>
        <v>5.9657</v>
      </c>
      <c r="E9" s="379">
        <f t="shared" si="1"/>
        <v>141</v>
      </c>
      <c r="F9" s="380">
        <f>E9/E8-1</f>
        <v>0</v>
      </c>
      <c r="G9" s="381">
        <f>253.8629+23.113+0.2608-158.2859</f>
        <v>118.95080000000004</v>
      </c>
      <c r="H9" s="382">
        <f t="shared" si="2"/>
        <v>-0.26080000000000003</v>
      </c>
      <c r="I9" s="382">
        <f>1.5+9+16.37+11.14+0.3</f>
        <v>38.31</v>
      </c>
      <c r="J9" s="382">
        <f t="shared" si="3"/>
        <v>38.049199999999999</v>
      </c>
      <c r="K9" s="383">
        <f t="shared" si="4"/>
        <v>157.00000000000006</v>
      </c>
      <c r="L9" s="384">
        <f t="shared" ref="L9:L26" si="5">K9/K8-1</f>
        <v>0</v>
      </c>
    </row>
    <row r="10" spans="1:27" ht="15">
      <c r="A10" s="326">
        <v>42217</v>
      </c>
      <c r="B10" s="332">
        <f>4.3*100</f>
        <v>430</v>
      </c>
      <c r="C10" s="378">
        <f>151.3956-16.3613</f>
        <v>135.0343</v>
      </c>
      <c r="D10" s="378">
        <f t="shared" si="0"/>
        <v>5.9657</v>
      </c>
      <c r="E10" s="379">
        <f t="shared" si="1"/>
        <v>141</v>
      </c>
      <c r="F10" s="380">
        <f>E10/E9-1</f>
        <v>0</v>
      </c>
      <c r="G10" s="381">
        <f>242.9142+23.113+0.2608-147.3372</f>
        <v>118.95080000000002</v>
      </c>
      <c r="H10" s="382">
        <f t="shared" si="2"/>
        <v>-0.26080000000000003</v>
      </c>
      <c r="I10" s="382">
        <f t="shared" ref="I10:I21" si="6">1.5+9+16.37+11.14+0.3</f>
        <v>38.31</v>
      </c>
      <c r="J10" s="382">
        <f t="shared" si="3"/>
        <v>38.049199999999999</v>
      </c>
      <c r="K10" s="383">
        <f t="shared" si="4"/>
        <v>157</v>
      </c>
      <c r="L10" s="384">
        <f t="shared" si="5"/>
        <v>0</v>
      </c>
    </row>
    <row r="11" spans="1:27" ht="15">
      <c r="A11" s="326">
        <v>42232</v>
      </c>
      <c r="B11" s="332">
        <f>4.5*100</f>
        <v>450</v>
      </c>
      <c r="C11" s="378">
        <f>143.1924-8.1581</f>
        <v>135.0343</v>
      </c>
      <c r="D11" s="378">
        <f t="shared" si="0"/>
        <v>5.9657</v>
      </c>
      <c r="E11" s="379">
        <f t="shared" si="1"/>
        <v>141</v>
      </c>
      <c r="F11" s="380">
        <f>E11/E10-1</f>
        <v>0</v>
      </c>
      <c r="G11" s="381">
        <f>243.6531+23.113+0.2608-148.0761</f>
        <v>118.95080000000002</v>
      </c>
      <c r="H11" s="382">
        <f t="shared" si="2"/>
        <v>-0.26080000000000003</v>
      </c>
      <c r="I11" s="382">
        <f t="shared" si="6"/>
        <v>38.31</v>
      </c>
      <c r="J11" s="382">
        <f t="shared" si="3"/>
        <v>38.049199999999999</v>
      </c>
      <c r="K11" s="383">
        <f t="shared" si="4"/>
        <v>157</v>
      </c>
      <c r="L11" s="384">
        <f t="shared" si="5"/>
        <v>0</v>
      </c>
    </row>
    <row r="12" spans="1:27" ht="15">
      <c r="A12" s="326">
        <v>42248</v>
      </c>
      <c r="B12" s="332">
        <f>4.6*100</f>
        <v>459.99999999999994</v>
      </c>
      <c r="C12" s="378">
        <f>128.033+0.0013</f>
        <v>128.03429999999997</v>
      </c>
      <c r="D12" s="378">
        <f t="shared" si="0"/>
        <v>5.9657</v>
      </c>
      <c r="E12" s="379">
        <f t="shared" si="1"/>
        <v>133.99999999999997</v>
      </c>
      <c r="F12" s="380">
        <f>E12/E11-1</f>
        <v>-4.9645390070922168E-2</v>
      </c>
      <c r="G12" s="381">
        <f>224.528+23.113+0.2608-128.951</f>
        <v>118.95079999999999</v>
      </c>
      <c r="H12" s="382">
        <f t="shared" si="2"/>
        <v>-0.26080000000000003</v>
      </c>
      <c r="I12" s="382">
        <f t="shared" si="6"/>
        <v>38.31</v>
      </c>
      <c r="J12" s="382">
        <f t="shared" si="3"/>
        <v>38.049199999999999</v>
      </c>
      <c r="K12" s="383">
        <f t="shared" si="4"/>
        <v>157</v>
      </c>
      <c r="L12" s="384">
        <f t="shared" si="5"/>
        <v>0</v>
      </c>
    </row>
    <row r="13" spans="1:27" ht="15">
      <c r="A13" s="326">
        <v>42263</v>
      </c>
      <c r="B13" s="332">
        <f>4.6*100</f>
        <v>459.99999999999994</v>
      </c>
      <c r="C13" s="378">
        <f>131.2322+3.8021</f>
        <v>135.0343</v>
      </c>
      <c r="D13" s="378">
        <f t="shared" si="0"/>
        <v>5.9657</v>
      </c>
      <c r="E13" s="379">
        <f t="shared" si="1"/>
        <v>141</v>
      </c>
      <c r="F13" s="380">
        <f t="shared" ref="F13:F26" si="7">E13/E12-1</f>
        <v>5.2238805970149516E-2</v>
      </c>
      <c r="G13" s="381">
        <f>216.0353+23.113+0.2608-120.4583</f>
        <v>118.9508</v>
      </c>
      <c r="H13" s="382">
        <f>0.1-0.3608</f>
        <v>-0.26080000000000003</v>
      </c>
      <c r="I13" s="382">
        <f t="shared" si="6"/>
        <v>38.31</v>
      </c>
      <c r="J13" s="382">
        <f t="shared" si="3"/>
        <v>38.049199999999999</v>
      </c>
      <c r="K13" s="383">
        <f t="shared" si="4"/>
        <v>157</v>
      </c>
      <c r="L13" s="384">
        <f t="shared" si="5"/>
        <v>0</v>
      </c>
    </row>
    <row r="14" spans="1:27" ht="15">
      <c r="A14" s="326">
        <v>42278</v>
      </c>
      <c r="B14" s="332">
        <f>4.5*100</f>
        <v>450</v>
      </c>
      <c r="C14" s="378">
        <f>121.2228+0.8115</f>
        <v>122.0343</v>
      </c>
      <c r="D14" s="378">
        <f t="shared" si="0"/>
        <v>5.9657</v>
      </c>
      <c r="E14" s="379">
        <f t="shared" si="1"/>
        <v>128</v>
      </c>
      <c r="F14" s="380">
        <f t="shared" si="7"/>
        <v>-9.219858156028371E-2</v>
      </c>
      <c r="G14" s="381">
        <f>203.0492+23.113+0.2608-107.4722</f>
        <v>118.9508</v>
      </c>
      <c r="H14" s="382">
        <f t="shared" si="2"/>
        <v>-0.26080000000000003</v>
      </c>
      <c r="I14" s="382">
        <f t="shared" si="6"/>
        <v>38.31</v>
      </c>
      <c r="J14" s="382">
        <f t="shared" si="3"/>
        <v>38.049199999999999</v>
      </c>
      <c r="K14" s="383">
        <f t="shared" si="4"/>
        <v>157</v>
      </c>
      <c r="L14" s="384">
        <f t="shared" si="5"/>
        <v>0</v>
      </c>
    </row>
    <row r="15" spans="1:27" ht="15">
      <c r="A15" s="326">
        <v>42293</v>
      </c>
      <c r="B15" s="332">
        <f>4.5*100</f>
        <v>450</v>
      </c>
      <c r="C15" s="378">
        <f>126.3787+0.6556</f>
        <v>127.0343</v>
      </c>
      <c r="D15" s="378">
        <f>3.2094+4+0.05+0.1-1.3937</f>
        <v>5.9657</v>
      </c>
      <c r="E15" s="379">
        <f t="shared" si="1"/>
        <v>133</v>
      </c>
      <c r="F15" s="380">
        <f t="shared" si="7"/>
        <v>3.90625E-2</v>
      </c>
      <c r="G15" s="381">
        <f>196.608151801413+23.113+0.2608-101.031151801412</f>
        <v>118.95080000000098</v>
      </c>
      <c r="H15" s="382">
        <f t="shared" si="2"/>
        <v>-0.26080000000000003</v>
      </c>
      <c r="I15" s="382">
        <f t="shared" si="6"/>
        <v>38.31</v>
      </c>
      <c r="J15" s="382">
        <f t="shared" si="3"/>
        <v>38.049199999999999</v>
      </c>
      <c r="K15" s="383">
        <f t="shared" si="4"/>
        <v>157.00000000000097</v>
      </c>
      <c r="L15" s="384">
        <f t="shared" si="5"/>
        <v>6.2172489379008766E-15</v>
      </c>
    </row>
    <row r="16" spans="1:27" ht="15">
      <c r="A16" s="326">
        <v>42309</v>
      </c>
      <c r="B16" s="332">
        <f>4.5*100</f>
        <v>450</v>
      </c>
      <c r="C16" s="378">
        <f>126.4765+0.5578</f>
        <v>127.0343</v>
      </c>
      <c r="D16" s="378">
        <f>3.2094+4+0.05+0.1-1.3937</f>
        <v>5.9657</v>
      </c>
      <c r="E16" s="379">
        <f t="shared" si="1"/>
        <v>133</v>
      </c>
      <c r="F16" s="380">
        <f t="shared" si="7"/>
        <v>0</v>
      </c>
      <c r="G16" s="381">
        <f>187.7034+23.113+0.2608-92.1264</f>
        <v>118.95079999999997</v>
      </c>
      <c r="H16" s="382">
        <f t="shared" si="2"/>
        <v>-0.26080000000000003</v>
      </c>
      <c r="I16" s="382">
        <f t="shared" si="6"/>
        <v>38.31</v>
      </c>
      <c r="J16" s="382">
        <f t="shared" si="3"/>
        <v>38.049199999999999</v>
      </c>
      <c r="K16" s="383">
        <f t="shared" si="4"/>
        <v>156.99999999999997</v>
      </c>
      <c r="L16" s="384">
        <f t="shared" si="5"/>
        <v>-6.3282712403633923E-15</v>
      </c>
    </row>
    <row r="17" spans="1:12" ht="15">
      <c r="A17" s="326">
        <v>42324</v>
      </c>
      <c r="B17" s="332">
        <f>4.2*100</f>
        <v>420</v>
      </c>
      <c r="C17" s="378">
        <f>118.1484+0.8859</f>
        <v>119.0343</v>
      </c>
      <c r="D17" s="378">
        <f>3.2094+4+0.05+0.1-1.3937</f>
        <v>5.9657</v>
      </c>
      <c r="E17" s="379">
        <f t="shared" si="1"/>
        <v>125</v>
      </c>
      <c r="F17" s="380">
        <f t="shared" si="7"/>
        <v>-6.0150375939849621E-2</v>
      </c>
      <c r="G17" s="381">
        <f>183.9799+23.113+0.2608-88.4029</f>
        <v>118.95079999999997</v>
      </c>
      <c r="H17" s="382">
        <f t="shared" si="2"/>
        <v>-0.26080000000000003</v>
      </c>
      <c r="I17" s="382">
        <f t="shared" si="6"/>
        <v>38.31</v>
      </c>
      <c r="J17" s="382">
        <f t="shared" si="3"/>
        <v>38.049199999999999</v>
      </c>
      <c r="K17" s="383">
        <f t="shared" si="4"/>
        <v>156.99999999999997</v>
      </c>
      <c r="L17" s="384">
        <f t="shared" si="5"/>
        <v>0</v>
      </c>
    </row>
    <row r="18" spans="1:12" ht="15">
      <c r="A18" s="326">
        <v>42339</v>
      </c>
      <c r="B18" s="332">
        <f>4.0421*100</f>
        <v>404.21</v>
      </c>
      <c r="C18" s="378">
        <f>102.4923+0.542</f>
        <v>103.0343</v>
      </c>
      <c r="D18" s="378">
        <f>3.2094+4+0.05+0.1-1.3937</f>
        <v>5.9657</v>
      </c>
      <c r="E18" s="379">
        <f t="shared" si="1"/>
        <v>109</v>
      </c>
      <c r="F18" s="380">
        <f t="shared" si="7"/>
        <v>-0.128</v>
      </c>
      <c r="G18" s="381">
        <f>165.7257+23.113+0.2608-70.1487</f>
        <v>118.95079999999997</v>
      </c>
      <c r="H18" s="382">
        <f t="shared" si="2"/>
        <v>-0.26080000000000003</v>
      </c>
      <c r="I18" s="382">
        <f t="shared" si="6"/>
        <v>38.31</v>
      </c>
      <c r="J18" s="382">
        <f t="shared" si="3"/>
        <v>38.049199999999999</v>
      </c>
      <c r="K18" s="383">
        <f t="shared" si="4"/>
        <v>156.99999999999997</v>
      </c>
      <c r="L18" s="384">
        <f t="shared" si="5"/>
        <v>0</v>
      </c>
    </row>
    <row r="19" spans="1:12" ht="15">
      <c r="A19" s="326">
        <v>42354</v>
      </c>
      <c r="B19" s="332">
        <f>4.0421*100</f>
        <v>404.21</v>
      </c>
      <c r="C19" s="378">
        <f>93.367+0.6673</f>
        <v>94.034300000000002</v>
      </c>
      <c r="D19" s="378">
        <f>3.2094+4+0.05+0.1-1.3937</f>
        <v>5.9657</v>
      </c>
      <c r="E19" s="379">
        <f t="shared" si="1"/>
        <v>100</v>
      </c>
      <c r="F19" s="380">
        <f t="shared" si="7"/>
        <v>-8.256880733944949E-2</v>
      </c>
      <c r="G19" s="381">
        <f>162.9999+23.113+0.2608-67.4229</f>
        <v>118.95079999999999</v>
      </c>
      <c r="H19" s="382">
        <f t="shared" si="2"/>
        <v>-0.26080000000000003</v>
      </c>
      <c r="I19" s="382">
        <f t="shared" si="6"/>
        <v>38.31</v>
      </c>
      <c r="J19" s="382">
        <f t="shared" si="3"/>
        <v>38.049199999999999</v>
      </c>
      <c r="K19" s="383">
        <f t="shared" si="4"/>
        <v>157</v>
      </c>
      <c r="L19" s="384">
        <f t="shared" si="5"/>
        <v>0</v>
      </c>
    </row>
    <row r="20" spans="1:12" ht="15">
      <c r="A20" s="326">
        <v>42370</v>
      </c>
      <c r="B20" s="332">
        <f>3.85*100</f>
        <v>385</v>
      </c>
      <c r="C20" s="378">
        <f>78.2658</f>
        <v>78.265799999999999</v>
      </c>
      <c r="D20" s="378">
        <f>3.2094+4+1</f>
        <v>8.2094000000000005</v>
      </c>
      <c r="E20" s="379">
        <f t="shared" si="1"/>
        <v>86.475200000000001</v>
      </c>
      <c r="F20" s="380">
        <f t="shared" si="7"/>
        <v>-0.13524800000000003</v>
      </c>
      <c r="G20" s="381">
        <f>147.2603+23.113-51.6833</f>
        <v>118.69</v>
      </c>
      <c r="H20" s="382"/>
      <c r="I20" s="382">
        <f t="shared" si="6"/>
        <v>38.31</v>
      </c>
      <c r="J20" s="385">
        <f t="shared" si="3"/>
        <v>38.31</v>
      </c>
      <c r="K20" s="383">
        <f t="shared" si="4"/>
        <v>157</v>
      </c>
      <c r="L20" s="384">
        <f t="shared" si="5"/>
        <v>0</v>
      </c>
    </row>
    <row r="21" spans="1:12" ht="15">
      <c r="A21" s="326">
        <v>42385</v>
      </c>
      <c r="B21" s="332">
        <f>4*100</f>
        <v>400</v>
      </c>
      <c r="C21" s="378">
        <f>77.9631</f>
        <v>77.963099999999997</v>
      </c>
      <c r="D21" s="378">
        <f t="shared" ref="D21:D26" si="8">3.2094+4+1</f>
        <v>8.2094000000000005</v>
      </c>
      <c r="E21" s="379">
        <f t="shared" si="1"/>
        <v>86.172499999999999</v>
      </c>
      <c r="F21" s="380">
        <f t="shared" si="7"/>
        <v>-3.5004255555349806E-3</v>
      </c>
      <c r="G21" s="381">
        <f>151.9975+23.113-56.4205</f>
        <v>118.69</v>
      </c>
      <c r="H21" s="382"/>
      <c r="I21" s="382">
        <f t="shared" si="6"/>
        <v>38.31</v>
      </c>
      <c r="J21" s="385">
        <f t="shared" si="3"/>
        <v>38.31</v>
      </c>
      <c r="K21" s="383">
        <f t="shared" si="4"/>
        <v>157</v>
      </c>
      <c r="L21" s="384">
        <f t="shared" si="5"/>
        <v>0</v>
      </c>
    </row>
    <row r="22" spans="1:12" ht="15">
      <c r="A22" s="326">
        <v>42401</v>
      </c>
      <c r="B22" s="332">
        <f>4.3*100</f>
        <v>430</v>
      </c>
      <c r="C22" s="378">
        <f>68.4937</f>
        <v>68.493700000000004</v>
      </c>
      <c r="D22" s="378">
        <f t="shared" si="8"/>
        <v>8.2094000000000005</v>
      </c>
      <c r="E22" s="379">
        <f t="shared" si="1"/>
        <v>76.703100000000006</v>
      </c>
      <c r="F22" s="380">
        <f t="shared" si="7"/>
        <v>-0.10988888566538035</v>
      </c>
      <c r="G22" s="381">
        <f>151.7369+23.113-63.2781</f>
        <v>111.5718</v>
      </c>
      <c r="H22" s="382"/>
      <c r="I22" s="321">
        <f t="shared" ref="I22:I32" si="9">1.5+10+20.0374+13.5908+0.3</f>
        <v>45.428199999999997</v>
      </c>
      <c r="J22" s="382">
        <f t="shared" si="3"/>
        <v>45.428199999999997</v>
      </c>
      <c r="K22" s="383">
        <f t="shared" si="4"/>
        <v>157</v>
      </c>
      <c r="L22" s="384">
        <f t="shared" si="5"/>
        <v>0</v>
      </c>
    </row>
    <row r="23" spans="1:12" ht="15">
      <c r="A23" s="326">
        <v>42416</v>
      </c>
      <c r="B23" s="332">
        <f>4.3569*100</f>
        <v>435.69000000000005</v>
      </c>
      <c r="C23" s="378">
        <v>84.063800000000001</v>
      </c>
      <c r="D23" s="378">
        <f t="shared" si="8"/>
        <v>8.2094000000000005</v>
      </c>
      <c r="E23" s="379">
        <f t="shared" si="1"/>
        <v>92.273200000000003</v>
      </c>
      <c r="F23" s="380">
        <f t="shared" si="7"/>
        <v>0.20299179563798586</v>
      </c>
      <c r="G23" s="381">
        <f>150.102+23.113-61.6432</f>
        <v>111.5718</v>
      </c>
      <c r="H23" s="382"/>
      <c r="I23" s="321">
        <f t="shared" si="9"/>
        <v>45.428199999999997</v>
      </c>
      <c r="J23" s="382">
        <f t="shared" si="3"/>
        <v>45.428199999999997</v>
      </c>
      <c r="K23" s="383">
        <f t="shared" si="4"/>
        <v>157</v>
      </c>
      <c r="L23" s="384">
        <f t="shared" si="5"/>
        <v>0</v>
      </c>
    </row>
    <row r="24" spans="1:12" ht="15">
      <c r="A24" s="326">
        <v>42430</v>
      </c>
      <c r="B24" s="332">
        <f>4.3461*100</f>
        <v>434.61</v>
      </c>
      <c r="C24" s="378">
        <v>83.496399999999994</v>
      </c>
      <c r="D24" s="378">
        <f t="shared" si="8"/>
        <v>8.2094000000000005</v>
      </c>
      <c r="E24" s="379">
        <f t="shared" si="1"/>
        <v>91.705799999999996</v>
      </c>
      <c r="F24" s="380">
        <f t="shared" si="7"/>
        <v>-6.1491310586390124E-3</v>
      </c>
      <c r="G24" s="381">
        <f>144.3082+23.113-55.8494</f>
        <v>111.5718</v>
      </c>
      <c r="H24" s="382"/>
      <c r="I24" s="321">
        <f t="shared" si="9"/>
        <v>45.428199999999997</v>
      </c>
      <c r="J24" s="382">
        <f t="shared" si="3"/>
        <v>45.428199999999997</v>
      </c>
      <c r="K24" s="383">
        <f t="shared" si="4"/>
        <v>157</v>
      </c>
      <c r="L24" s="384">
        <f t="shared" si="5"/>
        <v>0</v>
      </c>
    </row>
    <row r="25" spans="1:12" ht="15">
      <c r="A25" s="326">
        <v>42445</v>
      </c>
      <c r="B25" s="332">
        <f>4.2967*100</f>
        <v>429.67</v>
      </c>
      <c r="C25" s="378">
        <v>89.358900000000006</v>
      </c>
      <c r="D25" s="378">
        <f t="shared" si="8"/>
        <v>8.2094000000000005</v>
      </c>
      <c r="E25" s="379">
        <f t="shared" si="1"/>
        <v>97.568300000000008</v>
      </c>
      <c r="F25" s="380">
        <f t="shared" si="7"/>
        <v>6.392725432851587E-2</v>
      </c>
      <c r="G25" s="381">
        <f>151.4911+23.113-63.0323</f>
        <v>111.5718</v>
      </c>
      <c r="H25" s="382"/>
      <c r="I25" s="321">
        <f t="shared" si="9"/>
        <v>45.428199999999997</v>
      </c>
      <c r="J25" s="382">
        <f t="shared" si="3"/>
        <v>45.428199999999997</v>
      </c>
      <c r="K25" s="383">
        <f t="shared" si="4"/>
        <v>157</v>
      </c>
      <c r="L25" s="384">
        <f t="shared" si="5"/>
        <v>0</v>
      </c>
    </row>
    <row r="26" spans="1:12" ht="15">
      <c r="A26" s="326">
        <v>42461</v>
      </c>
      <c r="B26" s="332">
        <f>4.3*100</f>
        <v>430</v>
      </c>
      <c r="C26" s="378">
        <v>94.268900000000002</v>
      </c>
      <c r="D26" s="378">
        <f t="shared" si="8"/>
        <v>8.2094000000000005</v>
      </c>
      <c r="E26" s="379">
        <f>C26+D26</f>
        <v>102.4783</v>
      </c>
      <c r="F26" s="380">
        <f t="shared" si="7"/>
        <v>5.0323721946574862E-2</v>
      </c>
      <c r="G26" s="381">
        <f>168.0338+23.113+0.1302-79.7052</f>
        <v>111.57180000000001</v>
      </c>
      <c r="H26" s="382"/>
      <c r="I26" s="321">
        <f t="shared" si="9"/>
        <v>45.428199999999997</v>
      </c>
      <c r="J26" s="385">
        <f>H26+I26</f>
        <v>45.428199999999997</v>
      </c>
      <c r="K26" s="383">
        <f>G26+J26</f>
        <v>157</v>
      </c>
      <c r="L26" s="384">
        <f t="shared" si="5"/>
        <v>0</v>
      </c>
    </row>
    <row r="27" spans="1:12" ht="15">
      <c r="A27" s="326">
        <v>42476</v>
      </c>
      <c r="B27" s="332">
        <f>4.2617*100</f>
        <v>426.17</v>
      </c>
      <c r="C27" s="378">
        <v>91.834000000000003</v>
      </c>
      <c r="D27" s="378">
        <f>3.2094+4+1</f>
        <v>8.2094000000000005</v>
      </c>
      <c r="E27" s="379">
        <f t="shared" ref="E27:E32" si="10">C27+D27</f>
        <v>100.04340000000001</v>
      </c>
      <c r="F27" s="380">
        <f t="shared" ref="F27:F32" si="11">E27/E26-1</f>
        <v>-2.3760152149284286E-2</v>
      </c>
      <c r="G27" s="381">
        <f>178.1632+23.113+0.1302-89.8346</f>
        <v>111.5718</v>
      </c>
      <c r="H27" s="382"/>
      <c r="I27" s="321">
        <f t="shared" si="9"/>
        <v>45.428199999999997</v>
      </c>
      <c r="J27" s="385">
        <f t="shared" ref="J27:J32" si="12">H27+I27</f>
        <v>45.428199999999997</v>
      </c>
      <c r="K27" s="383">
        <f t="shared" ref="K27:K32" si="13">G27+J27</f>
        <v>157</v>
      </c>
      <c r="L27" s="384">
        <f t="shared" ref="L27:L32" si="14">K27/K26-1</f>
        <v>0</v>
      </c>
    </row>
    <row r="28" spans="1:12" ht="15">
      <c r="A28" s="326">
        <v>42491</v>
      </c>
      <c r="B28" s="332">
        <f>4.2617*100</f>
        <v>426.17</v>
      </c>
      <c r="C28" s="378">
        <v>101.229</v>
      </c>
      <c r="D28" s="378">
        <f t="shared" ref="D28:D50" si="15">3.2094+4+1</f>
        <v>8.2094000000000005</v>
      </c>
      <c r="E28" s="379">
        <f t="shared" si="10"/>
        <v>109.4384</v>
      </c>
      <c r="F28" s="380">
        <f t="shared" si="11"/>
        <v>9.3909243388369479E-2</v>
      </c>
      <c r="G28" s="381">
        <f>185.2968+23.113+0.1302-96.9682</f>
        <v>111.5718</v>
      </c>
      <c r="H28" s="382"/>
      <c r="I28" s="321">
        <f t="shared" si="9"/>
        <v>45.428199999999997</v>
      </c>
      <c r="J28" s="385">
        <f t="shared" si="12"/>
        <v>45.428199999999997</v>
      </c>
      <c r="K28" s="383">
        <f t="shared" si="13"/>
        <v>157</v>
      </c>
      <c r="L28" s="384">
        <f t="shared" si="14"/>
        <v>0</v>
      </c>
    </row>
    <row r="29" spans="1:12" ht="15">
      <c r="A29" s="326">
        <v>42506</v>
      </c>
      <c r="B29" s="332">
        <f>4.2436*100</f>
        <v>424.35999999999996</v>
      </c>
      <c r="C29" s="378">
        <v>108.1825</v>
      </c>
      <c r="D29" s="378">
        <f t="shared" si="15"/>
        <v>8.2094000000000005</v>
      </c>
      <c r="E29" s="379">
        <f t="shared" si="10"/>
        <v>116.39190000000001</v>
      </c>
      <c r="F29" s="380">
        <f t="shared" si="11"/>
        <v>6.353802687173804E-2</v>
      </c>
      <c r="G29" s="381">
        <f>183.9236+23.113+0.1302-95.595</f>
        <v>111.5718</v>
      </c>
      <c r="H29" s="382"/>
      <c r="I29" s="321">
        <f t="shared" si="9"/>
        <v>45.428199999999997</v>
      </c>
      <c r="J29" s="385">
        <f t="shared" si="12"/>
        <v>45.428199999999997</v>
      </c>
      <c r="K29" s="383">
        <f t="shared" si="13"/>
        <v>157</v>
      </c>
      <c r="L29" s="384">
        <f t="shared" si="14"/>
        <v>0</v>
      </c>
    </row>
    <row r="30" spans="1:12" ht="15">
      <c r="A30" s="326">
        <v>42522</v>
      </c>
      <c r="B30" s="332">
        <f>4.1*100</f>
        <v>409.99999999999994</v>
      </c>
      <c r="C30" s="378">
        <v>113.7454</v>
      </c>
      <c r="D30" s="378">
        <f t="shared" si="15"/>
        <v>8.2094000000000005</v>
      </c>
      <c r="E30" s="379">
        <f t="shared" si="10"/>
        <v>121.95480000000001</v>
      </c>
      <c r="F30" s="380">
        <f t="shared" si="11"/>
        <v>4.7794563023715542E-2</v>
      </c>
      <c r="G30" s="381">
        <f>188.4798+23.113+0.1302-100.1512</f>
        <v>111.57180000000001</v>
      </c>
      <c r="H30" s="382"/>
      <c r="I30" s="321">
        <f t="shared" si="9"/>
        <v>45.428199999999997</v>
      </c>
      <c r="J30" s="385">
        <f t="shared" si="12"/>
        <v>45.428199999999997</v>
      </c>
      <c r="K30" s="383">
        <f t="shared" si="13"/>
        <v>157</v>
      </c>
      <c r="L30" s="384">
        <f t="shared" si="14"/>
        <v>0</v>
      </c>
    </row>
    <row r="31" spans="1:12" ht="15">
      <c r="A31" s="326">
        <v>42537</v>
      </c>
      <c r="B31" s="332">
        <f>4.1*100</f>
        <v>409.99999999999994</v>
      </c>
      <c r="C31" s="378">
        <v>120.4136</v>
      </c>
      <c r="D31" s="378">
        <f t="shared" si="15"/>
        <v>8.2094000000000005</v>
      </c>
      <c r="E31" s="379">
        <f t="shared" si="10"/>
        <v>128.62299999999999</v>
      </c>
      <c r="F31" s="380">
        <f t="shared" si="11"/>
        <v>5.4677634664646035E-2</v>
      </c>
      <c r="G31" s="381">
        <f>188.0711+23.113+0.1302-99.7425</f>
        <v>111.5718</v>
      </c>
      <c r="H31" s="382"/>
      <c r="I31" s="321">
        <f t="shared" si="9"/>
        <v>45.428199999999997</v>
      </c>
      <c r="J31" s="385">
        <f t="shared" si="12"/>
        <v>45.428199999999997</v>
      </c>
      <c r="K31" s="383">
        <f t="shared" si="13"/>
        <v>157</v>
      </c>
      <c r="L31" s="384">
        <f t="shared" si="14"/>
        <v>0</v>
      </c>
    </row>
    <row r="32" spans="1:12" ht="15">
      <c r="A32" s="326">
        <v>42552</v>
      </c>
      <c r="B32" s="332">
        <f>4.1*100</f>
        <v>409.99999999999994</v>
      </c>
      <c r="C32" s="378">
        <v>122.3745</v>
      </c>
      <c r="D32" s="378">
        <f t="shared" si="15"/>
        <v>8.2094000000000005</v>
      </c>
      <c r="E32" s="379">
        <f t="shared" si="10"/>
        <v>130.5839</v>
      </c>
      <c r="F32" s="380">
        <f t="shared" si="11"/>
        <v>1.5245329373440253E-2</v>
      </c>
      <c r="G32" s="381">
        <f>184.8748+23.113+0.1302-96.5462</f>
        <v>111.5718</v>
      </c>
      <c r="H32" s="382"/>
      <c r="I32" s="321">
        <f t="shared" si="9"/>
        <v>45.428199999999997</v>
      </c>
      <c r="J32" s="385">
        <f t="shared" si="12"/>
        <v>45.428199999999997</v>
      </c>
      <c r="K32" s="383">
        <f t="shared" si="13"/>
        <v>157</v>
      </c>
      <c r="L32" s="384">
        <f t="shared" si="14"/>
        <v>0</v>
      </c>
    </row>
    <row r="33" spans="1:27" ht="15">
      <c r="A33" s="326">
        <v>42567</v>
      </c>
      <c r="B33" s="332">
        <f>4.1*100</f>
        <v>409.99999999999994</v>
      </c>
      <c r="C33" s="378">
        <v>126.09650000000001</v>
      </c>
      <c r="D33" s="378">
        <f t="shared" si="15"/>
        <v>8.2094000000000005</v>
      </c>
      <c r="E33" s="379">
        <f t="shared" ref="E33:E40" si="16">C33+D33</f>
        <v>134.30590000000001</v>
      </c>
      <c r="F33" s="380">
        <f t="shared" ref="F33:F40" si="17">E33/E32-1</f>
        <v>2.8502748041680626E-2</v>
      </c>
      <c r="G33" s="381">
        <f>172.9044+23.113+0.1302-85.5758</f>
        <v>110.57180000000001</v>
      </c>
      <c r="H33" s="382"/>
      <c r="I33" s="321">
        <f>1.5+11+20.0374+13.5908+0.3</f>
        <v>46.428200000000004</v>
      </c>
      <c r="J33" s="385">
        <f t="shared" ref="J33:J40" si="18">H33+I33</f>
        <v>46.428200000000004</v>
      </c>
      <c r="K33" s="383">
        <f t="shared" ref="K33:K40" si="19">G33+J33</f>
        <v>157</v>
      </c>
      <c r="L33" s="384">
        <f t="shared" ref="L33:L40" si="20">K33/K32-1</f>
        <v>0</v>
      </c>
      <c r="M33" s="386"/>
      <c r="N33" s="387"/>
      <c r="O33" s="388"/>
      <c r="P33" s="381"/>
      <c r="Q33" s="382"/>
      <c r="R33" s="321"/>
      <c r="S33" s="382"/>
      <c r="T33" s="383"/>
      <c r="U33" s="389"/>
      <c r="V33" s="390"/>
      <c r="W33" s="390"/>
      <c r="X33" s="390"/>
      <c r="Y33" s="390"/>
      <c r="Z33" s="390"/>
      <c r="AA33" s="391"/>
    </row>
    <row r="34" spans="1:27" ht="15">
      <c r="A34" s="326">
        <v>42583</v>
      </c>
      <c r="B34" s="332">
        <f t="shared" ref="B34:B39" si="21">4.2*100</f>
        <v>420</v>
      </c>
      <c r="C34" s="378">
        <v>124.2957</v>
      </c>
      <c r="D34" s="378">
        <f t="shared" si="15"/>
        <v>8.2094000000000005</v>
      </c>
      <c r="E34" s="379">
        <f t="shared" si="16"/>
        <v>132.5051</v>
      </c>
      <c r="F34" s="380">
        <f t="shared" si="17"/>
        <v>-1.3408197257157028E-2</v>
      </c>
      <c r="G34" s="381">
        <f>171.4709+23.113+0.1302-84.1423</f>
        <v>110.5718</v>
      </c>
      <c r="H34" s="382"/>
      <c r="I34" s="321">
        <f t="shared" ref="I34:I44" si="22">1.5+11+20.0374+13.5908+0.3</f>
        <v>46.428200000000004</v>
      </c>
      <c r="J34" s="385">
        <f t="shared" si="18"/>
        <v>46.428200000000004</v>
      </c>
      <c r="K34" s="383">
        <f t="shared" si="19"/>
        <v>157</v>
      </c>
      <c r="L34" s="384">
        <f t="shared" si="20"/>
        <v>0</v>
      </c>
      <c r="M34" s="392"/>
      <c r="N34" s="387"/>
      <c r="O34" s="388"/>
      <c r="P34" s="381"/>
      <c r="Q34" s="382"/>
      <c r="R34" s="382"/>
      <c r="S34" s="382"/>
      <c r="T34" s="383"/>
      <c r="U34" s="389"/>
      <c r="V34" s="390"/>
      <c r="W34" s="390"/>
      <c r="X34" s="390"/>
      <c r="Y34" s="390"/>
      <c r="Z34" s="390"/>
      <c r="AA34" s="391"/>
    </row>
    <row r="35" spans="1:27" ht="15">
      <c r="A35" s="326">
        <v>42585</v>
      </c>
      <c r="B35" s="332">
        <f t="shared" si="21"/>
        <v>420</v>
      </c>
      <c r="C35" s="378">
        <v>124.2957</v>
      </c>
      <c r="D35" s="378">
        <f t="shared" si="15"/>
        <v>8.2094000000000005</v>
      </c>
      <c r="E35" s="379">
        <f>C35+D35</f>
        <v>132.5051</v>
      </c>
      <c r="F35" s="380">
        <f>E35/E34-1</f>
        <v>0</v>
      </c>
      <c r="G35" s="381">
        <f>171.4709+23.113+0.1302-84.1423</f>
        <v>110.5718</v>
      </c>
      <c r="H35" s="382"/>
      <c r="I35" s="321">
        <f t="shared" si="22"/>
        <v>46.428200000000004</v>
      </c>
      <c r="J35" s="385">
        <f>H35+I35</f>
        <v>46.428200000000004</v>
      </c>
      <c r="K35" s="383">
        <f>G35+J35</f>
        <v>157</v>
      </c>
      <c r="L35" s="384">
        <f>K35/K34-1</f>
        <v>0</v>
      </c>
      <c r="M35" s="392"/>
      <c r="N35" s="387"/>
      <c r="O35" s="388"/>
      <c r="P35" s="381"/>
      <c r="Q35" s="382"/>
      <c r="R35" s="382"/>
      <c r="S35" s="382"/>
      <c r="T35" s="383"/>
      <c r="U35" s="389"/>
      <c r="V35" s="390"/>
      <c r="W35" s="390"/>
      <c r="X35" s="390"/>
      <c r="Y35" s="390"/>
      <c r="Z35" s="390"/>
      <c r="AA35" s="391"/>
    </row>
    <row r="36" spans="1:27" ht="15">
      <c r="A36" s="326">
        <v>42598</v>
      </c>
      <c r="B36" s="332">
        <f t="shared" si="21"/>
        <v>420</v>
      </c>
      <c r="C36" s="378">
        <v>117.1275</v>
      </c>
      <c r="D36" s="378">
        <f t="shared" si="15"/>
        <v>8.2094000000000005</v>
      </c>
      <c r="E36" s="379">
        <f t="shared" si="16"/>
        <v>125.3369</v>
      </c>
      <c r="F36" s="380">
        <f>E36/E34-1</f>
        <v>-5.4097540396558341E-2</v>
      </c>
      <c r="G36" s="381">
        <f>166.9974+23.113+0.1302-79.6688</f>
        <v>110.5718</v>
      </c>
      <c r="H36" s="382"/>
      <c r="I36" s="321">
        <f t="shared" si="22"/>
        <v>46.428200000000004</v>
      </c>
      <c r="J36" s="385">
        <f t="shared" si="18"/>
        <v>46.428200000000004</v>
      </c>
      <c r="K36" s="383">
        <f t="shared" si="19"/>
        <v>157</v>
      </c>
      <c r="L36" s="384">
        <f>K36/K34-1</f>
        <v>0</v>
      </c>
    </row>
    <row r="37" spans="1:27" ht="15">
      <c r="A37" s="326">
        <v>42614</v>
      </c>
      <c r="B37" s="332">
        <f t="shared" si="21"/>
        <v>420</v>
      </c>
      <c r="C37" s="378">
        <v>131.9213</v>
      </c>
      <c r="D37" s="378">
        <f t="shared" si="15"/>
        <v>8.2094000000000005</v>
      </c>
      <c r="E37" s="379">
        <f>C37+D37</f>
        <v>140.13069999999999</v>
      </c>
      <c r="F37" s="380">
        <f>E37/E35-1</f>
        <v>5.7549483001031687E-2</v>
      </c>
      <c r="G37" s="381">
        <f>182.8479+23.113+0.1302-95.5193</f>
        <v>110.57180000000001</v>
      </c>
      <c r="H37" s="382"/>
      <c r="I37" s="321">
        <f t="shared" si="22"/>
        <v>46.428200000000004</v>
      </c>
      <c r="J37" s="385">
        <f>H37+I37</f>
        <v>46.428200000000004</v>
      </c>
      <c r="K37" s="383">
        <f>G37+J37</f>
        <v>157</v>
      </c>
      <c r="L37" s="384">
        <f>K37/K35-1</f>
        <v>0</v>
      </c>
    </row>
    <row r="38" spans="1:27" ht="15">
      <c r="A38" s="326">
        <v>42629</v>
      </c>
      <c r="B38" s="332">
        <f t="shared" si="21"/>
        <v>420</v>
      </c>
      <c r="C38" s="378">
        <v>132.71729999999999</v>
      </c>
      <c r="D38" s="378">
        <f t="shared" si="15"/>
        <v>8.2094000000000005</v>
      </c>
      <c r="E38" s="379">
        <f t="shared" si="16"/>
        <v>140.92669999999998</v>
      </c>
      <c r="F38" s="380">
        <f t="shared" si="17"/>
        <v>5.6804112161004117E-3</v>
      </c>
      <c r="G38" s="381">
        <f>180.9047+23.113+0.1302-93.5761</f>
        <v>110.5718</v>
      </c>
      <c r="H38" s="382"/>
      <c r="I38" s="321">
        <f t="shared" si="22"/>
        <v>46.428200000000004</v>
      </c>
      <c r="J38" s="385">
        <f t="shared" si="18"/>
        <v>46.428200000000004</v>
      </c>
      <c r="K38" s="383">
        <f t="shared" si="19"/>
        <v>157</v>
      </c>
      <c r="L38" s="384">
        <f t="shared" si="20"/>
        <v>0</v>
      </c>
    </row>
    <row r="39" spans="1:27" ht="15">
      <c r="A39" s="326">
        <v>42644</v>
      </c>
      <c r="B39" s="332">
        <f t="shared" si="21"/>
        <v>420</v>
      </c>
      <c r="C39" s="378">
        <v>130.7774</v>
      </c>
      <c r="D39" s="378">
        <f t="shared" si="15"/>
        <v>8.2094000000000005</v>
      </c>
      <c r="E39" s="379">
        <f t="shared" si="16"/>
        <v>138.98679999999999</v>
      </c>
      <c r="F39" s="380">
        <f t="shared" si="17"/>
        <v>-1.3765312038102051E-2</v>
      </c>
      <c r="G39" s="381">
        <f>184.1471+23.113+0.1302-96.8185</f>
        <v>110.5718</v>
      </c>
      <c r="H39" s="382"/>
      <c r="I39" s="321">
        <f t="shared" si="22"/>
        <v>46.428200000000004</v>
      </c>
      <c r="J39" s="385">
        <f t="shared" si="18"/>
        <v>46.428200000000004</v>
      </c>
      <c r="K39" s="383">
        <f t="shared" si="19"/>
        <v>157</v>
      </c>
      <c r="L39" s="384">
        <f t="shared" si="20"/>
        <v>0</v>
      </c>
    </row>
    <row r="40" spans="1:27" ht="15">
      <c r="A40" s="326">
        <v>42659</v>
      </c>
      <c r="B40" s="332">
        <f>4.2*100</f>
        <v>420</v>
      </c>
      <c r="C40" s="378">
        <f>139.4665-6.6759</f>
        <v>132.79059999999998</v>
      </c>
      <c r="D40" s="378">
        <f t="shared" si="15"/>
        <v>8.2094000000000005</v>
      </c>
      <c r="E40" s="379">
        <f t="shared" si="16"/>
        <v>140.99999999999997</v>
      </c>
      <c r="F40" s="380">
        <f t="shared" si="17"/>
        <v>1.4484828775106484E-2</v>
      </c>
      <c r="G40" s="381">
        <f>188.7254+23.113+0.1302-101.3968</f>
        <v>110.57180000000001</v>
      </c>
      <c r="H40" s="382"/>
      <c r="I40" s="321">
        <f t="shared" si="22"/>
        <v>46.428200000000004</v>
      </c>
      <c r="J40" s="385">
        <f t="shared" si="18"/>
        <v>46.428200000000004</v>
      </c>
      <c r="K40" s="383">
        <f t="shared" si="19"/>
        <v>157</v>
      </c>
      <c r="L40" s="384">
        <f t="shared" si="20"/>
        <v>0</v>
      </c>
    </row>
    <row r="41" spans="1:27" ht="15">
      <c r="A41" s="326">
        <v>42675</v>
      </c>
      <c r="B41" s="332">
        <f>4.2*100</f>
        <v>420</v>
      </c>
      <c r="C41" s="378">
        <f>146.1489-13.3583</f>
        <v>132.79059999999998</v>
      </c>
      <c r="D41" s="378">
        <f t="shared" si="15"/>
        <v>8.2094000000000005</v>
      </c>
      <c r="E41" s="379">
        <f t="shared" ref="E41:E78" si="23">C41+D41</f>
        <v>140.99999999999997</v>
      </c>
      <c r="F41" s="380">
        <f t="shared" ref="F41:F76" si="24">E41/E40-1</f>
        <v>0</v>
      </c>
      <c r="G41" s="381">
        <f>191.0077+23.113+0.1302-103.6791</f>
        <v>110.5718</v>
      </c>
      <c r="H41" s="382"/>
      <c r="I41" s="321">
        <f t="shared" si="22"/>
        <v>46.428200000000004</v>
      </c>
      <c r="J41" s="385">
        <f t="shared" ref="J41:J77" si="25">H41+I41</f>
        <v>46.428200000000004</v>
      </c>
      <c r="K41" s="383">
        <f t="shared" ref="K41:K78" si="26">G41+J41</f>
        <v>157</v>
      </c>
      <c r="L41" s="384">
        <f t="shared" ref="L41:L78" si="27">K41/K40-1</f>
        <v>0</v>
      </c>
    </row>
    <row r="42" spans="1:27" ht="15">
      <c r="A42" s="326">
        <v>42690</v>
      </c>
      <c r="B42" s="332">
        <f>4.2*100</f>
        <v>420</v>
      </c>
      <c r="C42" s="378">
        <f>132.7908-0.0002</f>
        <v>132.79059999999998</v>
      </c>
      <c r="D42" s="378">
        <f t="shared" si="15"/>
        <v>8.2094000000000005</v>
      </c>
      <c r="E42" s="379">
        <f t="shared" si="23"/>
        <v>140.99999999999997</v>
      </c>
      <c r="F42" s="380">
        <f t="shared" si="24"/>
        <v>0</v>
      </c>
      <c r="G42" s="381">
        <f>179.4428+23.113+0.1302-92.1142</f>
        <v>110.57180000000001</v>
      </c>
      <c r="H42" s="382"/>
      <c r="I42" s="321">
        <f t="shared" si="22"/>
        <v>46.428200000000004</v>
      </c>
      <c r="J42" s="385">
        <f t="shared" si="25"/>
        <v>46.428200000000004</v>
      </c>
      <c r="K42" s="383">
        <f t="shared" si="26"/>
        <v>157</v>
      </c>
      <c r="L42" s="384">
        <f t="shared" si="27"/>
        <v>0</v>
      </c>
    </row>
    <row r="43" spans="1:27" ht="15">
      <c r="A43" s="326">
        <v>42705</v>
      </c>
      <c r="B43" s="332">
        <f>4.3*100</f>
        <v>430</v>
      </c>
      <c r="C43" s="378">
        <f>137.8245-5.0339</f>
        <v>132.79060000000001</v>
      </c>
      <c r="D43" s="378">
        <f t="shared" si="15"/>
        <v>8.2094000000000005</v>
      </c>
      <c r="E43" s="379">
        <f t="shared" si="23"/>
        <v>141</v>
      </c>
      <c r="F43" s="380">
        <f t="shared" si="24"/>
        <v>0</v>
      </c>
      <c r="G43" s="381">
        <f>178.007+23.113+0.1302-90.6784</f>
        <v>110.57180000000001</v>
      </c>
      <c r="H43" s="382"/>
      <c r="I43" s="321">
        <f t="shared" si="22"/>
        <v>46.428200000000004</v>
      </c>
      <c r="J43" s="385">
        <f t="shared" si="25"/>
        <v>46.428200000000004</v>
      </c>
      <c r="K43" s="383">
        <f t="shared" si="26"/>
        <v>157</v>
      </c>
      <c r="L43" s="384">
        <f t="shared" si="27"/>
        <v>0</v>
      </c>
    </row>
    <row r="44" spans="1:27" ht="15">
      <c r="A44" s="326">
        <v>42720</v>
      </c>
      <c r="B44" s="332">
        <f>4.3*100</f>
        <v>430</v>
      </c>
      <c r="C44" s="378">
        <f>152.017-19.2264</f>
        <v>132.79059999999998</v>
      </c>
      <c r="D44" s="378">
        <f t="shared" si="15"/>
        <v>8.2094000000000005</v>
      </c>
      <c r="E44" s="379">
        <f t="shared" si="23"/>
        <v>140.99999999999997</v>
      </c>
      <c r="F44" s="380">
        <f t="shared" si="24"/>
        <v>0</v>
      </c>
      <c r="G44" s="381">
        <f>190.8816+23.113+0.1302-103.553</f>
        <v>110.5718</v>
      </c>
      <c r="H44" s="382"/>
      <c r="I44" s="321">
        <f t="shared" si="22"/>
        <v>46.428200000000004</v>
      </c>
      <c r="J44" s="385">
        <f t="shared" si="25"/>
        <v>46.428200000000004</v>
      </c>
      <c r="K44" s="383">
        <f t="shared" si="26"/>
        <v>157</v>
      </c>
      <c r="L44" s="384">
        <f t="shared" si="27"/>
        <v>0</v>
      </c>
    </row>
    <row r="45" spans="1:27" ht="15">
      <c r="A45" s="326">
        <v>42736</v>
      </c>
      <c r="B45" s="332">
        <f>4.4*100</f>
        <v>440.00000000000006</v>
      </c>
      <c r="C45" s="378">
        <f>165.3458-32.5552</f>
        <v>132.79059999999998</v>
      </c>
      <c r="D45" s="378">
        <f t="shared" si="15"/>
        <v>8.2094000000000005</v>
      </c>
      <c r="E45" s="379">
        <f t="shared" si="23"/>
        <v>140.99999999999997</v>
      </c>
      <c r="F45" s="380">
        <f t="shared" si="24"/>
        <v>0</v>
      </c>
      <c r="G45" s="381">
        <f>203.8129+23.113+0.1302-117.9843</f>
        <v>109.07180000000001</v>
      </c>
      <c r="H45" s="382"/>
      <c r="I45" s="321">
        <f>1.5+12.5+20.0374+13.5908+0.3</f>
        <v>47.928200000000004</v>
      </c>
      <c r="J45" s="385">
        <f t="shared" si="25"/>
        <v>47.928200000000004</v>
      </c>
      <c r="K45" s="383">
        <f t="shared" si="26"/>
        <v>157</v>
      </c>
      <c r="L45" s="384">
        <f t="shared" si="27"/>
        <v>0</v>
      </c>
    </row>
    <row r="46" spans="1:27" ht="15">
      <c r="A46" s="326">
        <v>42751</v>
      </c>
      <c r="B46" s="332">
        <f>4.4*100</f>
        <v>440.00000000000006</v>
      </c>
      <c r="C46" s="378">
        <f>174.7231-41.9325</f>
        <v>132.79059999999998</v>
      </c>
      <c r="D46" s="378">
        <f t="shared" si="15"/>
        <v>8.2094000000000005</v>
      </c>
      <c r="E46" s="379">
        <f t="shared" si="23"/>
        <v>140.99999999999997</v>
      </c>
      <c r="F46" s="380">
        <f t="shared" si="24"/>
        <v>0</v>
      </c>
      <c r="G46" s="381">
        <f>209.2948+23.113+0.1302-123.4662</f>
        <v>109.07180000000001</v>
      </c>
      <c r="H46" s="382"/>
      <c r="I46" s="321">
        <f>1.5+12.5+20.0374+13.5908+0.3</f>
        <v>47.928200000000004</v>
      </c>
      <c r="J46" s="385">
        <f t="shared" si="25"/>
        <v>47.928200000000004</v>
      </c>
      <c r="K46" s="383">
        <f t="shared" si="26"/>
        <v>157</v>
      </c>
      <c r="L46" s="384">
        <f t="shared" si="27"/>
        <v>0</v>
      </c>
    </row>
    <row r="47" spans="1:27" ht="15">
      <c r="A47" s="326">
        <v>42756</v>
      </c>
      <c r="B47" s="332">
        <f>4.4*100</f>
        <v>440.00000000000006</v>
      </c>
      <c r="C47" s="378">
        <f>174.7231-41.9325</f>
        <v>132.79059999999998</v>
      </c>
      <c r="D47" s="378">
        <f t="shared" si="15"/>
        <v>8.2094000000000005</v>
      </c>
      <c r="E47" s="379">
        <f t="shared" si="23"/>
        <v>140.99999999999997</v>
      </c>
      <c r="F47" s="380">
        <f t="shared" si="24"/>
        <v>0</v>
      </c>
      <c r="G47" s="381">
        <f>209.2948+23.113+0.1302-135.9935</f>
        <v>96.544499999999999</v>
      </c>
      <c r="H47" s="382"/>
      <c r="I47" s="321">
        <f t="shared" ref="I47:I52" si="28">1.5+12.5+27.1555+19+0.3</f>
        <v>60.455500000000001</v>
      </c>
      <c r="J47" s="385">
        <f t="shared" si="25"/>
        <v>60.455500000000001</v>
      </c>
      <c r="K47" s="383">
        <f t="shared" si="26"/>
        <v>157</v>
      </c>
      <c r="L47" s="384">
        <f t="shared" si="27"/>
        <v>0</v>
      </c>
    </row>
    <row r="48" spans="1:27" ht="15">
      <c r="A48" s="326">
        <v>42767</v>
      </c>
      <c r="B48" s="332">
        <f>4.5*100</f>
        <v>450</v>
      </c>
      <c r="C48" s="378">
        <f>178.3038-45.5132</f>
        <v>132.79059999999998</v>
      </c>
      <c r="D48" s="378">
        <f t="shared" si="15"/>
        <v>8.2094000000000005</v>
      </c>
      <c r="E48" s="379">
        <f t="shared" si="23"/>
        <v>140.99999999999997</v>
      </c>
      <c r="F48" s="380">
        <f t="shared" si="24"/>
        <v>0</v>
      </c>
      <c r="G48" s="381">
        <f>216.9365+23.113+0.1302-143.6352</f>
        <v>96.544499999999999</v>
      </c>
      <c r="H48" s="382"/>
      <c r="I48" s="321">
        <f t="shared" si="28"/>
        <v>60.455500000000001</v>
      </c>
      <c r="J48" s="385">
        <f t="shared" si="25"/>
        <v>60.455500000000001</v>
      </c>
      <c r="K48" s="383">
        <f t="shared" si="26"/>
        <v>157</v>
      </c>
      <c r="L48" s="384">
        <f t="shared" si="27"/>
        <v>0</v>
      </c>
    </row>
    <row r="49" spans="1:12" ht="15">
      <c r="A49" s="326">
        <v>42782</v>
      </c>
      <c r="B49" s="332">
        <f>4.5*100</f>
        <v>450</v>
      </c>
      <c r="C49" s="378">
        <f>173.7027-40.9121</f>
        <v>132.79059999999998</v>
      </c>
      <c r="D49" s="378">
        <f t="shared" si="15"/>
        <v>8.2094000000000005</v>
      </c>
      <c r="E49" s="379">
        <f t="shared" si="23"/>
        <v>140.99999999999997</v>
      </c>
      <c r="F49" s="380">
        <f t="shared" si="24"/>
        <v>0</v>
      </c>
      <c r="G49" s="381">
        <f>218.8958+23.113+0.1302-145.5945</f>
        <v>96.544499999999999</v>
      </c>
      <c r="H49" s="382"/>
      <c r="I49" s="321">
        <f t="shared" si="28"/>
        <v>60.455500000000001</v>
      </c>
      <c r="J49" s="385">
        <f t="shared" si="25"/>
        <v>60.455500000000001</v>
      </c>
      <c r="K49" s="383">
        <f t="shared" si="26"/>
        <v>157</v>
      </c>
      <c r="L49" s="384">
        <f t="shared" si="27"/>
        <v>0</v>
      </c>
    </row>
    <row r="50" spans="1:12" ht="15">
      <c r="A50" s="326">
        <v>42795</v>
      </c>
      <c r="B50" s="332">
        <f>4.6*100</f>
        <v>459.99999999999994</v>
      </c>
      <c r="C50" s="378">
        <f>172.5472-39.7566</f>
        <v>132.79060000000001</v>
      </c>
      <c r="D50" s="378">
        <f t="shared" si="15"/>
        <v>8.2094000000000005</v>
      </c>
      <c r="E50" s="379">
        <f t="shared" si="23"/>
        <v>141</v>
      </c>
      <c r="F50" s="380">
        <f t="shared" si="24"/>
        <v>0</v>
      </c>
      <c r="G50" s="381">
        <f>225.6739+23.113+0.1302-152.3726</f>
        <v>96.544499999999999</v>
      </c>
      <c r="H50" s="382"/>
      <c r="I50" s="321">
        <f t="shared" si="28"/>
        <v>60.455500000000001</v>
      </c>
      <c r="J50" s="385">
        <f t="shared" si="25"/>
        <v>60.455500000000001</v>
      </c>
      <c r="K50" s="383">
        <f t="shared" si="26"/>
        <v>157</v>
      </c>
      <c r="L50" s="384">
        <f t="shared" si="27"/>
        <v>0</v>
      </c>
    </row>
    <row r="51" spans="1:12" ht="15">
      <c r="A51" s="326">
        <v>42810</v>
      </c>
      <c r="B51" s="332">
        <f>4.8584*100</f>
        <v>485.84</v>
      </c>
      <c r="C51" s="378">
        <f>179.2524-43.2524</f>
        <v>136</v>
      </c>
      <c r="D51" s="378">
        <f t="shared" ref="D51:D56" si="29">4+1</f>
        <v>5</v>
      </c>
      <c r="E51" s="379">
        <f t="shared" si="23"/>
        <v>141</v>
      </c>
      <c r="F51" s="380">
        <f t="shared" si="24"/>
        <v>0</v>
      </c>
      <c r="G51" s="381">
        <f>224.9065+23.113+0.1302-151.6052</f>
        <v>96.544499999999999</v>
      </c>
      <c r="H51" s="382"/>
      <c r="I51" s="321">
        <f t="shared" si="28"/>
        <v>60.455500000000001</v>
      </c>
      <c r="J51" s="385">
        <f t="shared" si="25"/>
        <v>60.455500000000001</v>
      </c>
      <c r="K51" s="383">
        <f t="shared" si="26"/>
        <v>157</v>
      </c>
      <c r="L51" s="384">
        <f t="shared" si="27"/>
        <v>0</v>
      </c>
    </row>
    <row r="52" spans="1:12" ht="15">
      <c r="A52" s="326">
        <v>42826</v>
      </c>
      <c r="B52" s="332">
        <f>4.6396*100</f>
        <v>463.96</v>
      </c>
      <c r="C52" s="378">
        <f>158.8046-22.8046</f>
        <v>136</v>
      </c>
      <c r="D52" s="378">
        <f t="shared" si="29"/>
        <v>5</v>
      </c>
      <c r="E52" s="379">
        <f t="shared" si="23"/>
        <v>141</v>
      </c>
      <c r="F52" s="380">
        <f t="shared" si="24"/>
        <v>0</v>
      </c>
      <c r="G52" s="381">
        <f>205.5308+23.113+0.1302-132.2295</f>
        <v>96.544499999999999</v>
      </c>
      <c r="H52" s="382"/>
      <c r="I52" s="321">
        <f t="shared" si="28"/>
        <v>60.455500000000001</v>
      </c>
      <c r="J52" s="385">
        <f t="shared" si="25"/>
        <v>60.455500000000001</v>
      </c>
      <c r="K52" s="383">
        <f t="shared" si="26"/>
        <v>157</v>
      </c>
      <c r="L52" s="384">
        <f t="shared" si="27"/>
        <v>0</v>
      </c>
    </row>
    <row r="53" spans="1:12" ht="15">
      <c r="A53" s="326">
        <v>42841</v>
      </c>
      <c r="B53" s="332">
        <f>4.5065*100</f>
        <v>450.65</v>
      </c>
      <c r="C53" s="378">
        <f>164.1531-28.1531</f>
        <v>136</v>
      </c>
      <c r="D53" s="378">
        <f t="shared" si="29"/>
        <v>5</v>
      </c>
      <c r="E53" s="379">
        <f t="shared" si="23"/>
        <v>141</v>
      </c>
      <c r="F53" s="380">
        <f t="shared" si="24"/>
        <v>0</v>
      </c>
      <c r="G53" s="381">
        <f>217.4736+23.113+0.1302-145.1723</f>
        <v>95.544499999999999</v>
      </c>
      <c r="H53" s="382"/>
      <c r="I53" s="321">
        <f>1.5+13.5+27.1555+19+0.3</f>
        <v>61.455500000000001</v>
      </c>
      <c r="J53" s="385">
        <f t="shared" si="25"/>
        <v>61.455500000000001</v>
      </c>
      <c r="K53" s="383">
        <f t="shared" si="26"/>
        <v>157</v>
      </c>
      <c r="L53" s="384">
        <f t="shared" si="27"/>
        <v>0</v>
      </c>
    </row>
    <row r="54" spans="1:12" ht="15">
      <c r="A54" s="326">
        <v>42856</v>
      </c>
      <c r="B54" s="332">
        <f>4.4238*100</f>
        <v>442.38</v>
      </c>
      <c r="C54" s="378">
        <f>162.329-26.329</f>
        <v>136</v>
      </c>
      <c r="D54" s="378">
        <f t="shared" si="29"/>
        <v>5</v>
      </c>
      <c r="E54" s="379">
        <f t="shared" si="23"/>
        <v>141</v>
      </c>
      <c r="F54" s="380">
        <f t="shared" si="24"/>
        <v>0</v>
      </c>
      <c r="G54" s="381">
        <f>212.4296+23.113+0.1302-140.6283</f>
        <v>95.044499999999999</v>
      </c>
      <c r="H54" s="382"/>
      <c r="I54" s="321">
        <f>2+13.5+27.1555+19+0.3</f>
        <v>61.955500000000001</v>
      </c>
      <c r="J54" s="385">
        <f t="shared" si="25"/>
        <v>61.955500000000001</v>
      </c>
      <c r="K54" s="383">
        <f t="shared" si="26"/>
        <v>157</v>
      </c>
      <c r="L54" s="384">
        <f t="shared" si="27"/>
        <v>0</v>
      </c>
    </row>
    <row r="55" spans="1:12" ht="15">
      <c r="A55" s="326">
        <v>42871</v>
      </c>
      <c r="B55" s="332">
        <f>4.4448*100</f>
        <v>444.47999999999996</v>
      </c>
      <c r="C55" s="378">
        <f>156.0966-20.0966</f>
        <v>136</v>
      </c>
      <c r="D55" s="378">
        <f t="shared" si="29"/>
        <v>5</v>
      </c>
      <c r="E55" s="379">
        <f t="shared" si="23"/>
        <v>141</v>
      </c>
      <c r="F55" s="380">
        <f t="shared" si="24"/>
        <v>0</v>
      </c>
      <c r="G55" s="381">
        <f>199.246+23.113+0.1302-127.4447</f>
        <v>95.044500000000014</v>
      </c>
      <c r="H55" s="382"/>
      <c r="I55" s="321">
        <f>2+13.5+27.1555+19+0.3</f>
        <v>61.955500000000001</v>
      </c>
      <c r="J55" s="385">
        <f t="shared" si="25"/>
        <v>61.955500000000001</v>
      </c>
      <c r="K55" s="383">
        <f t="shared" si="26"/>
        <v>157</v>
      </c>
      <c r="L55" s="384">
        <f t="shared" si="27"/>
        <v>0</v>
      </c>
    </row>
    <row r="56" spans="1:12" ht="15">
      <c r="A56" s="326">
        <v>42887</v>
      </c>
      <c r="B56" s="332">
        <f>4.528*100</f>
        <v>452.79999999999995</v>
      </c>
      <c r="C56" s="378">
        <f>166.5408-30.5408</f>
        <v>136</v>
      </c>
      <c r="D56" s="378">
        <f t="shared" si="29"/>
        <v>5</v>
      </c>
      <c r="E56" s="379">
        <f t="shared" si="23"/>
        <v>141</v>
      </c>
      <c r="F56" s="380">
        <f t="shared" si="24"/>
        <v>0</v>
      </c>
      <c r="G56" s="381">
        <f>213.973+23.113+0.1302-142.1717</f>
        <v>95.044500000000028</v>
      </c>
      <c r="H56" s="382"/>
      <c r="I56" s="321">
        <f t="shared" ref="I56:I77" si="30">2+13.5+27.1555+19+0.3</f>
        <v>61.955500000000001</v>
      </c>
      <c r="J56" s="385">
        <f t="shared" si="25"/>
        <v>61.955500000000001</v>
      </c>
      <c r="K56" s="383">
        <f t="shared" si="26"/>
        <v>157.00000000000003</v>
      </c>
      <c r="L56" s="384">
        <f t="shared" si="27"/>
        <v>0</v>
      </c>
    </row>
    <row r="57" spans="1:12" ht="15">
      <c r="A57" s="326">
        <v>42902</v>
      </c>
      <c r="B57" s="332">
        <f>4.5189*100</f>
        <v>451.89000000000004</v>
      </c>
      <c r="C57" s="378">
        <f>161.7932-25.7932</f>
        <v>136</v>
      </c>
      <c r="D57" s="378">
        <f t="shared" ref="D57:D64" si="31">4+1</f>
        <v>5</v>
      </c>
      <c r="E57" s="379">
        <f t="shared" si="23"/>
        <v>141</v>
      </c>
      <c r="F57" s="380">
        <f t="shared" si="24"/>
        <v>0</v>
      </c>
      <c r="G57" s="381">
        <f>206.7617+23.113+0.1302-134.9604</f>
        <v>95.044499999999999</v>
      </c>
      <c r="H57" s="382"/>
      <c r="I57" s="321">
        <f t="shared" si="30"/>
        <v>61.955500000000001</v>
      </c>
      <c r="J57" s="385">
        <f t="shared" si="25"/>
        <v>61.955500000000001</v>
      </c>
      <c r="K57" s="383">
        <f t="shared" si="26"/>
        <v>157</v>
      </c>
      <c r="L57" s="384">
        <f t="shared" si="27"/>
        <v>0</v>
      </c>
    </row>
    <row r="58" spans="1:12" ht="15">
      <c r="A58" s="326">
        <v>42917</v>
      </c>
      <c r="B58" s="332">
        <f>4.6458*100</f>
        <v>464.58000000000004</v>
      </c>
      <c r="C58" s="378">
        <f>157.4441-21.4441</f>
        <v>136</v>
      </c>
      <c r="D58" s="378">
        <f t="shared" si="31"/>
        <v>5</v>
      </c>
      <c r="E58" s="379">
        <f t="shared" si="23"/>
        <v>141</v>
      </c>
      <c r="F58" s="380">
        <f t="shared" si="24"/>
        <v>0</v>
      </c>
      <c r="G58" s="381">
        <f>201.6552+23.113+0.1302-129.8539</f>
        <v>95.044499999999999</v>
      </c>
      <c r="H58" s="382"/>
      <c r="I58" s="321">
        <f t="shared" si="30"/>
        <v>61.955500000000001</v>
      </c>
      <c r="J58" s="385">
        <f t="shared" si="25"/>
        <v>61.955500000000001</v>
      </c>
      <c r="K58" s="383">
        <f t="shared" si="26"/>
        <v>157</v>
      </c>
      <c r="L58" s="384">
        <f t="shared" si="27"/>
        <v>0</v>
      </c>
    </row>
    <row r="59" spans="1:12" ht="15">
      <c r="A59" s="326">
        <v>42932</v>
      </c>
      <c r="B59" s="332">
        <f>4.6382*100</f>
        <v>463.82000000000005</v>
      </c>
      <c r="C59" s="378">
        <f>158.9705-22.9705</f>
        <v>136</v>
      </c>
      <c r="D59" s="378">
        <f t="shared" si="31"/>
        <v>5</v>
      </c>
      <c r="E59" s="379">
        <f t="shared" si="23"/>
        <v>141</v>
      </c>
      <c r="F59" s="380">
        <f t="shared" si="24"/>
        <v>0</v>
      </c>
      <c r="G59" s="381">
        <f>206.0093+23.113+0.1302-134.208</f>
        <v>95.044499999999999</v>
      </c>
      <c r="H59" s="382"/>
      <c r="I59" s="321">
        <f t="shared" si="30"/>
        <v>61.955500000000001</v>
      </c>
      <c r="J59" s="385">
        <f t="shared" si="25"/>
        <v>61.955500000000001</v>
      </c>
      <c r="K59" s="383">
        <f t="shared" si="26"/>
        <v>157</v>
      </c>
      <c r="L59" s="384">
        <f t="shared" si="27"/>
        <v>0</v>
      </c>
    </row>
    <row r="60" spans="1:12" ht="15">
      <c r="A60" s="326">
        <v>42948</v>
      </c>
      <c r="B60" s="332">
        <f>4.6646*100</f>
        <v>466.46000000000004</v>
      </c>
      <c r="C60" s="378">
        <f>161.3536-25.3536</f>
        <v>136</v>
      </c>
      <c r="D60" s="378">
        <f t="shared" si="31"/>
        <v>5</v>
      </c>
      <c r="E60" s="379">
        <f t="shared" si="23"/>
        <v>141</v>
      </c>
      <c r="F60" s="380">
        <f t="shared" si="24"/>
        <v>0</v>
      </c>
      <c r="G60" s="381">
        <f>215.0464+23.113+0.1302-143.2451</f>
        <v>95.044499999999999</v>
      </c>
      <c r="H60" s="382"/>
      <c r="I60" s="321">
        <f t="shared" si="30"/>
        <v>61.955500000000001</v>
      </c>
      <c r="J60" s="385">
        <f t="shared" si="25"/>
        <v>61.955500000000001</v>
      </c>
      <c r="K60" s="383">
        <f t="shared" si="26"/>
        <v>157</v>
      </c>
      <c r="L60" s="384">
        <f t="shared" si="27"/>
        <v>0</v>
      </c>
    </row>
    <row r="61" spans="1:12" ht="15">
      <c r="A61" s="326">
        <v>42963</v>
      </c>
      <c r="B61" s="332">
        <f>4.6837*100</f>
        <v>468.37</v>
      </c>
      <c r="C61" s="378">
        <f>168.6869-32.6869</f>
        <v>136</v>
      </c>
      <c r="D61" s="378">
        <f t="shared" si="31"/>
        <v>5</v>
      </c>
      <c r="E61" s="379">
        <f t="shared" si="23"/>
        <v>141</v>
      </c>
      <c r="F61" s="380">
        <f t="shared" si="24"/>
        <v>0</v>
      </c>
      <c r="G61" s="381">
        <f>226.7303+23.113+0.1302-154.929</f>
        <v>95.044499999999999</v>
      </c>
      <c r="H61" s="382"/>
      <c r="I61" s="321">
        <f t="shared" si="30"/>
        <v>61.955500000000001</v>
      </c>
      <c r="J61" s="385">
        <f t="shared" si="25"/>
        <v>61.955500000000001</v>
      </c>
      <c r="K61" s="383">
        <f t="shared" si="26"/>
        <v>157</v>
      </c>
      <c r="L61" s="384">
        <f t="shared" si="27"/>
        <v>0</v>
      </c>
    </row>
    <row r="62" spans="1:12" ht="15">
      <c r="A62" s="326">
        <v>42979</v>
      </c>
      <c r="B62" s="332">
        <f>4.7202*100</f>
        <v>472.02000000000004</v>
      </c>
      <c r="C62" s="378">
        <f>167.2403-31.2403</f>
        <v>136</v>
      </c>
      <c r="D62" s="378">
        <f t="shared" si="31"/>
        <v>5</v>
      </c>
      <c r="E62" s="379">
        <f t="shared" si="23"/>
        <v>141</v>
      </c>
      <c r="F62" s="380">
        <f t="shared" si="24"/>
        <v>0</v>
      </c>
      <c r="G62" s="381">
        <f>229.4087+23.113+0.1302-157.6074</f>
        <v>95.044499999999999</v>
      </c>
      <c r="H62" s="382"/>
      <c r="I62" s="321">
        <f t="shared" si="30"/>
        <v>61.955500000000001</v>
      </c>
      <c r="J62" s="385">
        <f t="shared" si="25"/>
        <v>61.955500000000001</v>
      </c>
      <c r="K62" s="383">
        <f t="shared" si="26"/>
        <v>157</v>
      </c>
      <c r="L62" s="384">
        <f t="shared" si="27"/>
        <v>0</v>
      </c>
    </row>
    <row r="63" spans="1:12" ht="15">
      <c r="A63" s="326">
        <v>42994</v>
      </c>
      <c r="B63" s="332">
        <f>4.74*100</f>
        <v>474</v>
      </c>
      <c r="C63" s="378">
        <f>174.9125-38.9125</f>
        <v>136</v>
      </c>
      <c r="D63" s="378">
        <f t="shared" si="31"/>
        <v>5</v>
      </c>
      <c r="E63" s="379">
        <f t="shared" si="23"/>
        <v>141</v>
      </c>
      <c r="F63" s="380">
        <f t="shared" si="24"/>
        <v>0</v>
      </c>
      <c r="G63" s="381">
        <f>255.5966+23.113+0.1302-183.7953</f>
        <v>95.044500000000028</v>
      </c>
      <c r="H63" s="382"/>
      <c r="I63" s="321">
        <f t="shared" si="30"/>
        <v>61.955500000000001</v>
      </c>
      <c r="J63" s="385">
        <f t="shared" si="25"/>
        <v>61.955500000000001</v>
      </c>
      <c r="K63" s="383">
        <f t="shared" si="26"/>
        <v>157.00000000000003</v>
      </c>
      <c r="L63" s="384">
        <f t="shared" si="27"/>
        <v>0</v>
      </c>
    </row>
    <row r="64" spans="1:12" ht="15">
      <c r="A64" s="326">
        <v>43009</v>
      </c>
      <c r="B64" s="332">
        <f>4.711*100</f>
        <v>471.1</v>
      </c>
      <c r="C64" s="378">
        <f>180.4664-44.4664</f>
        <v>136</v>
      </c>
      <c r="D64" s="378">
        <f t="shared" si="31"/>
        <v>5</v>
      </c>
      <c r="E64" s="379">
        <f t="shared" si="23"/>
        <v>141</v>
      </c>
      <c r="F64" s="380">
        <f t="shared" si="24"/>
        <v>0</v>
      </c>
      <c r="G64" s="381">
        <f>241.0878+23.113+0.1302-169.2865</f>
        <v>95.044499999999971</v>
      </c>
      <c r="H64" s="382"/>
      <c r="I64" s="321">
        <f t="shared" si="30"/>
        <v>61.955500000000001</v>
      </c>
      <c r="J64" s="385">
        <f t="shared" si="25"/>
        <v>61.955500000000001</v>
      </c>
      <c r="K64" s="383">
        <f t="shared" si="26"/>
        <v>156.99999999999997</v>
      </c>
      <c r="L64" s="384">
        <f t="shared" si="27"/>
        <v>0</v>
      </c>
    </row>
    <row r="65" spans="1:12" ht="15">
      <c r="A65" s="326">
        <v>43024</v>
      </c>
      <c r="B65" s="332">
        <f>4.7022*100</f>
        <v>470.22</v>
      </c>
      <c r="C65" s="378">
        <f>181.954-45.954</f>
        <v>136</v>
      </c>
      <c r="D65" s="378">
        <f>4+1</f>
        <v>5</v>
      </c>
      <c r="E65" s="379">
        <f t="shared" si="23"/>
        <v>141</v>
      </c>
      <c r="F65" s="380">
        <f t="shared" si="24"/>
        <v>0</v>
      </c>
      <c r="G65" s="381">
        <f>230.7411+23.113+0.1302-158.9398</f>
        <v>95.044499999999999</v>
      </c>
      <c r="H65" s="393"/>
      <c r="I65" s="321">
        <f t="shared" si="30"/>
        <v>61.955500000000001</v>
      </c>
      <c r="J65" s="385">
        <f t="shared" si="25"/>
        <v>61.955500000000001</v>
      </c>
      <c r="K65" s="383">
        <f t="shared" si="26"/>
        <v>157</v>
      </c>
      <c r="L65" s="384">
        <f t="shared" si="27"/>
        <v>0</v>
      </c>
    </row>
    <row r="66" spans="1:12" ht="15">
      <c r="A66" s="326">
        <v>43040</v>
      </c>
      <c r="B66" s="332">
        <f>4.6176*100</f>
        <v>461.76000000000005</v>
      </c>
      <c r="C66" s="378">
        <f>180.4932-44.4932</f>
        <v>136</v>
      </c>
      <c r="D66" s="378">
        <f>4+1</f>
        <v>5</v>
      </c>
      <c r="E66" s="379">
        <f t="shared" si="23"/>
        <v>141</v>
      </c>
      <c r="F66" s="380">
        <f t="shared" si="24"/>
        <v>0</v>
      </c>
      <c r="G66" s="381">
        <f>228.6731+23.113+0.1302-156.8718</f>
        <v>95.044499999999999</v>
      </c>
      <c r="H66" s="393"/>
      <c r="I66" s="321">
        <f t="shared" si="30"/>
        <v>61.955500000000001</v>
      </c>
      <c r="J66" s="385">
        <f t="shared" si="25"/>
        <v>61.955500000000001</v>
      </c>
      <c r="K66" s="383">
        <f t="shared" si="26"/>
        <v>157</v>
      </c>
      <c r="L66" s="384">
        <f t="shared" si="27"/>
        <v>0</v>
      </c>
    </row>
    <row r="67" spans="1:12" ht="15">
      <c r="A67" s="326">
        <v>43055</v>
      </c>
      <c r="B67" s="332">
        <f>4.7052*100</f>
        <v>470.52</v>
      </c>
      <c r="C67" s="378">
        <f>198.281-62.281</f>
        <v>136</v>
      </c>
      <c r="D67" s="378">
        <f>4+1</f>
        <v>5</v>
      </c>
      <c r="E67" s="379">
        <f t="shared" si="23"/>
        <v>141</v>
      </c>
      <c r="F67" s="380">
        <f t="shared" si="24"/>
        <v>0</v>
      </c>
      <c r="G67" s="381">
        <f>252.351+23.113+0.1302-180.5497</f>
        <v>95.044499999999999</v>
      </c>
      <c r="H67" s="393"/>
      <c r="I67" s="321">
        <f t="shared" si="30"/>
        <v>61.955500000000001</v>
      </c>
      <c r="J67" s="385">
        <f t="shared" si="25"/>
        <v>61.955500000000001</v>
      </c>
      <c r="K67" s="383">
        <f t="shared" si="26"/>
        <v>157</v>
      </c>
      <c r="L67" s="384">
        <f t="shared" si="27"/>
        <v>0</v>
      </c>
    </row>
    <row r="68" spans="1:12" ht="15">
      <c r="A68" s="326">
        <v>43070</v>
      </c>
      <c r="B68" s="332">
        <f>4.8055*100</f>
        <v>480.55</v>
      </c>
      <c r="C68" s="378">
        <f>200.5228-64.5228</f>
        <v>136</v>
      </c>
      <c r="D68" s="378">
        <f t="shared" ref="D68:D77" si="32">4+1</f>
        <v>5</v>
      </c>
      <c r="E68" s="379">
        <f t="shared" si="23"/>
        <v>141</v>
      </c>
      <c r="F68" s="380">
        <f t="shared" si="24"/>
        <v>0</v>
      </c>
      <c r="G68" s="381">
        <f>251.4047+23.113+0.1302-179.6034</f>
        <v>95.044499999999999</v>
      </c>
      <c r="H68" s="393"/>
      <c r="I68" s="321">
        <f t="shared" si="30"/>
        <v>61.955500000000001</v>
      </c>
      <c r="J68" s="385">
        <f t="shared" si="25"/>
        <v>61.955500000000001</v>
      </c>
      <c r="K68" s="383">
        <f t="shared" si="26"/>
        <v>157</v>
      </c>
      <c r="L68" s="384">
        <f t="shared" si="27"/>
        <v>0</v>
      </c>
    </row>
    <row r="69" spans="1:12" ht="15">
      <c r="A69" s="326">
        <v>43085</v>
      </c>
      <c r="B69" s="332">
        <f>4.7441*100</f>
        <v>474.41</v>
      </c>
      <c r="C69" s="378">
        <f>195.4262-59.4262</f>
        <v>136</v>
      </c>
      <c r="D69" s="378">
        <f t="shared" si="32"/>
        <v>5</v>
      </c>
      <c r="E69" s="379">
        <f t="shared" si="23"/>
        <v>141</v>
      </c>
      <c r="F69" s="380">
        <f t="shared" si="24"/>
        <v>0</v>
      </c>
      <c r="G69" s="381">
        <f>246.881+23.113+0.1302-175.0797</f>
        <v>95.044500000000028</v>
      </c>
      <c r="H69" s="393"/>
      <c r="I69" s="321">
        <f t="shared" si="30"/>
        <v>61.955500000000001</v>
      </c>
      <c r="J69" s="385">
        <f t="shared" si="25"/>
        <v>61.955500000000001</v>
      </c>
      <c r="K69" s="383">
        <f t="shared" si="26"/>
        <v>157.00000000000003</v>
      </c>
      <c r="L69" s="384">
        <f t="shared" si="27"/>
        <v>0</v>
      </c>
    </row>
    <row r="70" spans="1:12" ht="15">
      <c r="A70" s="326">
        <v>43101</v>
      </c>
      <c r="B70" s="332">
        <f>4.7359*100</f>
        <v>473.59</v>
      </c>
      <c r="C70" s="378">
        <f>196.6343-60.6343</f>
        <v>136</v>
      </c>
      <c r="D70" s="378">
        <f t="shared" si="32"/>
        <v>5</v>
      </c>
      <c r="E70" s="379">
        <f t="shared" si="23"/>
        <v>141</v>
      </c>
      <c r="F70" s="380">
        <f t="shared" si="24"/>
        <v>0</v>
      </c>
      <c r="G70" s="381">
        <f>246.1952+23.113+0.1302-174.3939</f>
        <v>95.044499999999999</v>
      </c>
      <c r="H70" s="393"/>
      <c r="I70" s="321">
        <f t="shared" si="30"/>
        <v>61.955500000000001</v>
      </c>
      <c r="J70" s="385">
        <f t="shared" si="25"/>
        <v>61.955500000000001</v>
      </c>
      <c r="K70" s="383">
        <f t="shared" si="26"/>
        <v>157</v>
      </c>
      <c r="L70" s="384">
        <f t="shared" si="27"/>
        <v>0</v>
      </c>
    </row>
    <row r="71" spans="1:12" ht="15">
      <c r="A71" s="326">
        <v>43116</v>
      </c>
      <c r="B71" s="332">
        <f>4.7597*100</f>
        <v>475.96999999999997</v>
      </c>
      <c r="C71" s="378">
        <f>210.0681-74.0681</f>
        <v>136</v>
      </c>
      <c r="D71" s="378">
        <f t="shared" si="32"/>
        <v>5</v>
      </c>
      <c r="E71" s="379">
        <f t="shared" si="23"/>
        <v>141</v>
      </c>
      <c r="F71" s="380">
        <f t="shared" si="24"/>
        <v>0</v>
      </c>
      <c r="G71" s="381">
        <f>258.6846+23.113+0.1302-186.8833</f>
        <v>95.044499999999999</v>
      </c>
      <c r="H71" s="393"/>
      <c r="I71" s="321">
        <f t="shared" si="30"/>
        <v>61.955500000000001</v>
      </c>
      <c r="J71" s="385">
        <f t="shared" si="25"/>
        <v>61.955500000000001</v>
      </c>
      <c r="K71" s="383">
        <f t="shared" si="26"/>
        <v>157</v>
      </c>
      <c r="L71" s="384">
        <f t="shared" si="27"/>
        <v>0</v>
      </c>
    </row>
    <row r="72" spans="1:12" ht="15">
      <c r="A72" s="326">
        <v>43132</v>
      </c>
      <c r="B72" s="332">
        <f>4.7712*100</f>
        <v>477.12</v>
      </c>
      <c r="C72" s="378">
        <f>210.746-74.746</f>
        <v>136</v>
      </c>
      <c r="D72" s="378">
        <f t="shared" si="32"/>
        <v>5</v>
      </c>
      <c r="E72" s="379">
        <f t="shared" si="23"/>
        <v>141</v>
      </c>
      <c r="F72" s="380">
        <f t="shared" si="24"/>
        <v>0</v>
      </c>
      <c r="G72" s="381">
        <f>272.075+29.1723+0.1302-206.333</f>
        <v>95.044499999999999</v>
      </c>
      <c r="H72" s="393"/>
      <c r="I72" s="321">
        <f t="shared" si="30"/>
        <v>61.955500000000001</v>
      </c>
      <c r="J72" s="385">
        <f t="shared" si="25"/>
        <v>61.955500000000001</v>
      </c>
      <c r="K72" s="383">
        <f t="shared" si="26"/>
        <v>157</v>
      </c>
      <c r="L72" s="384">
        <f t="shared" si="27"/>
        <v>0</v>
      </c>
    </row>
    <row r="73" spans="1:12" ht="15">
      <c r="A73" s="326">
        <v>43147</v>
      </c>
      <c r="B73" s="332">
        <f>4.7106*100</f>
        <v>471.06000000000006</v>
      </c>
      <c r="C73" s="378">
        <f>202.9634-66.9634</f>
        <v>136</v>
      </c>
      <c r="D73" s="378">
        <f t="shared" si="32"/>
        <v>5</v>
      </c>
      <c r="E73" s="379">
        <f t="shared" si="23"/>
        <v>141</v>
      </c>
      <c r="F73" s="380">
        <f t="shared" si="24"/>
        <v>0</v>
      </c>
      <c r="G73" s="381">
        <f>264.2508+29.1723+0.1302-198.5088</f>
        <v>95.044500000000028</v>
      </c>
      <c r="H73" s="393"/>
      <c r="I73" s="321">
        <f t="shared" si="30"/>
        <v>61.955500000000001</v>
      </c>
      <c r="J73" s="385">
        <f t="shared" si="25"/>
        <v>61.955500000000001</v>
      </c>
      <c r="K73" s="383">
        <f t="shared" si="26"/>
        <v>157.00000000000003</v>
      </c>
      <c r="L73" s="384">
        <f t="shared" si="27"/>
        <v>0</v>
      </c>
    </row>
    <row r="74" spans="1:12" ht="15">
      <c r="A74" s="326">
        <v>43160</v>
      </c>
      <c r="B74" s="332">
        <f>4.7019*100</f>
        <v>470.19</v>
      </c>
      <c r="C74" s="378">
        <f>196.5869-60.5869</f>
        <v>136</v>
      </c>
      <c r="D74" s="378">
        <f t="shared" si="32"/>
        <v>5</v>
      </c>
      <c r="E74" s="379">
        <f t="shared" si="23"/>
        <v>141</v>
      </c>
      <c r="F74" s="380">
        <f t="shared" si="24"/>
        <v>0</v>
      </c>
      <c r="G74" s="381">
        <f>249.9902+29.1723+0.1302-184.2483</f>
        <v>95.044399999999968</v>
      </c>
      <c r="H74" s="393"/>
      <c r="I74" s="321">
        <f t="shared" si="30"/>
        <v>61.955500000000001</v>
      </c>
      <c r="J74" s="385">
        <f t="shared" si="25"/>
        <v>61.955500000000001</v>
      </c>
      <c r="K74" s="383">
        <f t="shared" si="26"/>
        <v>156.99989999999997</v>
      </c>
      <c r="L74" s="384">
        <f t="shared" si="27"/>
        <v>-6.3694267549152528E-7</v>
      </c>
    </row>
    <row r="75" spans="1:12" ht="15">
      <c r="A75" s="326">
        <v>43175</v>
      </c>
      <c r="B75" s="332">
        <f>4.677*100</f>
        <v>467.69999999999993</v>
      </c>
      <c r="C75" s="378">
        <f>194.4345-58.4345</f>
        <v>136</v>
      </c>
      <c r="D75" s="378">
        <f t="shared" si="32"/>
        <v>5</v>
      </c>
      <c r="E75" s="379">
        <f t="shared" si="23"/>
        <v>141</v>
      </c>
      <c r="F75" s="380">
        <f t="shared" si="24"/>
        <v>0</v>
      </c>
      <c r="G75" s="381">
        <f>250.8242+29.1723+0.1302-185.0822</f>
        <v>95.044499999999971</v>
      </c>
      <c r="H75" s="393"/>
      <c r="I75" s="321">
        <f t="shared" si="30"/>
        <v>61.955500000000001</v>
      </c>
      <c r="J75" s="385">
        <f t="shared" si="25"/>
        <v>61.955500000000001</v>
      </c>
      <c r="K75" s="383">
        <f t="shared" si="26"/>
        <v>156.99999999999997</v>
      </c>
      <c r="L75" s="384">
        <f t="shared" si="27"/>
        <v>6.3694308094497387E-7</v>
      </c>
    </row>
    <row r="76" spans="1:12" ht="15">
      <c r="A76" s="326">
        <v>43191</v>
      </c>
      <c r="B76" s="332">
        <f>4.6624*100</f>
        <v>466.24</v>
      </c>
      <c r="C76" s="378">
        <f>198.0416-62.0416</f>
        <v>136</v>
      </c>
      <c r="D76" s="378">
        <f t="shared" si="32"/>
        <v>5</v>
      </c>
      <c r="E76" s="379">
        <f t="shared" si="23"/>
        <v>141</v>
      </c>
      <c r="F76" s="380">
        <f t="shared" si="24"/>
        <v>0</v>
      </c>
      <c r="G76" s="381">
        <f>257.9129+29.1723+0.1302-192.1709</f>
        <v>95.044499999999999</v>
      </c>
      <c r="H76" s="393"/>
      <c r="I76" s="321">
        <f t="shared" si="30"/>
        <v>61.955500000000001</v>
      </c>
      <c r="J76" s="385">
        <f t="shared" si="25"/>
        <v>61.955500000000001</v>
      </c>
      <c r="K76" s="383">
        <f t="shared" si="26"/>
        <v>157</v>
      </c>
      <c r="L76" s="384">
        <f t="shared" si="27"/>
        <v>0</v>
      </c>
    </row>
    <row r="77" spans="1:12" ht="15">
      <c r="A77" s="326">
        <v>43206</v>
      </c>
      <c r="B77" s="332">
        <f>4.686*100</f>
        <v>468.6</v>
      </c>
      <c r="C77" s="378">
        <f>202.282-66.282</f>
        <v>136</v>
      </c>
      <c r="D77" s="378">
        <f t="shared" si="32"/>
        <v>5</v>
      </c>
      <c r="E77" s="379">
        <f t="shared" si="23"/>
        <v>141</v>
      </c>
      <c r="F77" s="380">
        <f t="shared" ref="F77:F85" si="33">E77/E76-1</f>
        <v>0</v>
      </c>
      <c r="G77" s="381">
        <f>271.5383+29.1723+0.1302-205.7963</f>
        <v>95.044499999999999</v>
      </c>
      <c r="H77" s="393"/>
      <c r="I77" s="321">
        <f t="shared" si="30"/>
        <v>61.955500000000001</v>
      </c>
      <c r="J77" s="385">
        <f t="shared" si="25"/>
        <v>61.955500000000001</v>
      </c>
      <c r="K77" s="383">
        <f t="shared" si="26"/>
        <v>157</v>
      </c>
      <c r="L77" s="384">
        <f t="shared" si="27"/>
        <v>0</v>
      </c>
    </row>
    <row r="78" spans="1:12" ht="15">
      <c r="A78" s="326">
        <v>43221</v>
      </c>
      <c r="B78" s="332">
        <f>4.7086*100</f>
        <v>470.85999999999996</v>
      </c>
      <c r="C78" s="378">
        <f>211.7901-75.7901</f>
        <v>136</v>
      </c>
      <c r="D78" s="378">
        <f>4+1</f>
        <v>5</v>
      </c>
      <c r="E78" s="379">
        <f t="shared" si="23"/>
        <v>141</v>
      </c>
      <c r="F78" s="380">
        <f t="shared" si="33"/>
        <v>0</v>
      </c>
      <c r="G78" s="381">
        <f>277.3621+29.1723+0.1302-212.6201</f>
        <v>94.044499999999999</v>
      </c>
      <c r="H78" s="393"/>
      <c r="I78" s="321">
        <f>2+14.5+27.1555+19+0.3</f>
        <v>62.955500000000001</v>
      </c>
      <c r="J78" s="385">
        <f t="shared" ref="J78:J83" si="34">H78+I78</f>
        <v>62.955500000000001</v>
      </c>
      <c r="K78" s="383">
        <f t="shared" si="26"/>
        <v>157</v>
      </c>
      <c r="L78" s="384">
        <f t="shared" si="27"/>
        <v>0</v>
      </c>
    </row>
    <row r="79" spans="1:12" ht="15">
      <c r="A79" s="326">
        <v>43236</v>
      </c>
      <c r="B79" s="332">
        <f>4.7176*100</f>
        <v>471.76</v>
      </c>
      <c r="C79" s="378">
        <f>221.7746-85.7746</f>
        <v>136</v>
      </c>
      <c r="D79" s="378">
        <f>4+1</f>
        <v>5</v>
      </c>
      <c r="E79" s="379">
        <f t="shared" ref="E79:E85" si="35">C79+D79</f>
        <v>141</v>
      </c>
      <c r="F79" s="380">
        <f t="shared" si="33"/>
        <v>0</v>
      </c>
      <c r="G79" s="381">
        <f>284.0031+29.1723+0.1302-219.2612</f>
        <v>94.044400000000024</v>
      </c>
      <c r="H79" s="393"/>
      <c r="I79" s="321">
        <f>2+14.5+27.1555+19+0.3</f>
        <v>62.955500000000001</v>
      </c>
      <c r="J79" s="385">
        <f t="shared" si="34"/>
        <v>62.955500000000001</v>
      </c>
      <c r="K79" s="383">
        <f t="shared" ref="K79:K85" si="36">G79+J79</f>
        <v>156.99990000000003</v>
      </c>
      <c r="L79" s="384">
        <f t="shared" ref="L79:L85" si="37">K79/K78-1</f>
        <v>-6.3694267504743607E-7</v>
      </c>
    </row>
    <row r="80" spans="1:12" ht="15">
      <c r="A80" s="326">
        <v>43252</v>
      </c>
      <c r="B80" s="332">
        <f>4.7236*100</f>
        <v>472.36</v>
      </c>
      <c r="C80" s="378">
        <f>238.8692-102.8692</f>
        <v>136</v>
      </c>
      <c r="D80" s="378">
        <f>4+1</f>
        <v>5</v>
      </c>
      <c r="E80" s="379">
        <f t="shared" si="35"/>
        <v>141</v>
      </c>
      <c r="F80" s="380">
        <f t="shared" si="33"/>
        <v>0</v>
      </c>
      <c r="G80" s="381">
        <f>298.4714+29.1723+0.1302-233.7294</f>
        <v>94.044500000000028</v>
      </c>
      <c r="H80" s="393"/>
      <c r="I80" s="321">
        <f>2+14.5+27.1555+19+0.3</f>
        <v>62.955500000000001</v>
      </c>
      <c r="J80" s="385">
        <f t="shared" si="34"/>
        <v>62.955500000000001</v>
      </c>
      <c r="K80" s="383">
        <f t="shared" si="36"/>
        <v>157.00000000000003</v>
      </c>
      <c r="L80" s="384">
        <f t="shared" si="37"/>
        <v>6.3694308094497387E-7</v>
      </c>
    </row>
    <row r="81" spans="1:12" ht="15">
      <c r="A81" s="326">
        <v>43267</v>
      </c>
      <c r="B81" s="332">
        <f>4.937*100</f>
        <v>493.70000000000005</v>
      </c>
      <c r="C81" s="378">
        <f>246.4818-110.4818</f>
        <v>136</v>
      </c>
      <c r="D81" s="378">
        <f>4+1</f>
        <v>5</v>
      </c>
      <c r="E81" s="379">
        <f t="shared" si="35"/>
        <v>141</v>
      </c>
      <c r="F81" s="380">
        <f t="shared" si="33"/>
        <v>0</v>
      </c>
      <c r="G81" s="381">
        <f>300.3531+29.1723+0.1302-235.6111</f>
        <v>94.044499999999999</v>
      </c>
      <c r="H81" s="393"/>
      <c r="I81" s="321">
        <f>2+14.5+27.1555+19+0.3</f>
        <v>62.955500000000001</v>
      </c>
      <c r="J81" s="385">
        <f t="shared" si="34"/>
        <v>62.955500000000001</v>
      </c>
      <c r="K81" s="383">
        <f t="shared" si="36"/>
        <v>157</v>
      </c>
      <c r="L81" s="384">
        <f t="shared" si="37"/>
        <v>0</v>
      </c>
    </row>
    <row r="82" spans="1:12" ht="15">
      <c r="A82" s="326">
        <v>43282</v>
      </c>
      <c r="B82" s="332">
        <f>4.9752*100</f>
        <v>497.52</v>
      </c>
      <c r="C82" s="378">
        <f>244.3321-108.3321</f>
        <v>136</v>
      </c>
      <c r="D82" s="378">
        <f>4+1</f>
        <v>5</v>
      </c>
      <c r="E82" s="379">
        <f t="shared" si="35"/>
        <v>141</v>
      </c>
      <c r="F82" s="380">
        <f t="shared" si="33"/>
        <v>0</v>
      </c>
      <c r="G82" s="381">
        <f>294.7663+29.1723+0.1302-230.0243</f>
        <v>94.044499999999999</v>
      </c>
      <c r="H82" s="393"/>
      <c r="I82" s="321">
        <f>2+14.5+27.1555+19+0.3</f>
        <v>62.955500000000001</v>
      </c>
      <c r="J82" s="385">
        <f t="shared" si="34"/>
        <v>62.955500000000001</v>
      </c>
      <c r="K82" s="383">
        <f t="shared" si="36"/>
        <v>157</v>
      </c>
      <c r="L82" s="384">
        <f t="shared" si="37"/>
        <v>0</v>
      </c>
    </row>
    <row r="83" spans="1:12" ht="15">
      <c r="A83" s="326">
        <v>43297</v>
      </c>
      <c r="B83" s="332">
        <f>5.0038*100</f>
        <v>500.38</v>
      </c>
      <c r="C83" s="378">
        <f>256.0114-120.0114</f>
        <v>136</v>
      </c>
      <c r="D83" s="378">
        <f t="shared" ref="D83:D93" si="38">4+1</f>
        <v>5</v>
      </c>
      <c r="E83" s="379">
        <f t="shared" si="35"/>
        <v>141</v>
      </c>
      <c r="F83" s="380">
        <f t="shared" si="33"/>
        <v>0</v>
      </c>
      <c r="G83" s="381">
        <f>308.1553+29.1723+0.1302-243.4133</f>
        <v>94.044500000000028</v>
      </c>
      <c r="H83" s="393"/>
      <c r="I83" s="321">
        <f t="shared" ref="I83:I91" si="39">2+14.5+27.1555+19+0.3</f>
        <v>62.955500000000001</v>
      </c>
      <c r="J83" s="385">
        <f t="shared" si="34"/>
        <v>62.955500000000001</v>
      </c>
      <c r="K83" s="383">
        <f t="shared" si="36"/>
        <v>157.00000000000003</v>
      </c>
      <c r="L83" s="384">
        <f t="shared" si="37"/>
        <v>0</v>
      </c>
    </row>
    <row r="84" spans="1:12" ht="15">
      <c r="A84" s="326">
        <v>43313</v>
      </c>
      <c r="B84" s="332">
        <f>5.0293*100</f>
        <v>502.93</v>
      </c>
      <c r="C84" s="378">
        <f>248.4506-112.4506</f>
        <v>136</v>
      </c>
      <c r="D84" s="378">
        <f t="shared" si="38"/>
        <v>5</v>
      </c>
      <c r="E84" s="379">
        <f t="shared" si="35"/>
        <v>141</v>
      </c>
      <c r="F84" s="380">
        <f t="shared" si="33"/>
        <v>0</v>
      </c>
      <c r="G84" s="381">
        <f>303.2042+29.1723+0.1302-238.4622</f>
        <v>94.044500000000028</v>
      </c>
      <c r="H84" s="393"/>
      <c r="I84" s="321">
        <f t="shared" si="39"/>
        <v>62.955500000000001</v>
      </c>
      <c r="J84" s="385">
        <f t="shared" ref="J84:J89" si="40">H84+I84</f>
        <v>62.955500000000001</v>
      </c>
      <c r="K84" s="383">
        <f t="shared" si="36"/>
        <v>157.00000000000003</v>
      </c>
      <c r="L84" s="384">
        <f t="shared" si="37"/>
        <v>0</v>
      </c>
    </row>
    <row r="85" spans="1:12" ht="15">
      <c r="A85" s="326">
        <v>43328</v>
      </c>
      <c r="B85" s="332">
        <f>5.0373*100</f>
        <v>503.73</v>
      </c>
      <c r="C85" s="378">
        <f>249.8749-113.8749</f>
        <v>136</v>
      </c>
      <c r="D85" s="378">
        <f t="shared" si="38"/>
        <v>5</v>
      </c>
      <c r="E85" s="379">
        <f t="shared" si="35"/>
        <v>141</v>
      </c>
      <c r="F85" s="380">
        <f t="shared" si="33"/>
        <v>0</v>
      </c>
      <c r="G85" s="381">
        <f>312.0148+29.1723+0.1302-247.2728</f>
        <v>94.044499999999999</v>
      </c>
      <c r="H85" s="393"/>
      <c r="I85" s="321">
        <f t="shared" si="39"/>
        <v>62.955500000000001</v>
      </c>
      <c r="J85" s="385">
        <f t="shared" si="40"/>
        <v>62.955500000000001</v>
      </c>
      <c r="K85" s="383">
        <f t="shared" si="36"/>
        <v>157</v>
      </c>
      <c r="L85" s="384">
        <f t="shared" si="37"/>
        <v>0</v>
      </c>
    </row>
    <row r="86" spans="1:12" ht="15">
      <c r="A86" s="326">
        <v>43344</v>
      </c>
      <c r="B86" s="332">
        <f>5.0877*100</f>
        <v>508.77</v>
      </c>
      <c r="C86" s="378">
        <f>244.3248-108.3248</f>
        <v>136</v>
      </c>
      <c r="D86" s="378">
        <f t="shared" si="38"/>
        <v>5</v>
      </c>
      <c r="E86" s="379">
        <f t="shared" ref="E86:E98" si="41">C86+D86</f>
        <v>141</v>
      </c>
      <c r="F86" s="380">
        <f t="shared" ref="F86:F93" si="42">E86/E85-1</f>
        <v>0</v>
      </c>
      <c r="G86" s="381">
        <f>314.6361+35.0113+0.1302-255.7332</f>
        <v>94.044399999999996</v>
      </c>
      <c r="H86" s="393"/>
      <c r="I86" s="321">
        <f t="shared" si="39"/>
        <v>62.955500000000001</v>
      </c>
      <c r="J86" s="385">
        <f t="shared" si="40"/>
        <v>62.955500000000001</v>
      </c>
      <c r="K86" s="383">
        <f t="shared" ref="K86:K98" si="43">G86+J86</f>
        <v>156.9999</v>
      </c>
      <c r="L86" s="384">
        <f t="shared" ref="L86:L93" si="44">K86/K85-1</f>
        <v>-6.3694267515845837E-7</v>
      </c>
    </row>
    <row r="87" spans="1:12" ht="15">
      <c r="A87" s="326">
        <v>43359</v>
      </c>
      <c r="B87" s="332">
        <f>5.1304*100</f>
        <v>513.04</v>
      </c>
      <c r="C87" s="378">
        <f>254.5053-118.5053</f>
        <v>136</v>
      </c>
      <c r="D87" s="378">
        <f t="shared" si="38"/>
        <v>5</v>
      </c>
      <c r="E87" s="379">
        <f t="shared" si="41"/>
        <v>141</v>
      </c>
      <c r="F87" s="380">
        <f t="shared" si="42"/>
        <v>0</v>
      </c>
      <c r="G87" s="381">
        <f>321.7898+35.0113+0.1302-262.8866</f>
        <v>94.044700000000034</v>
      </c>
      <c r="H87" s="393"/>
      <c r="I87" s="321">
        <f t="shared" si="39"/>
        <v>62.955500000000001</v>
      </c>
      <c r="J87" s="385">
        <f t="shared" si="40"/>
        <v>62.955500000000001</v>
      </c>
      <c r="K87" s="383">
        <f t="shared" si="43"/>
        <v>157.00020000000004</v>
      </c>
      <c r="L87" s="384">
        <f t="shared" si="44"/>
        <v>1.9108292428349216E-6</v>
      </c>
    </row>
    <row r="88" spans="1:12" ht="15">
      <c r="A88" s="326">
        <v>43374</v>
      </c>
      <c r="B88" s="332">
        <f>5.1739*100</f>
        <v>517.39</v>
      </c>
      <c r="C88" s="378">
        <f>262.0449-126.0449</f>
        <v>136</v>
      </c>
      <c r="D88" s="378">
        <f t="shared" si="38"/>
        <v>5</v>
      </c>
      <c r="E88" s="379">
        <f t="shared" si="41"/>
        <v>141</v>
      </c>
      <c r="F88" s="380">
        <f t="shared" si="42"/>
        <v>0</v>
      </c>
      <c r="G88" s="381">
        <f>318.4162+35.0113+0.1302-259.5132</f>
        <v>94.044500000000028</v>
      </c>
      <c r="H88" s="393"/>
      <c r="I88" s="321">
        <f t="shared" si="39"/>
        <v>62.955500000000001</v>
      </c>
      <c r="J88" s="385">
        <f t="shared" si="40"/>
        <v>62.955500000000001</v>
      </c>
      <c r="K88" s="383">
        <f t="shared" si="43"/>
        <v>157.00000000000003</v>
      </c>
      <c r="L88" s="384">
        <f t="shared" si="44"/>
        <v>-1.273883727614944E-6</v>
      </c>
    </row>
    <row r="89" spans="1:12" ht="15">
      <c r="A89" s="326">
        <v>43389</v>
      </c>
      <c r="B89" s="332">
        <f>5.1599*100</f>
        <v>515.99</v>
      </c>
      <c r="C89" s="378">
        <f>282.1808-146.1808</f>
        <v>135.99999999999997</v>
      </c>
      <c r="D89" s="378">
        <f t="shared" si="38"/>
        <v>5</v>
      </c>
      <c r="E89" s="379">
        <f t="shared" si="41"/>
        <v>140.99999999999997</v>
      </c>
      <c r="F89" s="380">
        <f t="shared" si="42"/>
        <v>0</v>
      </c>
      <c r="G89" s="381">
        <f>320.1393+35.0113+0.1302-261.2364</f>
        <v>94.044399999999996</v>
      </c>
      <c r="H89" s="393"/>
      <c r="I89" s="321">
        <f t="shared" si="39"/>
        <v>62.955500000000001</v>
      </c>
      <c r="J89" s="385">
        <f t="shared" si="40"/>
        <v>62.955500000000001</v>
      </c>
      <c r="K89" s="383">
        <f t="shared" si="43"/>
        <v>156.9999</v>
      </c>
      <c r="L89" s="384">
        <f t="shared" si="44"/>
        <v>-6.3694267538050298E-7</v>
      </c>
    </row>
    <row r="90" spans="1:12" ht="15">
      <c r="A90" s="326">
        <v>43405</v>
      </c>
      <c r="B90" s="332">
        <f>5.1599*100</f>
        <v>515.99</v>
      </c>
      <c r="C90" s="378">
        <f>275.3177-139.3177</f>
        <v>136</v>
      </c>
      <c r="D90" s="378">
        <f t="shared" si="38"/>
        <v>5</v>
      </c>
      <c r="E90" s="379">
        <f t="shared" si="41"/>
        <v>141</v>
      </c>
      <c r="F90" s="380">
        <f t="shared" si="42"/>
        <v>0</v>
      </c>
      <c r="G90" s="381">
        <f>303.8776+35.0113+0.1302-244.9746</f>
        <v>94.044499999999971</v>
      </c>
      <c r="H90" s="393"/>
      <c r="I90" s="321">
        <f t="shared" si="39"/>
        <v>62.955500000000001</v>
      </c>
      <c r="J90" s="385">
        <f>H90+I90</f>
        <v>62.955500000000001</v>
      </c>
      <c r="K90" s="383">
        <f t="shared" si="43"/>
        <v>156.99999999999997</v>
      </c>
      <c r="L90" s="384">
        <f t="shared" si="44"/>
        <v>6.3694308072292927E-7</v>
      </c>
    </row>
    <row r="91" spans="1:12" ht="15">
      <c r="A91" s="326">
        <v>43405</v>
      </c>
      <c r="B91" s="332">
        <f>5.1599*100</f>
        <v>515.99</v>
      </c>
      <c r="C91" s="378">
        <f>275.3177-139.3177</f>
        <v>136</v>
      </c>
      <c r="D91" s="378">
        <f t="shared" si="38"/>
        <v>5</v>
      </c>
      <c r="E91" s="379">
        <f t="shared" si="41"/>
        <v>141</v>
      </c>
      <c r="F91" s="380">
        <f t="shared" si="42"/>
        <v>0</v>
      </c>
      <c r="G91" s="381">
        <f>303.8776+35.0113+0.1302-244.9746</f>
        <v>94.044499999999971</v>
      </c>
      <c r="H91" s="393"/>
      <c r="I91" s="321">
        <f t="shared" si="39"/>
        <v>62.955500000000001</v>
      </c>
      <c r="J91" s="385">
        <f>H91+I91</f>
        <v>62.955500000000001</v>
      </c>
      <c r="K91" s="383">
        <f t="shared" si="43"/>
        <v>156.99999999999997</v>
      </c>
      <c r="L91" s="384">
        <f t="shared" si="44"/>
        <v>0</v>
      </c>
    </row>
    <row r="92" spans="1:12" ht="15">
      <c r="A92" s="326">
        <v>43420</v>
      </c>
      <c r="B92" s="332">
        <f>5.1599*100</f>
        <v>515.99</v>
      </c>
      <c r="C92" s="378">
        <f>266.1184-130.1184</f>
        <v>136</v>
      </c>
      <c r="D92" s="378">
        <f t="shared" si="38"/>
        <v>5</v>
      </c>
      <c r="E92" s="379">
        <f t="shared" si="41"/>
        <v>141</v>
      </c>
      <c r="F92" s="380">
        <f t="shared" si="42"/>
        <v>0</v>
      </c>
      <c r="G92" s="381">
        <f>285.5284+35.0113+0.1302-229.1254</f>
        <v>91.544499999999971</v>
      </c>
      <c r="H92" s="393"/>
      <c r="I92" s="321">
        <f t="shared" ref="I92:I99" si="45">2+17+27.1555+19+0.3</f>
        <v>65.455500000000001</v>
      </c>
      <c r="J92" s="385">
        <f>H92+I92</f>
        <v>65.455500000000001</v>
      </c>
      <c r="K92" s="383">
        <f t="shared" si="43"/>
        <v>156.99999999999997</v>
      </c>
      <c r="L92" s="384">
        <f t="shared" si="44"/>
        <v>0</v>
      </c>
    </row>
    <row r="93" spans="1:12" ht="15">
      <c r="A93" s="326">
        <v>43435</v>
      </c>
      <c r="B93" s="332">
        <f>5.1516*100</f>
        <v>515.16</v>
      </c>
      <c r="C93" s="378">
        <f>241.8407-105.8407</f>
        <v>136</v>
      </c>
      <c r="D93" s="378">
        <f t="shared" si="38"/>
        <v>5</v>
      </c>
      <c r="E93" s="379">
        <f t="shared" si="41"/>
        <v>141</v>
      </c>
      <c r="F93" s="380">
        <f t="shared" si="42"/>
        <v>0</v>
      </c>
      <c r="G93" s="381">
        <f>257.0149+35.0113+0.1302-200.6119</f>
        <v>91.544500000000028</v>
      </c>
      <c r="H93" s="393"/>
      <c r="I93" s="321">
        <f t="shared" si="45"/>
        <v>65.455500000000001</v>
      </c>
      <c r="J93" s="385">
        <f>H93+I93</f>
        <v>65.455500000000001</v>
      </c>
      <c r="K93" s="383">
        <f t="shared" si="43"/>
        <v>157.00000000000003</v>
      </c>
      <c r="L93" s="384">
        <f t="shared" si="44"/>
        <v>0</v>
      </c>
    </row>
    <row r="94" spans="1:12" ht="15">
      <c r="A94" s="326">
        <v>43450</v>
      </c>
      <c r="B94" s="332">
        <f>5.1981*100</f>
        <v>519.81000000000006</v>
      </c>
      <c r="C94" s="378">
        <f>225.0632-89.0632</f>
        <v>136</v>
      </c>
      <c r="D94" s="378">
        <f t="shared" ref="D94:D99" si="46">4+1</f>
        <v>5</v>
      </c>
      <c r="E94" s="379">
        <f t="shared" si="41"/>
        <v>141</v>
      </c>
      <c r="F94" s="380">
        <f t="shared" ref="F94:F108" si="47">E94/E93-1</f>
        <v>0</v>
      </c>
      <c r="G94" s="381">
        <f>238.2622+35.0113+0+0.1302-181.8592</f>
        <v>91.544500000000028</v>
      </c>
      <c r="H94" s="393"/>
      <c r="I94" s="321">
        <f t="shared" si="45"/>
        <v>65.455500000000001</v>
      </c>
      <c r="J94" s="385">
        <f t="shared" ref="J94:J116" si="48">H94+I94</f>
        <v>65.455500000000001</v>
      </c>
      <c r="K94" s="383">
        <f t="shared" si="43"/>
        <v>157.00000000000003</v>
      </c>
      <c r="L94" s="384">
        <f t="shared" ref="L94:L111" si="49">K94/K93-1</f>
        <v>0</v>
      </c>
    </row>
    <row r="95" spans="1:12" ht="15">
      <c r="A95" s="326">
        <v>43466</v>
      </c>
      <c r="B95" s="332">
        <f>5.1987*100</f>
        <v>519.87</v>
      </c>
      <c r="C95" s="378">
        <f>207.7469-71.7469</f>
        <v>136</v>
      </c>
      <c r="D95" s="378">
        <f t="shared" si="46"/>
        <v>5</v>
      </c>
      <c r="E95" s="379">
        <f t="shared" si="41"/>
        <v>141</v>
      </c>
      <c r="F95" s="380">
        <f t="shared" si="47"/>
        <v>0</v>
      </c>
      <c r="G95" s="381">
        <f>233.8239+35.0113+0+0.1302-177.421</f>
        <v>91.544399999999996</v>
      </c>
      <c r="H95" s="393"/>
      <c r="I95" s="321">
        <f t="shared" si="45"/>
        <v>65.455500000000001</v>
      </c>
      <c r="J95" s="385">
        <f t="shared" si="48"/>
        <v>65.455500000000001</v>
      </c>
      <c r="K95" s="383">
        <f t="shared" si="43"/>
        <v>156.9999</v>
      </c>
      <c r="L95" s="384">
        <f t="shared" si="49"/>
        <v>-6.3694267538050298E-7</v>
      </c>
    </row>
    <row r="96" spans="1:12" ht="15">
      <c r="A96" s="326">
        <v>43481</v>
      </c>
      <c r="B96" s="332">
        <f>5.2062*100</f>
        <v>520.62</v>
      </c>
      <c r="C96" s="378">
        <f>211.8484-75.8484</f>
        <v>136</v>
      </c>
      <c r="D96" s="378">
        <f t="shared" si="46"/>
        <v>5</v>
      </c>
      <c r="E96" s="379">
        <f t="shared" si="41"/>
        <v>141</v>
      </c>
      <c r="F96" s="380">
        <f t="shared" si="47"/>
        <v>0</v>
      </c>
      <c r="G96" s="381">
        <f>231.9408+35.0113+0+0.1302-175.5379</f>
        <v>91.544399999999968</v>
      </c>
      <c r="H96" s="393"/>
      <c r="I96" s="321">
        <f t="shared" si="45"/>
        <v>65.455500000000001</v>
      </c>
      <c r="J96" s="385">
        <f t="shared" si="48"/>
        <v>65.455500000000001</v>
      </c>
      <c r="K96" s="383">
        <f t="shared" si="43"/>
        <v>156.99989999999997</v>
      </c>
      <c r="L96" s="384">
        <f t="shared" si="49"/>
        <v>0</v>
      </c>
    </row>
    <row r="97" spans="1:12" ht="15">
      <c r="A97" s="326">
        <v>43497</v>
      </c>
      <c r="B97" s="332">
        <f>5.242*100</f>
        <v>524.20000000000005</v>
      </c>
      <c r="C97" s="378">
        <f>226.5723-90.5723</f>
        <v>136</v>
      </c>
      <c r="D97" s="378">
        <f t="shared" si="46"/>
        <v>5</v>
      </c>
      <c r="E97" s="379">
        <f t="shared" si="41"/>
        <v>141</v>
      </c>
      <c r="F97" s="380">
        <f t="shared" si="47"/>
        <v>0</v>
      </c>
      <c r="G97" s="381">
        <f>234.2914+35.0113+0+0.1302-177.8884</f>
        <v>91.544500000000028</v>
      </c>
      <c r="H97" s="393"/>
      <c r="I97" s="321">
        <f t="shared" si="45"/>
        <v>65.455500000000001</v>
      </c>
      <c r="J97" s="385">
        <f t="shared" si="48"/>
        <v>65.455500000000001</v>
      </c>
      <c r="K97" s="383">
        <f t="shared" si="43"/>
        <v>157.00000000000003</v>
      </c>
      <c r="L97" s="384">
        <f t="shared" si="49"/>
        <v>6.3694308116701848E-7</v>
      </c>
    </row>
    <row r="98" spans="1:12" ht="15">
      <c r="A98" s="326">
        <v>43512</v>
      </c>
      <c r="B98" s="332">
        <f>5.4581*100</f>
        <v>545.80999999999995</v>
      </c>
      <c r="C98" s="378">
        <f>245.5401-109.5401</f>
        <v>136</v>
      </c>
      <c r="D98" s="378">
        <f t="shared" si="46"/>
        <v>5</v>
      </c>
      <c r="E98" s="379">
        <f t="shared" si="41"/>
        <v>141</v>
      </c>
      <c r="F98" s="380">
        <f t="shared" si="47"/>
        <v>0</v>
      </c>
      <c r="G98" s="381">
        <f>246.9918+35.0113+0+0.1302-190.5889</f>
        <v>91.544400000000024</v>
      </c>
      <c r="H98" s="393"/>
      <c r="I98" s="321">
        <f t="shared" si="45"/>
        <v>65.455500000000001</v>
      </c>
      <c r="J98" s="385">
        <f t="shared" si="48"/>
        <v>65.455500000000001</v>
      </c>
      <c r="K98" s="383">
        <f t="shared" si="43"/>
        <v>156.99990000000003</v>
      </c>
      <c r="L98" s="384">
        <f t="shared" si="49"/>
        <v>-6.3694267515845837E-7</v>
      </c>
    </row>
    <row r="99" spans="1:12" ht="15">
      <c r="A99" s="326">
        <v>43525</v>
      </c>
      <c r="B99" s="332">
        <f>5.6451*100</f>
        <v>564.51</v>
      </c>
      <c r="C99" s="378">
        <f>266.687-130.687</f>
        <v>136</v>
      </c>
      <c r="D99" s="378">
        <f t="shared" si="46"/>
        <v>5</v>
      </c>
      <c r="E99" s="379">
        <f t="shared" ref="E99:E106" si="50">C99+D99</f>
        <v>141</v>
      </c>
      <c r="F99" s="380">
        <f t="shared" si="47"/>
        <v>0</v>
      </c>
      <c r="G99" s="381">
        <f>273.892+35.0113+0+0.1302-217.489</f>
        <v>91.544499999999999</v>
      </c>
      <c r="H99" s="393"/>
      <c r="I99" s="321">
        <f t="shared" si="45"/>
        <v>65.455500000000001</v>
      </c>
      <c r="J99" s="385">
        <f t="shared" si="48"/>
        <v>65.455500000000001</v>
      </c>
      <c r="K99" s="383">
        <f t="shared" ref="K99:K116" si="51">G99+J99</f>
        <v>157</v>
      </c>
      <c r="L99" s="384">
        <f t="shared" si="49"/>
        <v>6.3694308072292927E-7</v>
      </c>
    </row>
    <row r="100" spans="1:12" ht="15">
      <c r="A100" s="326">
        <v>43540</v>
      </c>
      <c r="B100" s="332">
        <f>5.8153*100</f>
        <v>581.53</v>
      </c>
      <c r="C100" s="378">
        <f>266.687-130.687</f>
        <v>136</v>
      </c>
      <c r="D100" s="378">
        <f t="shared" ref="D100:D105" si="52">4+1</f>
        <v>5</v>
      </c>
      <c r="E100" s="379">
        <f t="shared" si="50"/>
        <v>141</v>
      </c>
      <c r="F100" s="380">
        <f t="shared" si="47"/>
        <v>0</v>
      </c>
      <c r="G100" s="381">
        <f>273.892+35.0113+0+0.1302-217.489</f>
        <v>91.544499999999999</v>
      </c>
      <c r="H100" s="393"/>
      <c r="I100" s="321">
        <f>2+17+27.1555+19+0.3</f>
        <v>65.455500000000001</v>
      </c>
      <c r="J100" s="385">
        <f t="shared" si="48"/>
        <v>65.455500000000001</v>
      </c>
      <c r="K100" s="383">
        <f t="shared" si="51"/>
        <v>157</v>
      </c>
      <c r="L100" s="384">
        <f t="shared" si="49"/>
        <v>0</v>
      </c>
    </row>
    <row r="101" spans="1:12" ht="15">
      <c r="A101" s="326">
        <v>43556</v>
      </c>
      <c r="B101" s="332">
        <f>5.8153*100</f>
        <v>581.53</v>
      </c>
      <c r="C101" s="378">
        <f>276.8446-140.8446</f>
        <v>136</v>
      </c>
      <c r="D101" s="378">
        <f t="shared" si="52"/>
        <v>5</v>
      </c>
      <c r="E101" s="379">
        <f t="shared" si="50"/>
        <v>141</v>
      </c>
      <c r="F101" s="380">
        <f t="shared" si="47"/>
        <v>0</v>
      </c>
      <c r="G101" s="381">
        <f>304.8178+35.0113+0+0.1302-249.4148</f>
        <v>90.544499999999971</v>
      </c>
      <c r="H101" s="393"/>
      <c r="I101" s="321">
        <f>3+17+27.1555+19+0.3</f>
        <v>66.455500000000001</v>
      </c>
      <c r="J101" s="385">
        <f t="shared" si="48"/>
        <v>66.455500000000001</v>
      </c>
      <c r="K101" s="383">
        <f t="shared" si="51"/>
        <v>156.99999999999997</v>
      </c>
      <c r="L101" s="384">
        <f t="shared" si="49"/>
        <v>0</v>
      </c>
    </row>
    <row r="102" spans="1:12" ht="15">
      <c r="A102" s="326">
        <v>43571</v>
      </c>
      <c r="B102" s="332">
        <f>5.5027*100</f>
        <v>550.27</v>
      </c>
      <c r="C102" s="378">
        <f>262.946-126.946</f>
        <v>136.00000000000003</v>
      </c>
      <c r="D102" s="378">
        <f t="shared" si="52"/>
        <v>5</v>
      </c>
      <c r="E102" s="379">
        <f t="shared" si="50"/>
        <v>141.00000000000003</v>
      </c>
      <c r="F102" s="380">
        <f t="shared" si="47"/>
        <v>0</v>
      </c>
      <c r="G102" s="381">
        <f>319.9996+35.0113+0+0.1302-264.5966</f>
        <v>90.544499999999971</v>
      </c>
      <c r="H102" s="393"/>
      <c r="I102" s="321">
        <f>3+17+27.1555+19+0.3</f>
        <v>66.455500000000001</v>
      </c>
      <c r="J102" s="385">
        <f t="shared" si="48"/>
        <v>66.455500000000001</v>
      </c>
      <c r="K102" s="383">
        <f t="shared" si="51"/>
        <v>156.99999999999997</v>
      </c>
      <c r="L102" s="384">
        <f t="shared" si="49"/>
        <v>0</v>
      </c>
    </row>
    <row r="103" spans="1:12" ht="15">
      <c r="A103" s="326">
        <v>43586</v>
      </c>
      <c r="B103" s="332">
        <f>5.4588*100</f>
        <v>545.88</v>
      </c>
      <c r="C103" s="378">
        <f>264.0668-128.0668</f>
        <v>136</v>
      </c>
      <c r="D103" s="378">
        <f t="shared" si="52"/>
        <v>5</v>
      </c>
      <c r="E103" s="379">
        <f t="shared" si="50"/>
        <v>141</v>
      </c>
      <c r="F103" s="380">
        <f t="shared" si="47"/>
        <v>0</v>
      </c>
      <c r="G103" s="381">
        <f>327.3237+35.0113+0+0.1302-271.9207</f>
        <v>90.544499999999971</v>
      </c>
      <c r="H103" s="393"/>
      <c r="I103" s="321">
        <f>3+17+27.1555+19+0.3</f>
        <v>66.455500000000001</v>
      </c>
      <c r="J103" s="385">
        <f t="shared" si="48"/>
        <v>66.455500000000001</v>
      </c>
      <c r="K103" s="383">
        <f t="shared" si="51"/>
        <v>156.99999999999997</v>
      </c>
      <c r="L103" s="384">
        <f t="shared" si="49"/>
        <v>0</v>
      </c>
    </row>
    <row r="104" spans="1:12" ht="15">
      <c r="A104" s="326">
        <v>43601</v>
      </c>
      <c r="B104" s="332">
        <f>5.4833*100</f>
        <v>548.32999999999993</v>
      </c>
      <c r="C104" s="378">
        <f>264.7736-128.7736</f>
        <v>136</v>
      </c>
      <c r="D104" s="378">
        <f t="shared" si="52"/>
        <v>5</v>
      </c>
      <c r="E104" s="379">
        <f t="shared" si="50"/>
        <v>141</v>
      </c>
      <c r="F104" s="380">
        <f t="shared" si="47"/>
        <v>0</v>
      </c>
      <c r="G104" s="381">
        <f>332.3056+35.0113+0+0.1302-276.9026</f>
        <v>90.544500000000028</v>
      </c>
      <c r="H104" s="393"/>
      <c r="I104" s="321">
        <f>3+17+27.1555+19+0.3</f>
        <v>66.455500000000001</v>
      </c>
      <c r="J104" s="385">
        <f t="shared" si="48"/>
        <v>66.455500000000001</v>
      </c>
      <c r="K104" s="383">
        <f t="shared" si="51"/>
        <v>157.00000000000003</v>
      </c>
      <c r="L104" s="384">
        <f t="shared" si="49"/>
        <v>0</v>
      </c>
    </row>
    <row r="105" spans="1:12" ht="15">
      <c r="A105" s="326">
        <v>43617</v>
      </c>
      <c r="B105" s="332">
        <f>5.5679*100</f>
        <v>556.79</v>
      </c>
      <c r="C105" s="378">
        <f>267.8807-131.8807</f>
        <v>136</v>
      </c>
      <c r="D105" s="378">
        <f t="shared" si="52"/>
        <v>5</v>
      </c>
      <c r="E105" s="379">
        <f t="shared" si="50"/>
        <v>141</v>
      </c>
      <c r="F105" s="380">
        <f t="shared" si="47"/>
        <v>0</v>
      </c>
      <c r="G105" s="381">
        <f>350.2252+35.0113+0+0.1302-295.8222</f>
        <v>89.544499999999971</v>
      </c>
      <c r="H105" s="393"/>
      <c r="I105" s="321">
        <f t="shared" ref="I105:I110" si="53">3+18+27.1555+19+0.3</f>
        <v>67.455500000000001</v>
      </c>
      <c r="J105" s="385">
        <f t="shared" si="48"/>
        <v>67.455500000000001</v>
      </c>
      <c r="K105" s="383">
        <f t="shared" si="51"/>
        <v>156.99999999999997</v>
      </c>
      <c r="L105" s="384">
        <f t="shared" si="49"/>
        <v>0</v>
      </c>
    </row>
    <row r="106" spans="1:12" ht="15">
      <c r="A106" s="326">
        <v>43632</v>
      </c>
      <c r="B106" s="332">
        <f>5.6247*100</f>
        <v>562.47</v>
      </c>
      <c r="C106" s="378">
        <f>261.9224-125.9224</f>
        <v>136</v>
      </c>
      <c r="D106" s="378">
        <f t="shared" ref="D106:D111" si="54">4+1</f>
        <v>5</v>
      </c>
      <c r="E106" s="379">
        <f t="shared" si="50"/>
        <v>141</v>
      </c>
      <c r="F106" s="380">
        <f t="shared" si="47"/>
        <v>0</v>
      </c>
      <c r="G106" s="381">
        <f>308.0755+35.0113+0+0.1302-253.6725</f>
        <v>89.544499999999971</v>
      </c>
      <c r="H106" s="393"/>
      <c r="I106" s="321">
        <f t="shared" si="53"/>
        <v>67.455500000000001</v>
      </c>
      <c r="J106" s="385">
        <f t="shared" si="48"/>
        <v>67.455500000000001</v>
      </c>
      <c r="K106" s="383">
        <f t="shared" si="51"/>
        <v>156.99999999999997</v>
      </c>
      <c r="L106" s="384">
        <f t="shared" si="49"/>
        <v>0</v>
      </c>
    </row>
    <row r="107" spans="1:12" ht="15">
      <c r="A107" s="326">
        <v>43647</v>
      </c>
      <c r="B107" s="332">
        <f>5.7077*100</f>
        <v>570.77</v>
      </c>
      <c r="C107" s="378">
        <f>261.1428-125.1428</f>
        <v>136.00000000000003</v>
      </c>
      <c r="D107" s="378">
        <f t="shared" si="54"/>
        <v>5</v>
      </c>
      <c r="E107" s="379">
        <f t="shared" ref="E107:E115" si="55">C107+D107</f>
        <v>141.00000000000003</v>
      </c>
      <c r="F107" s="380">
        <f t="shared" ref="F107:F115" si="56">E107/E106-1</f>
        <v>0</v>
      </c>
      <c r="G107" s="381">
        <f>302.463+35.0113+0+0.1302-248.06</f>
        <v>89.544500000000028</v>
      </c>
      <c r="H107" s="393"/>
      <c r="I107" s="321">
        <f t="shared" si="53"/>
        <v>67.455500000000001</v>
      </c>
      <c r="J107" s="385">
        <f>H107+I107</f>
        <v>67.455500000000001</v>
      </c>
      <c r="K107" s="383">
        <f>G107+J107</f>
        <v>157.00000000000003</v>
      </c>
      <c r="L107" s="384">
        <f>K107/K106-1</f>
        <v>0</v>
      </c>
    </row>
    <row r="108" spans="1:12" ht="15">
      <c r="A108" s="326">
        <v>43662</v>
      </c>
      <c r="B108" s="332">
        <f>5.6719*100</f>
        <v>567.18999999999994</v>
      </c>
      <c r="C108" s="378">
        <f>275.713-139.713</f>
        <v>136.00000000000003</v>
      </c>
      <c r="D108" s="378">
        <f t="shared" si="54"/>
        <v>5</v>
      </c>
      <c r="E108" s="379">
        <f t="shared" si="55"/>
        <v>141.00000000000003</v>
      </c>
      <c r="F108" s="380">
        <f t="shared" si="47"/>
        <v>0</v>
      </c>
      <c r="G108" s="381">
        <f>317.444+35.0113+0+0.1302-263.041</f>
        <v>89.544500000000028</v>
      </c>
      <c r="H108" s="393"/>
      <c r="I108" s="321">
        <f t="shared" si="53"/>
        <v>67.455500000000001</v>
      </c>
      <c r="J108" s="385">
        <f t="shared" si="48"/>
        <v>67.455500000000001</v>
      </c>
      <c r="K108" s="383">
        <f t="shared" si="51"/>
        <v>157.00000000000003</v>
      </c>
      <c r="L108" s="384">
        <f t="shared" si="49"/>
        <v>0</v>
      </c>
    </row>
    <row r="109" spans="1:12" ht="15">
      <c r="A109" s="326">
        <v>43678</v>
      </c>
      <c r="B109" s="332">
        <f>5.6657*100</f>
        <v>566.57000000000005</v>
      </c>
      <c r="C109" s="378">
        <f>264.5596-128.5596</f>
        <v>136</v>
      </c>
      <c r="D109" s="378">
        <f t="shared" si="54"/>
        <v>5</v>
      </c>
      <c r="E109" s="379">
        <f t="shared" si="55"/>
        <v>141</v>
      </c>
      <c r="F109" s="380">
        <f t="shared" si="56"/>
        <v>0</v>
      </c>
      <c r="G109" s="381">
        <f>314.7381+35.0113+0+0.1302-260.3351</f>
        <v>89.544499999999971</v>
      </c>
      <c r="H109" s="393"/>
      <c r="I109" s="321">
        <f t="shared" si="53"/>
        <v>67.455500000000001</v>
      </c>
      <c r="J109" s="385">
        <f t="shared" si="48"/>
        <v>67.455500000000001</v>
      </c>
      <c r="K109" s="383">
        <f t="shared" si="51"/>
        <v>156.99999999999997</v>
      </c>
      <c r="L109" s="384">
        <f t="shared" si="49"/>
        <v>0</v>
      </c>
    </row>
    <row r="110" spans="1:12" ht="15">
      <c r="A110" s="326">
        <v>43693</v>
      </c>
      <c r="B110" s="332">
        <f>5.6832*100</f>
        <v>568.32000000000005</v>
      </c>
      <c r="C110" s="378">
        <f>259.0442-123.0442</f>
        <v>136</v>
      </c>
      <c r="D110" s="378">
        <f t="shared" si="54"/>
        <v>5</v>
      </c>
      <c r="E110" s="379">
        <f t="shared" si="55"/>
        <v>141</v>
      </c>
      <c r="F110" s="380">
        <f t="shared" si="56"/>
        <v>0</v>
      </c>
      <c r="G110" s="381">
        <f>308.4714+35.0113+0+0.1302-254.0684</f>
        <v>89.544500000000028</v>
      </c>
      <c r="H110" s="393"/>
      <c r="I110" s="321">
        <f t="shared" si="53"/>
        <v>67.455500000000001</v>
      </c>
      <c r="J110" s="385">
        <f t="shared" si="48"/>
        <v>67.455500000000001</v>
      </c>
      <c r="K110" s="383">
        <f t="shared" si="51"/>
        <v>157.00000000000003</v>
      </c>
      <c r="L110" s="384">
        <f t="shared" si="49"/>
        <v>0</v>
      </c>
    </row>
    <row r="111" spans="1:12" ht="15">
      <c r="A111" s="326">
        <v>43709</v>
      </c>
      <c r="B111" s="332">
        <f>5.7208*100</f>
        <v>572.07999999999993</v>
      </c>
      <c r="C111" s="378">
        <f>244.4373-108.4373</f>
        <v>136</v>
      </c>
      <c r="D111" s="378">
        <f t="shared" si="54"/>
        <v>5</v>
      </c>
      <c r="E111" s="379">
        <f t="shared" si="55"/>
        <v>141</v>
      </c>
      <c r="F111" s="380">
        <f t="shared" si="56"/>
        <v>0</v>
      </c>
      <c r="G111" s="381">
        <f>299.4374+35.0113+0+0.1302-245.0345</f>
        <v>89.544400000000024</v>
      </c>
      <c r="H111" s="393"/>
      <c r="I111" s="321">
        <f t="shared" ref="I111:I117" si="57">3+18+27.1555+19+0.3</f>
        <v>67.455500000000001</v>
      </c>
      <c r="J111" s="385">
        <f t="shared" si="48"/>
        <v>67.455500000000001</v>
      </c>
      <c r="K111" s="383">
        <f t="shared" si="51"/>
        <v>156.99990000000003</v>
      </c>
      <c r="L111" s="384">
        <f t="shared" si="49"/>
        <v>-6.3694267515845837E-7</v>
      </c>
    </row>
    <row r="112" spans="1:12" ht="15">
      <c r="A112" s="326">
        <v>43724</v>
      </c>
      <c r="B112" s="332">
        <f>5.7906*100</f>
        <v>579.06000000000006</v>
      </c>
      <c r="C112" s="378">
        <f>238.4222-102.4222</f>
        <v>136</v>
      </c>
      <c r="D112" s="378">
        <f t="shared" ref="D112:D119" si="58">4+1</f>
        <v>5</v>
      </c>
      <c r="E112" s="379">
        <f t="shared" si="55"/>
        <v>141</v>
      </c>
      <c r="F112" s="380">
        <f t="shared" si="56"/>
        <v>0</v>
      </c>
      <c r="G112" s="381">
        <f>300.6608+35.0113+0+0.1302-246.2579</f>
        <v>89.544399999999996</v>
      </c>
      <c r="H112" s="393"/>
      <c r="I112" s="321">
        <f t="shared" si="57"/>
        <v>67.455500000000001</v>
      </c>
      <c r="J112" s="385">
        <f t="shared" si="48"/>
        <v>67.455500000000001</v>
      </c>
      <c r="K112" s="383">
        <f t="shared" si="51"/>
        <v>156.9999</v>
      </c>
      <c r="L112" s="384">
        <f>K112/K111-1</f>
        <v>0</v>
      </c>
    </row>
    <row r="113" spans="1:12" ht="15">
      <c r="A113" s="326">
        <v>43739</v>
      </c>
      <c r="B113" s="332">
        <f>5.7251*100</f>
        <v>572.51</v>
      </c>
      <c r="C113" s="378">
        <f>254.0517-118.0517</f>
        <v>136</v>
      </c>
      <c r="D113" s="378">
        <f t="shared" si="58"/>
        <v>5</v>
      </c>
      <c r="E113" s="379">
        <f t="shared" si="55"/>
        <v>141</v>
      </c>
      <c r="F113" s="380">
        <f t="shared" si="56"/>
        <v>0</v>
      </c>
      <c r="G113" s="381">
        <f>301.1154+35.0113+0.1302-246.7125</f>
        <v>89.544400000000024</v>
      </c>
      <c r="H113" s="393"/>
      <c r="I113" s="321">
        <f t="shared" si="57"/>
        <v>67.455500000000001</v>
      </c>
      <c r="J113" s="385">
        <f t="shared" si="48"/>
        <v>67.455500000000001</v>
      </c>
      <c r="K113" s="383">
        <f t="shared" si="51"/>
        <v>156.99990000000003</v>
      </c>
      <c r="L113" s="384">
        <f t="shared" ref="L113:L123" si="59">K113/K112-1</f>
        <v>0</v>
      </c>
    </row>
    <row r="114" spans="1:12" ht="15">
      <c r="A114" s="326">
        <v>43754</v>
      </c>
      <c r="B114" s="332">
        <f>5.7322*100</f>
        <v>573.22</v>
      </c>
      <c r="C114" s="378">
        <f>256.1125-120.1125</f>
        <v>136</v>
      </c>
      <c r="D114" s="378">
        <f t="shared" si="58"/>
        <v>5</v>
      </c>
      <c r="E114" s="379">
        <f t="shared" si="55"/>
        <v>141</v>
      </c>
      <c r="F114" s="380">
        <f t="shared" si="56"/>
        <v>0</v>
      </c>
      <c r="G114" s="381">
        <f>300.0817+35.0113+0+0.1302-245.6787</f>
        <v>89.544500000000028</v>
      </c>
      <c r="H114" s="393"/>
      <c r="I114" s="321">
        <f t="shared" si="57"/>
        <v>67.455500000000001</v>
      </c>
      <c r="J114" s="385">
        <f t="shared" si="48"/>
        <v>67.455500000000001</v>
      </c>
      <c r="K114" s="383">
        <f t="shared" si="51"/>
        <v>157.00000000000003</v>
      </c>
      <c r="L114" s="384">
        <f t="shared" si="59"/>
        <v>6.3694308094497387E-7</v>
      </c>
    </row>
    <row r="115" spans="1:12" ht="15">
      <c r="A115" s="326">
        <v>43770</v>
      </c>
      <c r="B115" s="332">
        <f>5.7661*100</f>
        <v>576.61</v>
      </c>
      <c r="C115" s="378">
        <f>257.1332-121.1332</f>
        <v>136</v>
      </c>
      <c r="D115" s="378">
        <f t="shared" si="58"/>
        <v>5</v>
      </c>
      <c r="E115" s="379">
        <f t="shared" si="55"/>
        <v>141</v>
      </c>
      <c r="F115" s="380">
        <f t="shared" si="56"/>
        <v>0</v>
      </c>
      <c r="G115" s="381">
        <f>293.8338+35.0113+0+0.1302-239.4308</f>
        <v>89.544499999999999</v>
      </c>
      <c r="H115" s="393"/>
      <c r="I115" s="321">
        <f t="shared" si="57"/>
        <v>67.455500000000001</v>
      </c>
      <c r="J115" s="385">
        <f t="shared" si="48"/>
        <v>67.455500000000001</v>
      </c>
      <c r="K115" s="383">
        <f t="shared" si="51"/>
        <v>157</v>
      </c>
      <c r="L115" s="384">
        <f t="shared" si="59"/>
        <v>0</v>
      </c>
    </row>
    <row r="116" spans="1:12" ht="15">
      <c r="A116" s="326">
        <v>43785</v>
      </c>
      <c r="B116" s="332">
        <f>5.8004*100</f>
        <v>580.04</v>
      </c>
      <c r="C116" s="378">
        <f>263.2586-127.2586</f>
        <v>136</v>
      </c>
      <c r="D116" s="378">
        <f t="shared" si="58"/>
        <v>5</v>
      </c>
      <c r="E116" s="379">
        <f t="shared" ref="E116:E159" si="60">C116+D116</f>
        <v>141</v>
      </c>
      <c r="F116" s="380">
        <f>E116/E115-1</f>
        <v>0</v>
      </c>
      <c r="G116" s="381">
        <f>305.9995+35.0113+0+0.1302-251.5966</f>
        <v>89.544400000000024</v>
      </c>
      <c r="H116" s="393"/>
      <c r="I116" s="321">
        <f t="shared" si="57"/>
        <v>67.455500000000001</v>
      </c>
      <c r="J116" s="385">
        <f t="shared" si="48"/>
        <v>67.455500000000001</v>
      </c>
      <c r="K116" s="383">
        <f t="shared" si="51"/>
        <v>156.99990000000003</v>
      </c>
      <c r="L116" s="384">
        <f t="shared" si="59"/>
        <v>-6.3694267504743607E-7</v>
      </c>
    </row>
    <row r="117" spans="1:12" ht="15">
      <c r="A117" s="326">
        <v>43800</v>
      </c>
      <c r="B117" s="332">
        <f>5.8378*100</f>
        <v>583.78</v>
      </c>
      <c r="C117" s="378">
        <f>264.081-128.081</f>
        <v>136.00000000000003</v>
      </c>
      <c r="D117" s="378">
        <f t="shared" si="58"/>
        <v>5</v>
      </c>
      <c r="E117" s="379">
        <f t="shared" si="60"/>
        <v>141.00000000000003</v>
      </c>
      <c r="F117" s="380">
        <f t="shared" ref="F117:F123" si="61">E117/E116-1</f>
        <v>0</v>
      </c>
      <c r="G117" s="381">
        <f>303.16+35.0113+0+0.1302-248.757</f>
        <v>89.544500000000028</v>
      </c>
      <c r="H117" s="393"/>
      <c r="I117" s="321">
        <f t="shared" si="57"/>
        <v>67.455500000000001</v>
      </c>
      <c r="J117" s="385">
        <f t="shared" ref="J117:J123" si="62">H117+I117</f>
        <v>67.455500000000001</v>
      </c>
      <c r="K117" s="383">
        <f t="shared" ref="K117:K123" si="63">G117+J117</f>
        <v>157.00000000000003</v>
      </c>
      <c r="L117" s="384">
        <f t="shared" si="59"/>
        <v>6.3694308094497387E-7</v>
      </c>
    </row>
    <row r="118" spans="1:12" ht="15">
      <c r="A118" s="326">
        <v>43815</v>
      </c>
      <c r="B118" s="332">
        <f>5.9765*100</f>
        <v>597.65</v>
      </c>
      <c r="C118" s="378">
        <f>283.1109-147.1109</f>
        <v>136.00000000000003</v>
      </c>
      <c r="D118" s="378">
        <f t="shared" si="58"/>
        <v>5</v>
      </c>
      <c r="E118" s="379">
        <f t="shared" si="60"/>
        <v>141.00000000000003</v>
      </c>
      <c r="F118" s="380">
        <f t="shared" si="61"/>
        <v>0</v>
      </c>
      <c r="G118" s="381">
        <f>306.4172+35.0113+0+0.1302-253.0143</f>
        <v>88.544399999999996</v>
      </c>
      <c r="H118" s="393"/>
      <c r="I118" s="321">
        <f>3+19+27.1555+19+0.3</f>
        <v>68.455500000000001</v>
      </c>
      <c r="J118" s="385">
        <f t="shared" si="62"/>
        <v>68.455500000000001</v>
      </c>
      <c r="K118" s="383">
        <f t="shared" si="63"/>
        <v>156.9999</v>
      </c>
      <c r="L118" s="384">
        <f t="shared" si="59"/>
        <v>-6.3694267538050298E-7</v>
      </c>
    </row>
    <row r="119" spans="1:12" ht="15">
      <c r="A119" s="326">
        <v>43831</v>
      </c>
      <c r="B119" s="332">
        <f>6.0108*100</f>
        <v>601.07999999999993</v>
      </c>
      <c r="C119" s="378">
        <f>312.3575-176.3575</f>
        <v>136.00000000000003</v>
      </c>
      <c r="D119" s="378">
        <f t="shared" si="58"/>
        <v>5</v>
      </c>
      <c r="E119" s="379">
        <f t="shared" si="60"/>
        <v>141.00000000000003</v>
      </c>
      <c r="F119" s="380">
        <f t="shared" si="61"/>
        <v>0</v>
      </c>
      <c r="G119" s="381">
        <f>319.8443+35.0113+0+0.1302-266.4413</f>
        <v>88.544499999999971</v>
      </c>
      <c r="H119" s="393"/>
      <c r="I119" s="321">
        <f>3+19+27.1555+19+0.3</f>
        <v>68.455500000000001</v>
      </c>
      <c r="J119" s="385">
        <f t="shared" si="62"/>
        <v>68.455500000000001</v>
      </c>
      <c r="K119" s="383">
        <f t="shared" si="63"/>
        <v>156.99999999999997</v>
      </c>
      <c r="L119" s="384">
        <f t="shared" si="59"/>
        <v>6.3694308072292927E-7</v>
      </c>
    </row>
    <row r="120" spans="1:12" ht="15">
      <c r="A120" s="326">
        <v>43846</v>
      </c>
      <c r="B120" s="332">
        <f>6.0044*100</f>
        <v>600.44000000000005</v>
      </c>
      <c r="C120" s="378">
        <f>334.7409-198.7409</f>
        <v>136</v>
      </c>
      <c r="D120" s="378">
        <f>4+1</f>
        <v>5</v>
      </c>
      <c r="E120" s="379">
        <f t="shared" si="60"/>
        <v>141</v>
      </c>
      <c r="F120" s="380">
        <f t="shared" si="61"/>
        <v>0</v>
      </c>
      <c r="G120" s="381">
        <f>(322.2263+35.0113+0+0.1302-268.8233)</f>
        <v>88.544499999999971</v>
      </c>
      <c r="H120" s="393"/>
      <c r="I120" s="321">
        <f>(3+19+27.1555+19+0.3)</f>
        <v>68.455500000000001</v>
      </c>
      <c r="J120" s="385">
        <f t="shared" si="62"/>
        <v>68.455500000000001</v>
      </c>
      <c r="K120" s="383">
        <f t="shared" si="63"/>
        <v>156.99999999999997</v>
      </c>
      <c r="L120" s="384">
        <f t="shared" si="59"/>
        <v>0</v>
      </c>
    </row>
    <row r="121" spans="1:12" ht="15">
      <c r="A121" s="326">
        <v>43862</v>
      </c>
      <c r="B121" s="332">
        <f>(5.9382*100)</f>
        <v>593.82000000000005</v>
      </c>
      <c r="C121" s="378">
        <f>(307.6885-171.6885)</f>
        <v>135.99999999999997</v>
      </c>
      <c r="D121" s="378">
        <f>(4+1)</f>
        <v>5</v>
      </c>
      <c r="E121" s="379">
        <f t="shared" si="60"/>
        <v>140.99999999999997</v>
      </c>
      <c r="F121" s="380">
        <f t="shared" si="61"/>
        <v>0</v>
      </c>
      <c r="G121" s="381">
        <f>(303.3081+35.0113+0+0.1302-249.9051)</f>
        <v>88.544500000000028</v>
      </c>
      <c r="H121" s="393"/>
      <c r="I121" s="321">
        <f>(3+19+27.1555+19+0.3)</f>
        <v>68.455500000000001</v>
      </c>
      <c r="J121" s="385">
        <f t="shared" si="62"/>
        <v>68.455500000000001</v>
      </c>
      <c r="K121" s="383">
        <f t="shared" si="63"/>
        <v>157.00000000000003</v>
      </c>
      <c r="L121" s="384">
        <f t="shared" si="59"/>
        <v>0</v>
      </c>
    </row>
    <row r="122" spans="1:12" ht="15">
      <c r="A122" s="326">
        <v>43877</v>
      </c>
      <c r="B122" s="332">
        <f>(5.7963*100)</f>
        <v>579.63</v>
      </c>
      <c r="C122" s="378">
        <f>(265.016-129.016)</f>
        <v>136.00000000000003</v>
      </c>
      <c r="D122" s="378">
        <f>(4+1)</f>
        <v>5</v>
      </c>
      <c r="E122" s="379">
        <f t="shared" si="60"/>
        <v>141.00000000000003</v>
      </c>
      <c r="F122" s="380">
        <f t="shared" si="61"/>
        <v>0</v>
      </c>
      <c r="G122" s="381">
        <f>(274.526+35.0113+0+0.1302-224.123)</f>
        <v>85.544500000000028</v>
      </c>
      <c r="H122" s="393"/>
      <c r="I122" s="321">
        <f>(3+22+27.1555+19+0.3)</f>
        <v>71.455500000000001</v>
      </c>
      <c r="J122" s="385">
        <f t="shared" si="62"/>
        <v>71.455500000000001</v>
      </c>
      <c r="K122" s="383">
        <f t="shared" si="63"/>
        <v>157.00000000000003</v>
      </c>
      <c r="L122" s="384">
        <f t="shared" si="59"/>
        <v>0</v>
      </c>
    </row>
    <row r="123" spans="1:12" ht="15">
      <c r="A123" s="326">
        <v>43891</v>
      </c>
      <c r="B123" s="332">
        <f>(5.6793*100)</f>
        <v>567.92999999999995</v>
      </c>
      <c r="C123" s="378">
        <f>(246.587-110.587)</f>
        <v>136</v>
      </c>
      <c r="D123" s="378">
        <f>(4+1)</f>
        <v>5</v>
      </c>
      <c r="E123" s="379">
        <f t="shared" si="60"/>
        <v>141</v>
      </c>
      <c r="F123" s="380">
        <f t="shared" si="61"/>
        <v>0</v>
      </c>
      <c r="G123" s="381">
        <f>(270.1158+35.0113+0+0.1302-219.7128)</f>
        <v>85.544499999999999</v>
      </c>
      <c r="H123" s="393"/>
      <c r="I123" s="321">
        <f>(3+22+27.1555+19+0.3)</f>
        <v>71.455500000000001</v>
      </c>
      <c r="J123" s="385">
        <f t="shared" si="62"/>
        <v>71.455500000000001</v>
      </c>
      <c r="K123" s="383">
        <f t="shared" si="63"/>
        <v>157</v>
      </c>
      <c r="L123" s="384">
        <f t="shared" si="59"/>
        <v>0</v>
      </c>
    </row>
    <row r="124" spans="1:12" ht="15">
      <c r="A124" s="326">
        <v>43906</v>
      </c>
      <c r="B124" s="332">
        <f>5.7553*100</f>
        <v>575.53</v>
      </c>
      <c r="C124" s="378">
        <f>200.4196-64.4196</f>
        <v>136</v>
      </c>
      <c r="D124" s="378">
        <f t="shared" ref="D124:D145" si="64">(4+1)</f>
        <v>5</v>
      </c>
      <c r="E124" s="379">
        <f t="shared" si="60"/>
        <v>141</v>
      </c>
      <c r="F124" s="380">
        <f t="shared" ref="F124:F156" si="65">E124/E123-1</f>
        <v>0</v>
      </c>
      <c r="G124" s="381">
        <f>(229.5101+35.0113+0+0.1302-179.1071)</f>
        <v>85.544499999999971</v>
      </c>
      <c r="H124" s="393"/>
      <c r="I124" s="321">
        <f t="shared" ref="I124:I145" si="66">(3+22+27.1555+19+0.3)</f>
        <v>71.455500000000001</v>
      </c>
      <c r="J124" s="385">
        <f t="shared" ref="J124:J159" si="67">H124+I124</f>
        <v>71.455500000000001</v>
      </c>
      <c r="K124" s="383">
        <f t="shared" ref="K124:K159" si="68">G124+J124</f>
        <v>156.99999999999997</v>
      </c>
      <c r="L124" s="384">
        <f t="shared" ref="L124:L159" si="69">K124/K123-1</f>
        <v>0</v>
      </c>
    </row>
    <row r="125" spans="1:12" ht="15">
      <c r="A125" s="326">
        <v>43922</v>
      </c>
      <c r="B125" s="332">
        <f>6.1036*100</f>
        <v>610.36</v>
      </c>
      <c r="C125" s="378">
        <f>137.2385-1.2385</f>
        <v>136</v>
      </c>
      <c r="D125" s="378">
        <f t="shared" si="64"/>
        <v>5</v>
      </c>
      <c r="E125" s="379">
        <f t="shared" si="60"/>
        <v>141</v>
      </c>
      <c r="F125" s="380">
        <f t="shared" si="65"/>
        <v>0</v>
      </c>
      <c r="G125" s="381">
        <f>(144.1947+35.0113+0+0.1302-93.7917)</f>
        <v>85.544500000000014</v>
      </c>
      <c r="H125" s="393"/>
      <c r="I125" s="321">
        <f t="shared" si="66"/>
        <v>71.455500000000001</v>
      </c>
      <c r="J125" s="385">
        <f t="shared" si="67"/>
        <v>71.455500000000001</v>
      </c>
      <c r="K125" s="383">
        <f t="shared" si="68"/>
        <v>157</v>
      </c>
      <c r="L125" s="384">
        <f t="shared" si="69"/>
        <v>0</v>
      </c>
    </row>
    <row r="126" spans="1:12" ht="15">
      <c r="A126" s="326">
        <v>43937</v>
      </c>
      <c r="B126" s="332">
        <f>6.145*100</f>
        <v>614.5</v>
      </c>
      <c r="C126" s="378">
        <f>133.2683+2.7317</f>
        <v>136</v>
      </c>
      <c r="D126" s="378">
        <f t="shared" si="64"/>
        <v>5</v>
      </c>
      <c r="E126" s="379">
        <f t="shared" si="60"/>
        <v>141</v>
      </c>
      <c r="F126" s="380">
        <f t="shared" si="65"/>
        <v>0</v>
      </c>
      <c r="G126" s="381">
        <f>(137.0225+35.0113+0+0.1302-86.6196)</f>
        <v>85.54440000000001</v>
      </c>
      <c r="H126" s="393"/>
      <c r="I126" s="321">
        <f t="shared" si="66"/>
        <v>71.455500000000001</v>
      </c>
      <c r="J126" s="385">
        <f t="shared" si="67"/>
        <v>71.455500000000001</v>
      </c>
      <c r="K126" s="383">
        <f t="shared" si="68"/>
        <v>156.99990000000003</v>
      </c>
      <c r="L126" s="384">
        <f t="shared" si="69"/>
        <v>-6.3694267504743607E-7</v>
      </c>
    </row>
    <row r="127" spans="1:12" ht="15">
      <c r="A127" s="326">
        <v>43952</v>
      </c>
      <c r="B127" s="332">
        <f>6.1161*100</f>
        <v>611.61</v>
      </c>
      <c r="C127" s="378">
        <f>122.0729+13.9271</f>
        <v>136</v>
      </c>
      <c r="D127" s="378">
        <f t="shared" si="64"/>
        <v>5</v>
      </c>
      <c r="E127" s="379">
        <f t="shared" si="60"/>
        <v>141</v>
      </c>
      <c r="F127" s="380">
        <f t="shared" si="65"/>
        <v>0</v>
      </c>
      <c r="G127" s="381">
        <f>(126.8356+35.0113+0+0.1302-76.4327)</f>
        <v>85.54440000000001</v>
      </c>
      <c r="H127" s="393"/>
      <c r="I127" s="321">
        <f t="shared" si="66"/>
        <v>71.455500000000001</v>
      </c>
      <c r="J127" s="385">
        <f t="shared" si="67"/>
        <v>71.455500000000001</v>
      </c>
      <c r="K127" s="383">
        <f t="shared" si="68"/>
        <v>156.99990000000003</v>
      </c>
      <c r="L127" s="384">
        <f t="shared" si="69"/>
        <v>0</v>
      </c>
    </row>
    <row r="128" spans="1:12" ht="15">
      <c r="A128" s="326">
        <v>43967</v>
      </c>
      <c r="B128" s="332">
        <f>6.1002*100</f>
        <v>610.02</v>
      </c>
      <c r="C128" s="378">
        <f>119.8911+16.1089</f>
        <v>136</v>
      </c>
      <c r="D128" s="378">
        <f t="shared" si="64"/>
        <v>5</v>
      </c>
      <c r="E128" s="379">
        <f t="shared" si="60"/>
        <v>141</v>
      </c>
      <c r="F128" s="380">
        <f t="shared" si="65"/>
        <v>0</v>
      </c>
      <c r="G128" s="381">
        <f>(140.2531+35.0113+0+0.1302-89.8501)</f>
        <v>85.544499999999999</v>
      </c>
      <c r="H128" s="393"/>
      <c r="I128" s="321">
        <f t="shared" si="66"/>
        <v>71.455500000000001</v>
      </c>
      <c r="J128" s="385">
        <f t="shared" si="67"/>
        <v>71.455500000000001</v>
      </c>
      <c r="K128" s="383">
        <f t="shared" si="68"/>
        <v>157</v>
      </c>
      <c r="L128" s="384">
        <f t="shared" si="69"/>
        <v>6.3694308072292927E-7</v>
      </c>
    </row>
    <row r="129" spans="1:12" ht="15">
      <c r="A129" s="326">
        <v>43983</v>
      </c>
      <c r="B129" s="332">
        <f>6.1068*100</f>
        <v>610.67999999999995</v>
      </c>
      <c r="C129" s="378">
        <f>150.2613-14.2613</f>
        <v>136</v>
      </c>
      <c r="D129" s="378">
        <f t="shared" si="64"/>
        <v>5</v>
      </c>
      <c r="E129" s="379">
        <f t="shared" si="60"/>
        <v>141</v>
      </c>
      <c r="F129" s="380">
        <f t="shared" si="65"/>
        <v>0</v>
      </c>
      <c r="G129" s="381">
        <f>(178.1999+35.0113+0+0.1302-127.7969)</f>
        <v>85.544500000000028</v>
      </c>
      <c r="H129" s="393"/>
      <c r="I129" s="321">
        <f t="shared" si="66"/>
        <v>71.455500000000001</v>
      </c>
      <c r="J129" s="385">
        <f t="shared" si="67"/>
        <v>71.455500000000001</v>
      </c>
      <c r="K129" s="383">
        <f t="shared" si="68"/>
        <v>157.00000000000003</v>
      </c>
      <c r="L129" s="384">
        <f t="shared" si="69"/>
        <v>0</v>
      </c>
    </row>
    <row r="130" spans="1:12" ht="15">
      <c r="A130" s="326">
        <v>43998</v>
      </c>
      <c r="B130" s="332">
        <f>6.1131*100</f>
        <v>611.31000000000006</v>
      </c>
      <c r="C130" s="378">
        <f>172.4215-36.4215</f>
        <v>136</v>
      </c>
      <c r="D130" s="378">
        <f t="shared" si="64"/>
        <v>5</v>
      </c>
      <c r="E130" s="379">
        <f t="shared" si="60"/>
        <v>141</v>
      </c>
      <c r="F130" s="380">
        <f t="shared" si="65"/>
        <v>0</v>
      </c>
      <c r="G130" s="381">
        <f>(198.0777+35.0113+0+0.1302-147.6748)</f>
        <v>85.544399999999996</v>
      </c>
      <c r="H130" s="393"/>
      <c r="I130" s="321">
        <f t="shared" si="66"/>
        <v>71.455500000000001</v>
      </c>
      <c r="J130" s="385">
        <f t="shared" si="67"/>
        <v>71.455500000000001</v>
      </c>
      <c r="K130" s="383">
        <f t="shared" si="68"/>
        <v>156.9999</v>
      </c>
      <c r="L130" s="384">
        <f t="shared" si="69"/>
        <v>-6.3694267538050298E-7</v>
      </c>
    </row>
    <row r="131" spans="1:12" ht="15">
      <c r="A131" s="326">
        <v>44013</v>
      </c>
      <c r="B131" s="332">
        <f>6.1097*100</f>
        <v>610.97</v>
      </c>
      <c r="C131" s="378">
        <f>184.9706-48.9706</f>
        <v>136</v>
      </c>
      <c r="D131" s="378">
        <f t="shared" si="64"/>
        <v>5</v>
      </c>
      <c r="E131" s="379">
        <f t="shared" si="60"/>
        <v>141</v>
      </c>
      <c r="F131" s="380">
        <f t="shared" si="65"/>
        <v>0</v>
      </c>
      <c r="G131" s="381">
        <f>(215.0252+35.0113+0+0.1302-164.6222)</f>
        <v>85.544500000000028</v>
      </c>
      <c r="H131" s="393"/>
      <c r="I131" s="321">
        <f t="shared" si="66"/>
        <v>71.455500000000001</v>
      </c>
      <c r="J131" s="385">
        <f t="shared" si="67"/>
        <v>71.455500000000001</v>
      </c>
      <c r="K131" s="383">
        <f t="shared" si="68"/>
        <v>157.00000000000003</v>
      </c>
      <c r="L131" s="384">
        <f t="shared" si="69"/>
        <v>6.3694308116701848E-7</v>
      </c>
    </row>
    <row r="132" spans="1:12" ht="15">
      <c r="A132" s="326">
        <v>44028</v>
      </c>
      <c r="B132" s="332">
        <f>6.0676*100</f>
        <v>606.76</v>
      </c>
      <c r="C132" s="378">
        <f>191.1268-55.1268</f>
        <v>136</v>
      </c>
      <c r="D132" s="378">
        <f t="shared" si="64"/>
        <v>5</v>
      </c>
      <c r="E132" s="379">
        <f t="shared" si="60"/>
        <v>141</v>
      </c>
      <c r="F132" s="380">
        <f t="shared" si="65"/>
        <v>0</v>
      </c>
      <c r="G132" s="381">
        <f>(222.7012+35.0113+0+0.1302-172.2982)</f>
        <v>85.544499999999971</v>
      </c>
      <c r="H132" s="393"/>
      <c r="I132" s="321">
        <f t="shared" si="66"/>
        <v>71.455500000000001</v>
      </c>
      <c r="J132" s="385">
        <f t="shared" si="67"/>
        <v>71.455500000000001</v>
      </c>
      <c r="K132" s="383">
        <f t="shared" si="68"/>
        <v>156.99999999999997</v>
      </c>
      <c r="L132" s="384">
        <f t="shared" si="69"/>
        <v>0</v>
      </c>
    </row>
    <row r="133" spans="1:12" ht="15">
      <c r="A133" s="326">
        <v>44044</v>
      </c>
      <c r="B133" s="332">
        <f>6.0958*100</f>
        <v>609.57999999999993</v>
      </c>
      <c r="C133" s="378">
        <f>193.65838763125-57.6584</f>
        <v>135.99998763125001</v>
      </c>
      <c r="D133" s="378">
        <f t="shared" si="64"/>
        <v>5</v>
      </c>
      <c r="E133" s="379">
        <f t="shared" si="60"/>
        <v>140.99998763125001</v>
      </c>
      <c r="F133" s="380">
        <f t="shared" si="65"/>
        <v>-8.7721631181203463E-8</v>
      </c>
      <c r="G133" s="381">
        <f>(225.7382+35.0113+0+0.1302-175.3353)</f>
        <v>85.544400000000024</v>
      </c>
      <c r="H133" s="393"/>
      <c r="I133" s="321">
        <f t="shared" si="66"/>
        <v>71.455500000000001</v>
      </c>
      <c r="J133" s="385">
        <f t="shared" si="67"/>
        <v>71.455500000000001</v>
      </c>
      <c r="K133" s="383">
        <f t="shared" si="68"/>
        <v>156.99990000000003</v>
      </c>
      <c r="L133" s="384">
        <f t="shared" si="69"/>
        <v>-6.3694267482539146E-7</v>
      </c>
    </row>
    <row r="134" spans="1:12" ht="15">
      <c r="A134" s="326">
        <v>44059</v>
      </c>
      <c r="B134" s="332">
        <f>6.0871*100</f>
        <v>608.71</v>
      </c>
      <c r="C134" s="378">
        <f>198.2678-62.2678</f>
        <v>136</v>
      </c>
      <c r="D134" s="378">
        <f t="shared" si="64"/>
        <v>5</v>
      </c>
      <c r="E134" s="379">
        <f t="shared" si="60"/>
        <v>141</v>
      </c>
      <c r="F134" s="380">
        <f t="shared" si="65"/>
        <v>8.7721638841742333E-8</v>
      </c>
      <c r="G134" s="381">
        <f>(220.4015+35.0113+0+0.1302-169.9985)</f>
        <v>85.544499999999999</v>
      </c>
      <c r="H134" s="393"/>
      <c r="I134" s="321">
        <f t="shared" si="66"/>
        <v>71.455500000000001</v>
      </c>
      <c r="J134" s="385">
        <f t="shared" si="67"/>
        <v>71.455500000000001</v>
      </c>
      <c r="K134" s="383">
        <f t="shared" si="68"/>
        <v>157</v>
      </c>
      <c r="L134" s="384">
        <f t="shared" si="69"/>
        <v>6.3694308072292927E-7</v>
      </c>
    </row>
    <row r="135" spans="1:12" ht="15">
      <c r="A135" s="326">
        <v>44075</v>
      </c>
      <c r="B135" s="332">
        <f>6.0813*100</f>
        <v>608.13</v>
      </c>
      <c r="C135" s="378">
        <f>203.2831-67.2831</f>
        <v>136</v>
      </c>
      <c r="D135" s="378">
        <f t="shared" si="64"/>
        <v>5</v>
      </c>
      <c r="E135" s="379">
        <f t="shared" si="60"/>
        <v>141</v>
      </c>
      <c r="F135" s="380">
        <f t="shared" si="65"/>
        <v>0</v>
      </c>
      <c r="G135" s="381">
        <f>(230.8107+35.0113+0+0.1302-180.4078)</f>
        <v>85.544399999999996</v>
      </c>
      <c r="H135" s="393"/>
      <c r="I135" s="321">
        <f t="shared" si="66"/>
        <v>71.455500000000001</v>
      </c>
      <c r="J135" s="385">
        <f t="shared" si="67"/>
        <v>71.455500000000001</v>
      </c>
      <c r="K135" s="383">
        <f t="shared" si="68"/>
        <v>156.9999</v>
      </c>
      <c r="L135" s="384">
        <f t="shared" si="69"/>
        <v>-6.3694267515845837E-7</v>
      </c>
    </row>
    <row r="136" spans="1:12" ht="15">
      <c r="A136" s="326">
        <v>44090</v>
      </c>
      <c r="B136" s="332">
        <f>6.0847*100</f>
        <v>608.47</v>
      </c>
      <c r="C136" s="378">
        <f>193.1899-57.1899</f>
        <v>136</v>
      </c>
      <c r="D136" s="378">
        <f t="shared" si="64"/>
        <v>5</v>
      </c>
      <c r="E136" s="379">
        <f t="shared" si="60"/>
        <v>141</v>
      </c>
      <c r="F136" s="380">
        <f t="shared" si="65"/>
        <v>0</v>
      </c>
      <c r="G136" s="381">
        <f>(224.1675+35.0113+0+0.1302-173.7645)</f>
        <v>85.544499999999971</v>
      </c>
      <c r="H136" s="393"/>
      <c r="I136" s="321">
        <f t="shared" si="66"/>
        <v>71.455500000000001</v>
      </c>
      <c r="J136" s="385">
        <f t="shared" si="67"/>
        <v>71.455500000000001</v>
      </c>
      <c r="K136" s="383">
        <f t="shared" si="68"/>
        <v>156.99999999999997</v>
      </c>
      <c r="L136" s="384">
        <f t="shared" si="69"/>
        <v>6.3694308072292927E-7</v>
      </c>
    </row>
    <row r="137" spans="1:12" ht="15">
      <c r="A137" s="326">
        <v>44105</v>
      </c>
      <c r="B137" s="332">
        <f>6.0886*100</f>
        <v>608.8599999999999</v>
      </c>
      <c r="C137" s="378">
        <f>193.4137-57.4137</f>
        <v>136</v>
      </c>
      <c r="D137" s="378">
        <f t="shared" si="64"/>
        <v>5</v>
      </c>
      <c r="E137" s="379">
        <f t="shared" si="60"/>
        <v>141</v>
      </c>
      <c r="F137" s="380">
        <f t="shared" si="65"/>
        <v>0</v>
      </c>
      <c r="G137" s="381">
        <f>(224.1385+35.0113+0+0.1302-173.7355)</f>
        <v>85.544499999999971</v>
      </c>
      <c r="H137" s="393"/>
      <c r="I137" s="321">
        <f t="shared" si="66"/>
        <v>71.455500000000001</v>
      </c>
      <c r="J137" s="385">
        <f t="shared" si="67"/>
        <v>71.455500000000001</v>
      </c>
      <c r="K137" s="383">
        <f t="shared" si="68"/>
        <v>156.99999999999997</v>
      </c>
      <c r="L137" s="384">
        <f t="shared" si="69"/>
        <v>0</v>
      </c>
    </row>
    <row r="138" spans="1:12" ht="15">
      <c r="A138" s="326">
        <v>44120</v>
      </c>
      <c r="B138" s="332">
        <f>6.1418*100</f>
        <v>614.17999999999995</v>
      </c>
      <c r="C138" s="378">
        <f>202.7875-66.7875</f>
        <v>136</v>
      </c>
      <c r="D138" s="378">
        <f t="shared" si="64"/>
        <v>5</v>
      </c>
      <c r="E138" s="379">
        <f t="shared" si="60"/>
        <v>141</v>
      </c>
      <c r="F138" s="380">
        <f t="shared" si="65"/>
        <v>0</v>
      </c>
      <c r="G138" s="381">
        <f>(230.2432+35.0113+0+0.1302-179.8403)</f>
        <v>85.544399999999996</v>
      </c>
      <c r="H138" s="393"/>
      <c r="I138" s="321">
        <f t="shared" si="66"/>
        <v>71.455500000000001</v>
      </c>
      <c r="J138" s="385">
        <f t="shared" si="67"/>
        <v>71.455500000000001</v>
      </c>
      <c r="K138" s="383">
        <f t="shared" si="68"/>
        <v>156.9999</v>
      </c>
      <c r="L138" s="384">
        <f t="shared" si="69"/>
        <v>-6.3694267504743607E-7</v>
      </c>
    </row>
    <row r="139" spans="1:12" ht="15">
      <c r="A139" s="326">
        <v>44136</v>
      </c>
      <c r="B139" s="332">
        <f>6.133*100</f>
        <v>613.29999999999995</v>
      </c>
      <c r="C139" s="378">
        <f>207.5504-71.5504</f>
        <v>136</v>
      </c>
      <c r="D139" s="378">
        <f t="shared" si="64"/>
        <v>5</v>
      </c>
      <c r="E139" s="379">
        <f t="shared" si="60"/>
        <v>141</v>
      </c>
      <c r="F139" s="380">
        <f t="shared" si="65"/>
        <v>0</v>
      </c>
      <c r="G139" s="381">
        <f>(220.7791+35.0113+0+0.1302-170.3761)</f>
        <v>85.544499999999999</v>
      </c>
      <c r="H139" s="393"/>
      <c r="I139" s="321">
        <f t="shared" si="66"/>
        <v>71.455500000000001</v>
      </c>
      <c r="J139" s="385">
        <f t="shared" si="67"/>
        <v>71.455500000000001</v>
      </c>
      <c r="K139" s="383">
        <f t="shared" si="68"/>
        <v>157</v>
      </c>
      <c r="L139" s="384">
        <f t="shared" si="69"/>
        <v>6.3694308094497387E-7</v>
      </c>
    </row>
    <row r="140" spans="1:12" ht="15">
      <c r="A140" s="326">
        <v>44151</v>
      </c>
      <c r="B140" s="332">
        <f>6.126*100</f>
        <v>612.6</v>
      </c>
      <c r="C140" s="378">
        <f>203.1557-67.1557</f>
        <v>136</v>
      </c>
      <c r="D140" s="378">
        <f t="shared" si="64"/>
        <v>5</v>
      </c>
      <c r="E140" s="379">
        <f t="shared" si="60"/>
        <v>141</v>
      </c>
      <c r="F140" s="380">
        <f t="shared" si="65"/>
        <v>0</v>
      </c>
      <c r="G140" s="381">
        <f>(210.1854+35.0113+0+0.1302-159.7825)</f>
        <v>85.544399999999996</v>
      </c>
      <c r="H140" s="393"/>
      <c r="I140" s="321">
        <f t="shared" si="66"/>
        <v>71.455500000000001</v>
      </c>
      <c r="J140" s="385">
        <f t="shared" si="67"/>
        <v>71.455500000000001</v>
      </c>
      <c r="K140" s="383">
        <f t="shared" si="68"/>
        <v>156.9999</v>
      </c>
      <c r="L140" s="384">
        <f t="shared" si="69"/>
        <v>-6.3694267515845837E-7</v>
      </c>
    </row>
    <row r="141" spans="1:12" ht="15">
      <c r="A141" s="326">
        <v>44166</v>
      </c>
      <c r="B141" s="332">
        <f>6.1814*100</f>
        <v>618.14</v>
      </c>
      <c r="C141" s="378">
        <f>222.8519-86.8519</f>
        <v>136</v>
      </c>
      <c r="D141" s="378">
        <f t="shared" si="64"/>
        <v>5</v>
      </c>
      <c r="E141" s="379">
        <f t="shared" si="60"/>
        <v>141</v>
      </c>
      <c r="F141" s="380">
        <f t="shared" si="65"/>
        <v>0</v>
      </c>
      <c r="G141" s="381">
        <f>(224.4183+35.0113+0+0.1302-174.0158)</f>
        <v>85.543999999999983</v>
      </c>
      <c r="H141" s="393"/>
      <c r="I141" s="321">
        <f t="shared" si="66"/>
        <v>71.455500000000001</v>
      </c>
      <c r="J141" s="385">
        <f t="shared" si="67"/>
        <v>71.455500000000001</v>
      </c>
      <c r="K141" s="383">
        <f t="shared" si="68"/>
        <v>156.99949999999998</v>
      </c>
      <c r="L141" s="384">
        <f t="shared" si="69"/>
        <v>-2.5477723235578509E-6</v>
      </c>
    </row>
    <row r="142" spans="1:12" ht="15">
      <c r="A142" s="326">
        <v>44181</v>
      </c>
      <c r="B142" s="332">
        <f>6.2062*100</f>
        <v>620.62</v>
      </c>
      <c r="C142" s="378">
        <f>235.53-99.53</f>
        <v>136</v>
      </c>
      <c r="D142" s="378">
        <f t="shared" si="64"/>
        <v>5</v>
      </c>
      <c r="E142" s="379">
        <f t="shared" si="60"/>
        <v>141</v>
      </c>
      <c r="F142" s="380">
        <f t="shared" si="65"/>
        <v>0</v>
      </c>
      <c r="G142" s="381">
        <f>(238.9277+35.0113+0+0.1302-188.5248)</f>
        <v>85.544399999999968</v>
      </c>
      <c r="H142" s="393"/>
      <c r="I142" s="321">
        <f t="shared" si="66"/>
        <v>71.455500000000001</v>
      </c>
      <c r="J142" s="385">
        <f t="shared" si="67"/>
        <v>71.455500000000001</v>
      </c>
      <c r="K142" s="383">
        <f t="shared" si="68"/>
        <v>156.99989999999997</v>
      </c>
      <c r="L142" s="384">
        <f t="shared" si="69"/>
        <v>2.5477788145877867E-6</v>
      </c>
    </row>
    <row r="143" spans="1:12" ht="15">
      <c r="A143" s="326">
        <v>44197</v>
      </c>
      <c r="B143" s="332">
        <f>6.2233*100</f>
        <v>622.33000000000004</v>
      </c>
      <c r="C143" s="378">
        <f>242.6646-106.6646</f>
        <v>136</v>
      </c>
      <c r="D143" s="378">
        <f t="shared" si="64"/>
        <v>5</v>
      </c>
      <c r="E143" s="379">
        <f t="shared" si="60"/>
        <v>141</v>
      </c>
      <c r="F143" s="380">
        <f t="shared" si="65"/>
        <v>0</v>
      </c>
      <c r="G143" s="381">
        <f>(249.2951+35.0113+0+0.1302-198.8922)</f>
        <v>85.544399999999996</v>
      </c>
      <c r="H143" s="393"/>
      <c r="I143" s="321">
        <f t="shared" si="66"/>
        <v>71.455500000000001</v>
      </c>
      <c r="J143" s="385">
        <f t="shared" si="67"/>
        <v>71.455500000000001</v>
      </c>
      <c r="K143" s="383">
        <f t="shared" si="68"/>
        <v>156.9999</v>
      </c>
      <c r="L143" s="384">
        <f t="shared" si="69"/>
        <v>0</v>
      </c>
    </row>
    <row r="144" spans="1:12" ht="15">
      <c r="A144" s="326">
        <v>44212</v>
      </c>
      <c r="B144" s="332">
        <f>6.2078*100</f>
        <v>620.78</v>
      </c>
      <c r="C144" s="378">
        <f>250.1119-114.1119</f>
        <v>136</v>
      </c>
      <c r="D144" s="378">
        <f t="shared" si="64"/>
        <v>5</v>
      </c>
      <c r="E144" s="379">
        <f t="shared" si="60"/>
        <v>141</v>
      </c>
      <c r="F144" s="380">
        <f t="shared" si="65"/>
        <v>0</v>
      </c>
      <c r="G144" s="381">
        <f>(262.6438+35.0113+0+0.1302-212.2408)</f>
        <v>85.544499999999999</v>
      </c>
      <c r="H144" s="393"/>
      <c r="I144" s="321">
        <f t="shared" si="66"/>
        <v>71.455500000000001</v>
      </c>
      <c r="J144" s="385">
        <f t="shared" si="67"/>
        <v>71.455500000000001</v>
      </c>
      <c r="K144" s="383">
        <f t="shared" si="68"/>
        <v>157</v>
      </c>
      <c r="L144" s="384">
        <f t="shared" si="69"/>
        <v>6.3694308094497387E-7</v>
      </c>
    </row>
    <row r="145" spans="1:12" ht="15">
      <c r="A145" s="326">
        <v>44228</v>
      </c>
      <c r="B145" s="332">
        <f>6.1353*100</f>
        <v>613.53</v>
      </c>
      <c r="C145" s="378">
        <f>262.2613-126.2613</f>
        <v>136</v>
      </c>
      <c r="D145" s="378">
        <f t="shared" si="64"/>
        <v>5</v>
      </c>
      <c r="E145" s="379">
        <f t="shared" si="60"/>
        <v>141</v>
      </c>
      <c r="F145" s="380">
        <f t="shared" si="65"/>
        <v>0</v>
      </c>
      <c r="G145" s="381">
        <f>(273.8744+35.0113+0+0.1302-223.4714)</f>
        <v>85.544499999999999</v>
      </c>
      <c r="H145" s="393"/>
      <c r="I145" s="321">
        <f t="shared" si="66"/>
        <v>71.455500000000001</v>
      </c>
      <c r="J145" s="385">
        <f t="shared" si="67"/>
        <v>71.455500000000001</v>
      </c>
      <c r="K145" s="383">
        <f t="shared" si="68"/>
        <v>157</v>
      </c>
      <c r="L145" s="384">
        <f t="shared" si="69"/>
        <v>0</v>
      </c>
    </row>
    <row r="146" spans="1:12" ht="15">
      <c r="A146" s="326">
        <v>44243</v>
      </c>
      <c r="B146" s="332">
        <f>6.1025*100</f>
        <v>610.25</v>
      </c>
      <c r="C146" s="378">
        <f>279.2289-143.2289</f>
        <v>136</v>
      </c>
      <c r="D146" s="378">
        <f t="shared" ref="D146:D158" si="70">4+1</f>
        <v>5</v>
      </c>
      <c r="E146" s="379">
        <f t="shared" si="60"/>
        <v>141</v>
      </c>
      <c r="F146" s="380">
        <f t="shared" si="65"/>
        <v>0</v>
      </c>
      <c r="G146" s="381">
        <f>284.5374+35.0113+0+0.1302-234.1344</f>
        <v>85.544499999999999</v>
      </c>
      <c r="H146" s="393"/>
      <c r="I146" s="321">
        <f>3+22+27.1555+19+0.3</f>
        <v>71.455500000000001</v>
      </c>
      <c r="J146" s="385">
        <f t="shared" si="67"/>
        <v>71.455500000000001</v>
      </c>
      <c r="K146" s="383">
        <f t="shared" si="68"/>
        <v>157</v>
      </c>
      <c r="L146" s="384">
        <f t="shared" si="69"/>
        <v>0</v>
      </c>
    </row>
    <row r="147" spans="1:12" ht="15">
      <c r="A147" s="326">
        <v>44256</v>
      </c>
      <c r="B147" s="332">
        <f>6.031*100</f>
        <v>603.1</v>
      </c>
      <c r="C147" s="378">
        <f>299.0525-163.0525</f>
        <v>136</v>
      </c>
      <c r="D147" s="378">
        <f t="shared" si="70"/>
        <v>5</v>
      </c>
      <c r="E147" s="379">
        <f t="shared" si="60"/>
        <v>141</v>
      </c>
      <c r="F147" s="380">
        <f t="shared" si="65"/>
        <v>0</v>
      </c>
      <c r="G147" s="381">
        <f>306.4905+35.0113+0+0.1302-256.0875</f>
        <v>85.544500000000028</v>
      </c>
      <c r="H147" s="393"/>
      <c r="I147" s="321">
        <f>3+22+27.1555+19+0.3</f>
        <v>71.455500000000001</v>
      </c>
      <c r="J147" s="385">
        <f t="shared" si="67"/>
        <v>71.455500000000001</v>
      </c>
      <c r="K147" s="383">
        <f t="shared" si="68"/>
        <v>157.00000000000003</v>
      </c>
      <c r="L147" s="384">
        <f t="shared" si="69"/>
        <v>0</v>
      </c>
    </row>
    <row r="148" spans="1:12" ht="15">
      <c r="A148" s="326">
        <v>44271</v>
      </c>
      <c r="B148" s="332">
        <f>6.0223*100</f>
        <v>602.23</v>
      </c>
      <c r="C148" s="378">
        <f>308.8569-172.8569</f>
        <v>136</v>
      </c>
      <c r="D148" s="378">
        <f t="shared" si="70"/>
        <v>5</v>
      </c>
      <c r="E148" s="379">
        <f t="shared" si="60"/>
        <v>141</v>
      </c>
      <c r="F148" s="380">
        <f t="shared" si="65"/>
        <v>0</v>
      </c>
      <c r="G148" s="381">
        <f>322.5318+35.0113+0+0.1302-272.1288</f>
        <v>85.544499999999971</v>
      </c>
      <c r="H148" s="393"/>
      <c r="I148" s="321">
        <f>3+22+27.1555+19+0.3</f>
        <v>71.455500000000001</v>
      </c>
      <c r="J148" s="385">
        <f t="shared" si="67"/>
        <v>71.455500000000001</v>
      </c>
      <c r="K148" s="383">
        <f t="shared" si="68"/>
        <v>156.99999999999997</v>
      </c>
      <c r="L148" s="384">
        <f t="shared" si="69"/>
        <v>0</v>
      </c>
    </row>
    <row r="149" spans="1:12" ht="15">
      <c r="A149" s="326">
        <v>44287</v>
      </c>
      <c r="B149" s="332">
        <f>6.0145*100</f>
        <v>601.45000000000005</v>
      </c>
      <c r="C149" s="378">
        <f>295.4421-159.4421</f>
        <v>135.99999999999997</v>
      </c>
      <c r="D149" s="378">
        <f t="shared" si="70"/>
        <v>5</v>
      </c>
      <c r="E149" s="379">
        <f t="shared" si="60"/>
        <v>140.99999999999997</v>
      </c>
      <c r="F149" s="380">
        <f t="shared" si="65"/>
        <v>0</v>
      </c>
      <c r="G149" s="381">
        <f>317.4422+35.0113+0+0.1302-267.0393</f>
        <v>85.544399999999996</v>
      </c>
      <c r="H149" s="393"/>
      <c r="I149" s="321">
        <f>3+22+27.1555+19+0.3</f>
        <v>71.455500000000001</v>
      </c>
      <c r="J149" s="385">
        <f t="shared" si="67"/>
        <v>71.455500000000001</v>
      </c>
      <c r="K149" s="383">
        <f t="shared" si="68"/>
        <v>156.9999</v>
      </c>
      <c r="L149" s="384">
        <f t="shared" si="69"/>
        <v>-6.3694267504743607E-7</v>
      </c>
    </row>
    <row r="150" spans="1:12" ht="15">
      <c r="A150" s="326">
        <v>44302</v>
      </c>
      <c r="B150" s="332">
        <f>6.0124*100</f>
        <v>601.24</v>
      </c>
      <c r="C150" s="378">
        <f>284.8169-148.8169</f>
        <v>135.99999999999997</v>
      </c>
      <c r="D150" s="378">
        <f t="shared" si="70"/>
        <v>5</v>
      </c>
      <c r="E150" s="379">
        <f t="shared" si="60"/>
        <v>140.99999999999997</v>
      </c>
      <c r="F150" s="380">
        <f t="shared" si="65"/>
        <v>0</v>
      </c>
      <c r="G150" s="381">
        <f>321.1727+35.0113+0+0.1302-270.7697</f>
        <v>85.544500000000028</v>
      </c>
      <c r="H150" s="393"/>
      <c r="I150" s="321">
        <f>3+22+27.1555+19+0.3</f>
        <v>71.455500000000001</v>
      </c>
      <c r="J150" s="385">
        <f t="shared" si="67"/>
        <v>71.455500000000001</v>
      </c>
      <c r="K150" s="383">
        <f t="shared" si="68"/>
        <v>157.00000000000003</v>
      </c>
      <c r="L150" s="384">
        <f t="shared" si="69"/>
        <v>6.3694308116701848E-7</v>
      </c>
    </row>
    <row r="151" spans="1:12" ht="15">
      <c r="A151" s="326">
        <v>44317</v>
      </c>
      <c r="B151" s="332">
        <f>6.0682*100</f>
        <v>606.82000000000005</v>
      </c>
      <c r="C151" s="378">
        <f>294.8618-158.8618</f>
        <v>136.00000000000003</v>
      </c>
      <c r="D151" s="378">
        <f t="shared" si="70"/>
        <v>5</v>
      </c>
      <c r="E151" s="379">
        <f t="shared" si="60"/>
        <v>141.00000000000003</v>
      </c>
      <c r="F151" s="380">
        <f t="shared" si="65"/>
        <v>0</v>
      </c>
      <c r="G151" s="381">
        <f>328.8037+35.0113+0+0.1302-283.4007</f>
        <v>80.544500000000028</v>
      </c>
      <c r="H151" s="393"/>
      <c r="I151" s="321">
        <f>8+22+27.1555+19+0.3</f>
        <v>76.455500000000001</v>
      </c>
      <c r="J151" s="385">
        <f t="shared" si="67"/>
        <v>76.455500000000001</v>
      </c>
      <c r="K151" s="383">
        <f t="shared" si="68"/>
        <v>157.00000000000003</v>
      </c>
      <c r="L151" s="384">
        <f t="shared" si="69"/>
        <v>0</v>
      </c>
    </row>
    <row r="152" spans="1:12" ht="15">
      <c r="A152" s="326">
        <v>44321</v>
      </c>
      <c r="B152" s="332">
        <f>6.0682*100</f>
        <v>606.82000000000005</v>
      </c>
      <c r="C152" s="378">
        <f>294.8618-158.8618</f>
        <v>136.00000000000003</v>
      </c>
      <c r="D152" s="378">
        <f t="shared" si="70"/>
        <v>5</v>
      </c>
      <c r="E152" s="379">
        <f t="shared" si="60"/>
        <v>141.00000000000003</v>
      </c>
      <c r="F152" s="380">
        <f t="shared" si="65"/>
        <v>0</v>
      </c>
      <c r="G152" s="381">
        <f>328.8037+35.0113+0+0.1302-280.4007</f>
        <v>83.544500000000028</v>
      </c>
      <c r="H152" s="393"/>
      <c r="I152" s="321">
        <f t="shared" ref="I152:I158" si="71">5+22+27.1555+19+0.3</f>
        <v>73.455500000000001</v>
      </c>
      <c r="J152" s="385">
        <f t="shared" si="67"/>
        <v>73.455500000000001</v>
      </c>
      <c r="K152" s="383">
        <f t="shared" si="68"/>
        <v>157.00000000000003</v>
      </c>
      <c r="L152" s="384">
        <f t="shared" si="69"/>
        <v>0</v>
      </c>
    </row>
    <row r="153" spans="1:12" ht="15">
      <c r="A153" s="326">
        <v>44332</v>
      </c>
      <c r="B153" s="332">
        <f>6.0468*100</f>
        <v>604.68000000000006</v>
      </c>
      <c r="C153" s="378">
        <f>298.6748-162.6746</f>
        <v>136.00020000000001</v>
      </c>
      <c r="D153" s="378">
        <f t="shared" si="70"/>
        <v>5</v>
      </c>
      <c r="E153" s="379">
        <f t="shared" si="60"/>
        <v>141.00020000000001</v>
      </c>
      <c r="F153" s="380">
        <f t="shared" si="65"/>
        <v>1.4184397161276507E-6</v>
      </c>
      <c r="G153" s="381">
        <f>339.282+35.0113+0+0.1302-290.879</f>
        <v>83.544499999999971</v>
      </c>
      <c r="H153" s="393"/>
      <c r="I153" s="321">
        <f t="shared" si="71"/>
        <v>73.455500000000001</v>
      </c>
      <c r="J153" s="385">
        <f t="shared" si="67"/>
        <v>73.455500000000001</v>
      </c>
      <c r="K153" s="383">
        <f t="shared" si="68"/>
        <v>156.99999999999997</v>
      </c>
      <c r="L153" s="384">
        <f t="shared" si="69"/>
        <v>0</v>
      </c>
    </row>
    <row r="154" spans="1:12" ht="15">
      <c r="A154" s="326">
        <v>44348</v>
      </c>
      <c r="B154" s="332">
        <f>6.0862*100</f>
        <v>608.62</v>
      </c>
      <c r="C154" s="378">
        <f>291.5947-155.5947</f>
        <v>136</v>
      </c>
      <c r="D154" s="378">
        <f t="shared" si="70"/>
        <v>5</v>
      </c>
      <c r="E154" s="379">
        <f t="shared" si="60"/>
        <v>141</v>
      </c>
      <c r="F154" s="380">
        <f t="shared" si="65"/>
        <v>-1.4184377044035301E-6</v>
      </c>
      <c r="G154" s="381">
        <f>338.895+35.0113+0+0.1302-290.4921</f>
        <v>83.544399999999996</v>
      </c>
      <c r="H154" s="393"/>
      <c r="I154" s="321">
        <f t="shared" si="71"/>
        <v>73.455500000000001</v>
      </c>
      <c r="J154" s="385">
        <f t="shared" si="67"/>
        <v>73.455500000000001</v>
      </c>
      <c r="K154" s="383">
        <f t="shared" si="68"/>
        <v>156.9999</v>
      </c>
      <c r="L154" s="384">
        <f t="shared" si="69"/>
        <v>-6.3694267504743607E-7</v>
      </c>
    </row>
    <row r="155" spans="1:12" ht="15">
      <c r="A155" s="326">
        <v>44363</v>
      </c>
      <c r="B155" s="332">
        <f>6.0849*100</f>
        <v>608.49</v>
      </c>
      <c r="C155" s="378">
        <f>303.5494-167.5494</f>
        <v>136</v>
      </c>
      <c r="D155" s="378">
        <f t="shared" si="70"/>
        <v>5</v>
      </c>
      <c r="E155" s="379">
        <f t="shared" si="60"/>
        <v>141</v>
      </c>
      <c r="F155" s="380">
        <f t="shared" si="65"/>
        <v>0</v>
      </c>
      <c r="G155" s="381">
        <f>348.0982+58.3123+0+0.1302-322.9963</f>
        <v>83.544399999999996</v>
      </c>
      <c r="H155" s="393"/>
      <c r="I155" s="321">
        <f t="shared" si="71"/>
        <v>73.455500000000001</v>
      </c>
      <c r="J155" s="385">
        <f t="shared" si="67"/>
        <v>73.455500000000001</v>
      </c>
      <c r="K155" s="383">
        <f t="shared" si="68"/>
        <v>156.9999</v>
      </c>
      <c r="L155" s="384">
        <f t="shared" si="69"/>
        <v>0</v>
      </c>
    </row>
    <row r="156" spans="1:12" ht="15">
      <c r="A156" s="326">
        <v>44378</v>
      </c>
      <c r="B156" s="332">
        <f>6.1299*100</f>
        <v>612.99</v>
      </c>
      <c r="C156" s="378">
        <f>317.4129-181.4129</f>
        <v>135.99999999999997</v>
      </c>
      <c r="D156" s="378">
        <f t="shared" si="70"/>
        <v>5</v>
      </c>
      <c r="E156" s="379">
        <f t="shared" si="60"/>
        <v>140.99999999999997</v>
      </c>
      <c r="F156" s="380">
        <f t="shared" si="65"/>
        <v>0</v>
      </c>
      <c r="G156" s="381">
        <f>361.0142+58.3123+0+0.1302-335.9122</f>
        <v>83.544500000000028</v>
      </c>
      <c r="H156" s="393"/>
      <c r="I156" s="321">
        <f t="shared" si="71"/>
        <v>73.455500000000001</v>
      </c>
      <c r="J156" s="385">
        <f t="shared" si="67"/>
        <v>73.455500000000001</v>
      </c>
      <c r="K156" s="383">
        <f t="shared" si="68"/>
        <v>157.00000000000003</v>
      </c>
      <c r="L156" s="384">
        <f t="shared" si="69"/>
        <v>6.3694308116701848E-7</v>
      </c>
    </row>
    <row r="157" spans="1:12" ht="15">
      <c r="A157" s="326">
        <v>44393</v>
      </c>
      <c r="B157" s="332">
        <f>6.2118*100</f>
        <v>621.18000000000006</v>
      </c>
      <c r="C157" s="378">
        <f>330.0267-194.0267</f>
        <v>136</v>
      </c>
      <c r="D157" s="378">
        <f t="shared" si="70"/>
        <v>5</v>
      </c>
      <c r="E157" s="379">
        <f t="shared" si="60"/>
        <v>141</v>
      </c>
      <c r="F157" s="380">
        <f t="shared" ref="F157:F168" si="72">E157/E156-1</f>
        <v>0</v>
      </c>
      <c r="G157" s="381">
        <f>376.6729+58.312333+0+0.1302-351.5709</f>
        <v>83.544533000000058</v>
      </c>
      <c r="H157" s="393"/>
      <c r="I157" s="321">
        <f t="shared" si="71"/>
        <v>73.455500000000001</v>
      </c>
      <c r="J157" s="385">
        <f t="shared" si="67"/>
        <v>73.455500000000001</v>
      </c>
      <c r="K157" s="383">
        <f t="shared" si="68"/>
        <v>157.00003300000006</v>
      </c>
      <c r="L157" s="384">
        <f t="shared" si="69"/>
        <v>2.1019108298325762E-7</v>
      </c>
    </row>
    <row r="158" spans="1:12" ht="15">
      <c r="A158" s="326">
        <v>44409</v>
      </c>
      <c r="B158" s="332">
        <f>6.2602*100</f>
        <v>626.02</v>
      </c>
      <c r="C158" s="378">
        <f>329.1559-193.1559</f>
        <v>135.99999999999997</v>
      </c>
      <c r="D158" s="378">
        <f t="shared" si="70"/>
        <v>5</v>
      </c>
      <c r="E158" s="379">
        <f t="shared" si="60"/>
        <v>140.99999999999997</v>
      </c>
      <c r="F158" s="380">
        <f>E158/E157-1</f>
        <v>0</v>
      </c>
      <c r="G158" s="381">
        <f>378.2921+58.312333+0+0.1302-353.1902</f>
        <v>83.544433000000026</v>
      </c>
      <c r="H158" s="393"/>
      <c r="I158" s="321">
        <f t="shared" si="71"/>
        <v>73.455500000000001</v>
      </c>
      <c r="J158" s="385">
        <f t="shared" si="67"/>
        <v>73.455500000000001</v>
      </c>
      <c r="K158" s="383">
        <f t="shared" si="68"/>
        <v>156.99993300000003</v>
      </c>
      <c r="L158" s="384">
        <f t="shared" si="69"/>
        <v>-6.3694254148760621E-7</v>
      </c>
    </row>
    <row r="159" spans="1:12" ht="15">
      <c r="A159" s="326">
        <v>44424</v>
      </c>
      <c r="B159" s="332">
        <f>6.3471*100</f>
        <v>634.71</v>
      </c>
      <c r="C159" s="378">
        <f>330.4567-194.4567</f>
        <v>136</v>
      </c>
      <c r="D159" s="378">
        <f t="shared" ref="D159:D164" si="73">4+1</f>
        <v>5</v>
      </c>
      <c r="E159" s="379">
        <f t="shared" si="60"/>
        <v>141</v>
      </c>
      <c r="F159" s="380">
        <f t="shared" si="72"/>
        <v>0</v>
      </c>
      <c r="G159" s="381">
        <f>388.338+58.31233+0.1302-363.236</f>
        <v>83.544530000000066</v>
      </c>
      <c r="H159" s="393"/>
      <c r="I159" s="321">
        <f>5+22+27.1555+19+0.3</f>
        <v>73.455500000000001</v>
      </c>
      <c r="J159" s="385">
        <f t="shared" si="67"/>
        <v>73.455500000000001</v>
      </c>
      <c r="K159" s="383">
        <f t="shared" si="68"/>
        <v>157.00003000000007</v>
      </c>
      <c r="L159" s="384">
        <f t="shared" si="69"/>
        <v>6.1783465876708021E-7</v>
      </c>
    </row>
    <row r="160" spans="1:12" ht="15">
      <c r="A160" s="326">
        <v>44440</v>
      </c>
      <c r="B160" s="332">
        <f>6.3979*100</f>
        <v>639.79</v>
      </c>
      <c r="C160" s="378">
        <f>322.1456-186.1456</f>
        <v>136</v>
      </c>
      <c r="D160" s="378">
        <f t="shared" si="73"/>
        <v>5</v>
      </c>
      <c r="E160" s="379">
        <f t="shared" ref="E160:E166" si="74">C160+D160</f>
        <v>141</v>
      </c>
      <c r="F160" s="380">
        <f>E160/E159-1</f>
        <v>0</v>
      </c>
      <c r="G160" s="381">
        <f>376.7629+58.31233+0.1302-351.6609</f>
        <v>83.544530000000009</v>
      </c>
      <c r="H160" s="393"/>
      <c r="I160" s="321">
        <f>5+22+27.1555+19+0.3</f>
        <v>73.455500000000001</v>
      </c>
      <c r="J160" s="385">
        <f t="shared" ref="J160:J166" si="75">H160+I160</f>
        <v>73.455500000000001</v>
      </c>
      <c r="K160" s="383">
        <f t="shared" ref="K160:K166" si="76">G160+J160</f>
        <v>157.00003000000001</v>
      </c>
      <c r="L160" s="384">
        <f t="shared" ref="L160:L228" si="77">K160/K159-1</f>
        <v>0</v>
      </c>
    </row>
    <row r="161" spans="1:15" ht="15">
      <c r="A161" s="326">
        <v>44455</v>
      </c>
      <c r="B161" s="332">
        <f>6.3874*100</f>
        <v>638.74</v>
      </c>
      <c r="C161" s="378">
        <f>342.6162-206.6162</f>
        <v>136</v>
      </c>
      <c r="D161" s="378">
        <f t="shared" si="73"/>
        <v>5</v>
      </c>
      <c r="E161" s="379">
        <f t="shared" si="74"/>
        <v>141</v>
      </c>
      <c r="F161" s="380">
        <f t="shared" si="72"/>
        <v>0</v>
      </c>
      <c r="G161" s="381">
        <f>388.1834+58.312333+0+0.1302-363.0814</f>
        <v>83.544533000000058</v>
      </c>
      <c r="H161" s="393"/>
      <c r="I161" s="321">
        <f>5+22+27.1555+19+0.3</f>
        <v>73.455500000000001</v>
      </c>
      <c r="J161" s="385">
        <f t="shared" si="75"/>
        <v>73.455500000000001</v>
      </c>
      <c r="K161" s="383">
        <f t="shared" si="76"/>
        <v>157.00003300000006</v>
      </c>
      <c r="L161" s="384">
        <f>K161/K160-1</f>
        <v>1.9108276960722037E-8</v>
      </c>
    </row>
    <row r="162" spans="1:15" ht="15">
      <c r="A162" s="326">
        <v>44470</v>
      </c>
      <c r="B162" s="332">
        <f>6.3822*100</f>
        <v>638.22</v>
      </c>
      <c r="C162" s="378">
        <f>354.0302-218.0302</f>
        <v>135.99999999999997</v>
      </c>
      <c r="D162" s="378">
        <f t="shared" si="73"/>
        <v>5</v>
      </c>
      <c r="E162" s="379">
        <f t="shared" si="74"/>
        <v>140.99999999999997</v>
      </c>
      <c r="F162" s="380">
        <f>E162/E161-1</f>
        <v>0</v>
      </c>
      <c r="G162" s="381">
        <f>386.9707+58.31233+0+0.1302-361.8687</f>
        <v>83.544530000000066</v>
      </c>
      <c r="H162" s="393"/>
      <c r="I162" s="321">
        <f>5+22+27.1555+19+0.3</f>
        <v>73.455500000000001</v>
      </c>
      <c r="J162" s="385">
        <f t="shared" si="75"/>
        <v>73.455500000000001</v>
      </c>
      <c r="K162" s="383">
        <f t="shared" si="76"/>
        <v>157.00003000000007</v>
      </c>
      <c r="L162" s="384">
        <f t="shared" si="77"/>
        <v>-1.910827618356592E-8</v>
      </c>
    </row>
    <row r="163" spans="1:15" ht="15">
      <c r="A163" s="326">
        <v>44485</v>
      </c>
      <c r="B163" s="332">
        <f>6.449*100</f>
        <v>644.9</v>
      </c>
      <c r="C163" s="378">
        <f>380.2493-244.2493</f>
        <v>136</v>
      </c>
      <c r="D163" s="378">
        <f t="shared" si="73"/>
        <v>5</v>
      </c>
      <c r="E163" s="379">
        <f t="shared" si="74"/>
        <v>141</v>
      </c>
      <c r="F163" s="380">
        <f t="shared" si="72"/>
        <v>0</v>
      </c>
      <c r="G163" s="381">
        <f>421.617719+58.31233+0+0.1302-396.5157523425</f>
        <v>83.544496657500076</v>
      </c>
      <c r="H163" s="393"/>
      <c r="I163" s="321">
        <f>5+22+27.155+19+0.3</f>
        <v>73.454999999999998</v>
      </c>
      <c r="J163" s="385">
        <f>H163+I163</f>
        <v>73.454999999999998</v>
      </c>
      <c r="K163" s="383">
        <f t="shared" si="76"/>
        <v>156.99949665750006</v>
      </c>
      <c r="L163" s="384">
        <f t="shared" si="77"/>
        <v>-3.3970853381415367E-6</v>
      </c>
    </row>
    <row r="164" spans="1:15" ht="15">
      <c r="A164" s="326">
        <v>44501</v>
      </c>
      <c r="B164" s="332">
        <f>6.4875*100</f>
        <v>648.75</v>
      </c>
      <c r="C164" s="378">
        <f>393.0035-257.0035</f>
        <v>136</v>
      </c>
      <c r="D164" s="378">
        <f t="shared" si="73"/>
        <v>5</v>
      </c>
      <c r="E164" s="379">
        <f t="shared" si="74"/>
        <v>141</v>
      </c>
      <c r="F164" s="380">
        <f t="shared" si="72"/>
        <v>0</v>
      </c>
      <c r="G164" s="381">
        <f>442.0765+58.31233+0+0.1302-416.9745</f>
        <v>83.544530000000009</v>
      </c>
      <c r="H164" s="393"/>
      <c r="I164" s="321">
        <f>5+22+27.1555+19+0.3</f>
        <v>73.455500000000001</v>
      </c>
      <c r="J164" s="385">
        <f t="shared" si="75"/>
        <v>73.455500000000001</v>
      </c>
      <c r="K164" s="383">
        <f t="shared" si="76"/>
        <v>157.00003000000001</v>
      </c>
      <c r="L164" s="384">
        <f t="shared" si="77"/>
        <v>3.3970968780216992E-6</v>
      </c>
    </row>
    <row r="165" spans="1:15" ht="15">
      <c r="A165" s="326">
        <v>44516</v>
      </c>
      <c r="B165" s="332">
        <f>6.5604*100</f>
        <v>656.04</v>
      </c>
      <c r="C165" s="378">
        <f>388.5378-252.5378</f>
        <v>136</v>
      </c>
      <c r="D165" s="378">
        <f t="shared" ref="D165:D170" si="78">4+1</f>
        <v>5</v>
      </c>
      <c r="E165" s="379">
        <f t="shared" si="74"/>
        <v>141</v>
      </c>
      <c r="F165" s="380">
        <f t="shared" si="72"/>
        <v>0</v>
      </c>
      <c r="G165" s="381">
        <f>454.8346+58.312333+0+0.1302-429.7326</f>
        <v>83.544532999999944</v>
      </c>
      <c r="H165" s="393"/>
      <c r="I165" s="321">
        <f>5+22+27.155+19+0.3</f>
        <v>73.454999999999998</v>
      </c>
      <c r="J165" s="385">
        <f t="shared" si="75"/>
        <v>73.454999999999998</v>
      </c>
      <c r="K165" s="383">
        <f t="shared" si="76"/>
        <v>156.99953299999993</v>
      </c>
      <c r="L165" s="384">
        <f t="shared" si="77"/>
        <v>-3.1656044912065084E-6</v>
      </c>
      <c r="O165" s="381"/>
    </row>
    <row r="166" spans="1:15" ht="15">
      <c r="A166" s="326">
        <v>44531</v>
      </c>
      <c r="B166" s="332">
        <f>6.5177*100</f>
        <v>651.77</v>
      </c>
      <c r="C166" s="378">
        <f>376.4405-240.4405</f>
        <v>136</v>
      </c>
      <c r="D166" s="378">
        <f t="shared" si="78"/>
        <v>5</v>
      </c>
      <c r="E166" s="379">
        <f t="shared" si="74"/>
        <v>141</v>
      </c>
      <c r="F166" s="380">
        <f t="shared" si="72"/>
        <v>0</v>
      </c>
      <c r="G166" s="381">
        <f>418.9772+58.312333+0+0.1302-393.8752</f>
        <v>83.544533000000001</v>
      </c>
      <c r="H166" s="393"/>
      <c r="I166" s="321">
        <f>5+22+27.155+19+0.3</f>
        <v>73.454999999999998</v>
      </c>
      <c r="J166" s="385">
        <f t="shared" si="75"/>
        <v>73.454999999999998</v>
      </c>
      <c r="K166" s="383">
        <f t="shared" si="76"/>
        <v>156.99953299999999</v>
      </c>
      <c r="L166" s="384">
        <f t="shared" si="77"/>
        <v>0</v>
      </c>
    </row>
    <row r="167" spans="1:15" ht="15">
      <c r="A167" s="326">
        <v>44546</v>
      </c>
      <c r="B167" s="332">
        <f>6.4482*100</f>
        <v>644.81999999999994</v>
      </c>
      <c r="C167" s="378">
        <f>349.3345-213.3345</f>
        <v>136</v>
      </c>
      <c r="D167" s="378">
        <f t="shared" si="78"/>
        <v>5</v>
      </c>
      <c r="E167" s="379">
        <f t="shared" ref="E167:E228" si="79">C167+D167</f>
        <v>141</v>
      </c>
      <c r="F167" s="380">
        <f t="shared" ref="F167:F228" si="80">E167/E166-1</f>
        <v>0</v>
      </c>
      <c r="G167" s="381">
        <f>375.47465+58.312333+0+0.1302-350.37268</f>
        <v>83.54450300000002</v>
      </c>
      <c r="H167" s="393"/>
      <c r="I167" s="321">
        <f>5+22+27.155+19+0.3</f>
        <v>73.454999999999998</v>
      </c>
      <c r="J167" s="385">
        <f t="shared" ref="J167:J228" si="81">H167+I167</f>
        <v>73.454999999999998</v>
      </c>
      <c r="K167" s="383">
        <f t="shared" ref="K167:K228" si="82">G167+J167</f>
        <v>156.999503</v>
      </c>
      <c r="L167" s="384">
        <f>K167/K166-1</f>
        <v>-1.9108337079298821E-7</v>
      </c>
    </row>
    <row r="168" spans="1:15" ht="15">
      <c r="A168" s="326">
        <v>44562</v>
      </c>
      <c r="B168" s="332">
        <f>6.71*100</f>
        <v>671</v>
      </c>
      <c r="C168" s="378">
        <f>365.4523-229.4523</f>
        <v>135.99999999999997</v>
      </c>
      <c r="D168" s="378">
        <f t="shared" si="78"/>
        <v>5</v>
      </c>
      <c r="E168" s="379">
        <f t="shared" si="79"/>
        <v>140.99999999999997</v>
      </c>
      <c r="F168" s="380">
        <f t="shared" si="72"/>
        <v>0</v>
      </c>
      <c r="G168" s="381">
        <f>401.6306+58.312333+0+0.1302-376.5287</f>
        <v>83.544433000000026</v>
      </c>
      <c r="H168" s="393"/>
      <c r="I168" s="321">
        <f t="shared" ref="I168:I173" si="83">5+22+27.1555+19+0.3</f>
        <v>73.455500000000001</v>
      </c>
      <c r="J168" s="385">
        <f t="shared" si="81"/>
        <v>73.455500000000001</v>
      </c>
      <c r="K168" s="383">
        <f t="shared" si="82"/>
        <v>156.99993300000003</v>
      </c>
      <c r="L168" s="384">
        <f t="shared" si="77"/>
        <v>2.7388621735013885E-6</v>
      </c>
    </row>
    <row r="169" spans="1:15" ht="15">
      <c r="A169" s="326">
        <v>44577</v>
      </c>
      <c r="B169" s="332">
        <f>6.7333*100</f>
        <v>673.32999999999993</v>
      </c>
      <c r="C169" s="378">
        <f>389.2025-253.2025</f>
        <v>136</v>
      </c>
      <c r="D169" s="378">
        <f t="shared" si="78"/>
        <v>5</v>
      </c>
      <c r="E169" s="379">
        <f t="shared" si="79"/>
        <v>141</v>
      </c>
      <c r="F169" s="380">
        <f t="shared" si="80"/>
        <v>0</v>
      </c>
      <c r="G169" s="381">
        <f>435.9477+58.312333+0+0.1302-410.8457</f>
        <v>83.544533000000001</v>
      </c>
      <c r="H169" s="393"/>
      <c r="I169" s="321">
        <f t="shared" si="83"/>
        <v>73.455500000000001</v>
      </c>
      <c r="J169" s="385">
        <f t="shared" si="81"/>
        <v>73.455500000000001</v>
      </c>
      <c r="K169" s="383">
        <f t="shared" si="82"/>
        <v>157.000033</v>
      </c>
      <c r="L169" s="384">
        <f>K169/K168-1</f>
        <v>6.369429468300325E-7</v>
      </c>
    </row>
    <row r="170" spans="1:15" ht="15">
      <c r="A170" s="326">
        <v>44593</v>
      </c>
      <c r="B170" s="332">
        <f>6.8099*100</f>
        <v>680.99</v>
      </c>
      <c r="C170" s="378">
        <f>418.8209-275.7709</f>
        <v>143.05000000000001</v>
      </c>
      <c r="D170" s="378">
        <f t="shared" si="78"/>
        <v>5</v>
      </c>
      <c r="E170" s="379">
        <f t="shared" si="79"/>
        <v>148.05000000000001</v>
      </c>
      <c r="F170" s="380">
        <f t="shared" si="80"/>
        <v>5.0000000000000044E-2</v>
      </c>
      <c r="G170" s="381">
        <f>464.9155+58.312333+0+0.1302-439.8135</f>
        <v>83.544533000000001</v>
      </c>
      <c r="H170" s="393"/>
      <c r="I170" s="321">
        <f t="shared" si="83"/>
        <v>73.455500000000001</v>
      </c>
      <c r="J170" s="385">
        <f t="shared" si="81"/>
        <v>73.455500000000001</v>
      </c>
      <c r="K170" s="383">
        <f t="shared" si="82"/>
        <v>157.000033</v>
      </c>
      <c r="L170" s="384">
        <f t="shared" si="77"/>
        <v>0</v>
      </c>
    </row>
    <row r="171" spans="1:15" ht="15">
      <c r="A171" s="326">
        <v>44608</v>
      </c>
      <c r="B171" s="332">
        <f>7.0314*100</f>
        <v>703.14</v>
      </c>
      <c r="C171" s="378">
        <f>460.5547-310.1022</f>
        <v>150.45250000000004</v>
      </c>
      <c r="D171" s="378">
        <f t="shared" ref="D171:D176" si="84">4+1</f>
        <v>5</v>
      </c>
      <c r="E171" s="379">
        <f t="shared" si="79"/>
        <v>155.45250000000004</v>
      </c>
      <c r="F171" s="380">
        <f t="shared" si="80"/>
        <v>5.0000000000000266E-2</v>
      </c>
      <c r="G171" s="381">
        <f>510.3255+58.3123+0.1302-485.2235</f>
        <v>83.544499999999914</v>
      </c>
      <c r="H171" s="393"/>
      <c r="I171" s="321">
        <f t="shared" si="83"/>
        <v>73.455500000000001</v>
      </c>
      <c r="J171" s="385">
        <f t="shared" si="81"/>
        <v>73.455500000000001</v>
      </c>
      <c r="K171" s="383">
        <f t="shared" si="82"/>
        <v>156.99999999999991</v>
      </c>
      <c r="L171" s="384">
        <f t="shared" si="77"/>
        <v>-2.1019103912944814E-7</v>
      </c>
    </row>
    <row r="172" spans="1:15" ht="15">
      <c r="A172" s="326">
        <v>44621</v>
      </c>
      <c r="B172" s="332">
        <f>7.3471*100</f>
        <v>734.71</v>
      </c>
      <c r="C172" s="378">
        <f>495.9532-337.7281</f>
        <v>158.2251</v>
      </c>
      <c r="D172" s="378">
        <f t="shared" si="84"/>
        <v>5</v>
      </c>
      <c r="E172" s="379">
        <f t="shared" si="79"/>
        <v>163.2251</v>
      </c>
      <c r="F172" s="380">
        <f t="shared" si="80"/>
        <v>4.999983917917028E-2</v>
      </c>
      <c r="G172" s="381">
        <f>552.1155+58.3123+0+0.1302-527.0135</f>
        <v>83.544499999999971</v>
      </c>
      <c r="H172" s="393"/>
      <c r="I172" s="321">
        <f t="shared" si="83"/>
        <v>73.455500000000001</v>
      </c>
      <c r="J172" s="385">
        <f t="shared" si="81"/>
        <v>73.455500000000001</v>
      </c>
      <c r="K172" s="383">
        <f t="shared" si="82"/>
        <v>156.99999999999997</v>
      </c>
      <c r="L172" s="384">
        <f t="shared" si="77"/>
        <v>0</v>
      </c>
    </row>
    <row r="173" spans="1:15" ht="15">
      <c r="A173" s="326">
        <v>44636</v>
      </c>
      <c r="B173" s="332">
        <f>8.6801*100</f>
        <v>868.01</v>
      </c>
      <c r="C173" s="378">
        <f>711.0686-544.6822</f>
        <v>166.38639999999998</v>
      </c>
      <c r="D173" s="378">
        <f t="shared" si="84"/>
        <v>5</v>
      </c>
      <c r="E173" s="379">
        <f t="shared" si="79"/>
        <v>171.38639999999998</v>
      </c>
      <c r="F173" s="380">
        <f t="shared" si="80"/>
        <v>5.0000275692892782E-2</v>
      </c>
      <c r="G173" s="381">
        <f>764.3222+58.3123+0+0.1302-739.2202</f>
        <v>83.544499999999971</v>
      </c>
      <c r="H173" s="393"/>
      <c r="I173" s="321">
        <f t="shared" si="83"/>
        <v>73.455500000000001</v>
      </c>
      <c r="J173" s="385">
        <f t="shared" si="81"/>
        <v>73.455500000000001</v>
      </c>
      <c r="K173" s="383">
        <f t="shared" si="82"/>
        <v>156.99999999999997</v>
      </c>
      <c r="L173" s="384">
        <f t="shared" si="77"/>
        <v>0</v>
      </c>
    </row>
    <row r="174" spans="1:15" ht="15">
      <c r="A174" s="326">
        <v>44652</v>
      </c>
      <c r="B174" s="332">
        <f>8.6256*100</f>
        <v>862.56000000000006</v>
      </c>
      <c r="C174" s="378">
        <f>661.9263-486.9706</f>
        <v>174.95569999999998</v>
      </c>
      <c r="D174" s="378">
        <f t="shared" si="84"/>
        <v>5</v>
      </c>
      <c r="E174" s="379">
        <f t="shared" si="79"/>
        <v>179.95569999999998</v>
      </c>
      <c r="F174" s="380">
        <f t="shared" si="80"/>
        <v>4.9999883304626236E-2</v>
      </c>
      <c r="G174" s="381">
        <f>738.0564+58.3123+0+0.1302-711.9544</f>
        <v>84.544500000000085</v>
      </c>
      <c r="H174" s="393"/>
      <c r="I174" s="321">
        <f>4+22+27.1555+19+0.3</f>
        <v>72.455500000000001</v>
      </c>
      <c r="J174" s="385">
        <f t="shared" si="81"/>
        <v>72.455500000000001</v>
      </c>
      <c r="K174" s="383">
        <f t="shared" si="82"/>
        <v>157.00000000000009</v>
      </c>
      <c r="L174" s="384">
        <f t="shared" si="77"/>
        <v>0</v>
      </c>
    </row>
    <row r="175" spans="1:15" ht="15">
      <c r="A175" s="326">
        <v>44667</v>
      </c>
      <c r="B175" s="332">
        <f>8.2543*100</f>
        <v>825.43000000000006</v>
      </c>
      <c r="C175" s="378">
        <f>602.6726-418.7191</f>
        <v>183.95349999999996</v>
      </c>
      <c r="D175" s="378">
        <f t="shared" si="84"/>
        <v>5</v>
      </c>
      <c r="E175" s="379">
        <f t="shared" si="79"/>
        <v>188.95349999999996</v>
      </c>
      <c r="F175" s="380">
        <f t="shared" si="80"/>
        <v>5.0000083353847646E-2</v>
      </c>
      <c r="G175" s="381">
        <f>699.5372+58.3123+0+0.1302-673.4353</f>
        <v>84.544399999999996</v>
      </c>
      <c r="H175" s="393"/>
      <c r="I175" s="321">
        <f>4+22+27.15555+19+0.3</f>
        <v>72.455550000000002</v>
      </c>
      <c r="J175" s="385">
        <f t="shared" si="81"/>
        <v>72.455550000000002</v>
      </c>
      <c r="K175" s="383">
        <f t="shared" si="82"/>
        <v>156.99995000000001</v>
      </c>
      <c r="L175" s="384">
        <f t="shared" si="77"/>
        <v>-3.1847133807882955E-7</v>
      </c>
    </row>
    <row r="176" spans="1:15" ht="15">
      <c r="A176" s="326">
        <v>44682</v>
      </c>
      <c r="B176" s="332">
        <f>8.2578*100</f>
        <v>825.78</v>
      </c>
      <c r="C176" s="378">
        <f>590.1676-396.7665</f>
        <v>193.40109999999999</v>
      </c>
      <c r="D176" s="378">
        <f t="shared" si="84"/>
        <v>5</v>
      </c>
      <c r="E176" s="379">
        <f t="shared" si="79"/>
        <v>198.40109999999999</v>
      </c>
      <c r="F176" s="380">
        <f t="shared" si="80"/>
        <v>4.9999603076947619E-2</v>
      </c>
      <c r="G176" s="381">
        <f>704.9095+58.3123+0+0.1302-678.8075</f>
        <v>84.544499999999971</v>
      </c>
      <c r="H176" s="393"/>
      <c r="I176" s="321">
        <f>4+22+27.1555+19+0.3</f>
        <v>72.455500000000001</v>
      </c>
      <c r="J176" s="385">
        <f t="shared" si="81"/>
        <v>72.455500000000001</v>
      </c>
      <c r="K176" s="383">
        <f t="shared" si="82"/>
        <v>156.99999999999997</v>
      </c>
      <c r="L176" s="384">
        <f t="shared" si="77"/>
        <v>3.1847143877605788E-7</v>
      </c>
    </row>
    <row r="177" spans="1:12" ht="15">
      <c r="A177" s="326">
        <v>44697</v>
      </c>
      <c r="B177" s="332">
        <f>8.2736*100</f>
        <v>827.36</v>
      </c>
      <c r="C177" s="378">
        <f>589.6343-386.313</f>
        <v>203.32130000000006</v>
      </c>
      <c r="D177" s="378">
        <f t="shared" ref="D177:D182" si="85">4+1</f>
        <v>5</v>
      </c>
      <c r="E177" s="379">
        <f t="shared" si="79"/>
        <v>208.32130000000006</v>
      </c>
      <c r="F177" s="380">
        <f t="shared" si="80"/>
        <v>5.0000730842722607E-2</v>
      </c>
      <c r="G177" s="381">
        <f>755.0365+58.3123+0+0.1302-728.9345</f>
        <v>84.544500000000085</v>
      </c>
      <c r="H177" s="393"/>
      <c r="I177" s="321">
        <f>4+22+27.1555+19+0.3</f>
        <v>72.455500000000001</v>
      </c>
      <c r="J177" s="385">
        <f t="shared" si="81"/>
        <v>72.455500000000001</v>
      </c>
      <c r="K177" s="383">
        <f t="shared" si="82"/>
        <v>157.00000000000009</v>
      </c>
      <c r="L177" s="384">
        <f t="shared" si="77"/>
        <v>0</v>
      </c>
    </row>
    <row r="178" spans="1:12" ht="15">
      <c r="A178" s="326">
        <v>44713</v>
      </c>
      <c r="B178" s="332">
        <f>8.5033*100</f>
        <v>850.32999999999993</v>
      </c>
      <c r="C178" s="378">
        <f>620.1043-406.367</f>
        <v>213.73729999999995</v>
      </c>
      <c r="D178" s="378">
        <f t="shared" si="85"/>
        <v>5</v>
      </c>
      <c r="E178" s="379">
        <f t="shared" si="79"/>
        <v>218.73729999999995</v>
      </c>
      <c r="F178" s="380">
        <f t="shared" si="80"/>
        <v>4.9999687981977292E-2</v>
      </c>
      <c r="G178" s="381">
        <f>854.0546+58.3123+0+0.1302-827.9526</f>
        <v>84.544500000000085</v>
      </c>
      <c r="H178" s="393"/>
      <c r="I178" s="321">
        <f>4+22+27.1555+19+72.3</f>
        <v>144.4555</v>
      </c>
      <c r="J178" s="385">
        <f t="shared" si="81"/>
        <v>144.4555</v>
      </c>
      <c r="K178" s="383">
        <f t="shared" si="82"/>
        <v>229.00000000000009</v>
      </c>
      <c r="L178" s="384">
        <f t="shared" si="77"/>
        <v>0.45859872611464936</v>
      </c>
    </row>
    <row r="179" spans="1:12" ht="15">
      <c r="A179" s="326">
        <v>44728</v>
      </c>
      <c r="B179" s="332">
        <f>8.5813*100</f>
        <v>858.13000000000011</v>
      </c>
      <c r="C179" s="378">
        <f>654.0148-429.3407</f>
        <v>224.67410000000001</v>
      </c>
      <c r="D179" s="378">
        <f t="shared" si="85"/>
        <v>5</v>
      </c>
      <c r="E179" s="379">
        <f t="shared" si="79"/>
        <v>229.67410000000001</v>
      </c>
      <c r="F179" s="380">
        <f t="shared" si="80"/>
        <v>4.9999702839890858E-2</v>
      </c>
      <c r="G179" s="381">
        <f>979.1622+58.3123+0+0.1302-953.0602</f>
        <v>84.544500000000085</v>
      </c>
      <c r="H179" s="393"/>
      <c r="I179" s="321">
        <f>4+22+27.155+19+72.3</f>
        <v>144.45499999999998</v>
      </c>
      <c r="J179" s="385">
        <f t="shared" si="81"/>
        <v>144.45499999999998</v>
      </c>
      <c r="K179" s="383">
        <f t="shared" si="82"/>
        <v>228.99950000000007</v>
      </c>
      <c r="L179" s="384">
        <f t="shared" si="77"/>
        <v>-2.1834061135761473E-6</v>
      </c>
    </row>
    <row r="180" spans="1:12" ht="15">
      <c r="A180" s="326">
        <v>44743</v>
      </c>
      <c r="B180" s="332">
        <f>8.6826*100</f>
        <v>868.2600000000001</v>
      </c>
      <c r="C180" s="378">
        <f>638.7805-402.6226</f>
        <v>236.15789999999998</v>
      </c>
      <c r="D180" s="378">
        <f t="shared" si="85"/>
        <v>5</v>
      </c>
      <c r="E180" s="379">
        <f t="shared" si="79"/>
        <v>241.15789999999998</v>
      </c>
      <c r="F180" s="380">
        <f t="shared" si="80"/>
        <v>5.0000413629573304E-2</v>
      </c>
      <c r="G180" s="381">
        <f>918.0846+67.3399+0.1302-901.0102</f>
        <v>84.544499999999971</v>
      </c>
      <c r="H180" s="393"/>
      <c r="I180" s="321">
        <f>4+22+27.1555+19+72.3</f>
        <v>144.4555</v>
      </c>
      <c r="J180" s="385">
        <f t="shared" si="81"/>
        <v>144.4555</v>
      </c>
      <c r="K180" s="383">
        <f t="shared" si="82"/>
        <v>228.99999999999997</v>
      </c>
      <c r="L180" s="384">
        <f t="shared" si="77"/>
        <v>2.1834108803187036E-6</v>
      </c>
    </row>
    <row r="181" spans="1:12" ht="15">
      <c r="A181" s="326">
        <v>44758</v>
      </c>
      <c r="B181" s="332">
        <f>8.7557*100</f>
        <v>875.56999999999994</v>
      </c>
      <c r="C181" s="378">
        <f>601.8861-353.6703</f>
        <v>248.21580000000006</v>
      </c>
      <c r="D181" s="378">
        <f t="shared" si="85"/>
        <v>5</v>
      </c>
      <c r="E181" s="379">
        <f t="shared" si="79"/>
        <v>253.21580000000006</v>
      </c>
      <c r="F181" s="380">
        <f t="shared" si="80"/>
        <v>5.0000020733304007E-2</v>
      </c>
      <c r="G181" s="381">
        <f>899.5343+67.3399+0+0.1302-882.4599</f>
        <v>84.544499999999971</v>
      </c>
      <c r="H181" s="393"/>
      <c r="I181" s="321">
        <f>4+22+27.1555+19+72.3</f>
        <v>144.4555</v>
      </c>
      <c r="J181" s="385">
        <f t="shared" si="81"/>
        <v>144.4555</v>
      </c>
      <c r="K181" s="383">
        <f t="shared" si="82"/>
        <v>228.99999999999997</v>
      </c>
      <c r="L181" s="384">
        <f t="shared" si="77"/>
        <v>0</v>
      </c>
    </row>
    <row r="182" spans="1:12" ht="15">
      <c r="A182" s="326">
        <v>44774</v>
      </c>
      <c r="B182" s="332">
        <f>9.2675*100</f>
        <v>926.75</v>
      </c>
      <c r="C182" s="378">
        <f>607.0131-244.8052</f>
        <v>362.2079</v>
      </c>
      <c r="D182" s="378">
        <f t="shared" si="85"/>
        <v>5</v>
      </c>
      <c r="E182" s="379">
        <f t="shared" si="79"/>
        <v>367.2079</v>
      </c>
      <c r="F182" s="380">
        <f t="shared" si="80"/>
        <v>0.45017767453689661</v>
      </c>
      <c r="G182" s="381">
        <f>819.4534+89.1+0+0.1302-824.1391</f>
        <v>84.544499999999971</v>
      </c>
      <c r="H182" s="393"/>
      <c r="I182" s="321">
        <f>4+22+27.155+19+72.3</f>
        <v>144.45499999999998</v>
      </c>
      <c r="J182" s="385">
        <f t="shared" si="81"/>
        <v>144.45499999999998</v>
      </c>
      <c r="K182" s="383">
        <f t="shared" si="82"/>
        <v>228.99949999999995</v>
      </c>
      <c r="L182" s="384">
        <f t="shared" si="77"/>
        <v>-2.1834061135761473E-6</v>
      </c>
    </row>
    <row r="183" spans="1:12" ht="15">
      <c r="A183" s="326">
        <v>44789</v>
      </c>
      <c r="B183" s="332">
        <f>9.7949*100</f>
        <v>979.49</v>
      </c>
      <c r="C183" s="378">
        <f>666.473-268.5892</f>
        <v>397.88379999999995</v>
      </c>
      <c r="D183" s="378">
        <f>4+1</f>
        <v>5</v>
      </c>
      <c r="E183" s="379">
        <f t="shared" si="79"/>
        <v>402.88379999999995</v>
      </c>
      <c r="F183" s="380">
        <f t="shared" si="80"/>
        <v>9.7154500216362294E-2</v>
      </c>
      <c r="G183" s="381">
        <f>802.2788+89.1+0+0.1302-813.9645</f>
        <v>77.544499999999971</v>
      </c>
      <c r="H183" s="393"/>
      <c r="I183" s="321">
        <f>4+29+27.1555+19+72.3</f>
        <v>151.4555</v>
      </c>
      <c r="J183" s="385">
        <f t="shared" si="81"/>
        <v>151.4555</v>
      </c>
      <c r="K183" s="383">
        <f t="shared" si="82"/>
        <v>228.99999999999997</v>
      </c>
      <c r="L183" s="384">
        <f t="shared" si="77"/>
        <v>2.1834108809848374E-6</v>
      </c>
    </row>
    <row r="184" spans="1:12" ht="15">
      <c r="A184" s="326">
        <v>44805</v>
      </c>
      <c r="B184" s="332">
        <f>10.7308*100</f>
        <v>1073.08</v>
      </c>
      <c r="C184" s="378">
        <f>718.6881-289.4752</f>
        <v>429.21289999999999</v>
      </c>
      <c r="D184" s="378">
        <f>4+1</f>
        <v>5</v>
      </c>
      <c r="E184" s="379">
        <f t="shared" si="79"/>
        <v>434.21289999999999</v>
      </c>
      <c r="F184" s="380">
        <f t="shared" si="80"/>
        <v>7.7762123967258123E-2</v>
      </c>
      <c r="G184" s="381">
        <f>832.9502+89.1+0+0.1302-844.6359</f>
        <v>77.544499999999971</v>
      </c>
      <c r="H184" s="393"/>
      <c r="I184" s="321">
        <f>4+29+27.1555+19+72.3</f>
        <v>151.4555</v>
      </c>
      <c r="J184" s="385">
        <f t="shared" si="81"/>
        <v>151.4555</v>
      </c>
      <c r="K184" s="383">
        <f t="shared" si="82"/>
        <v>228.99999999999997</v>
      </c>
      <c r="L184" s="384">
        <f t="shared" si="77"/>
        <v>0</v>
      </c>
    </row>
    <row r="185" spans="1:12" ht="15">
      <c r="A185" s="326">
        <v>44820</v>
      </c>
      <c r="B185" s="332">
        <f>(10.9103*100)</f>
        <v>1091.03</v>
      </c>
      <c r="C185" s="378">
        <f>(903.5321-363.4121)</f>
        <v>540.12</v>
      </c>
      <c r="D185" s="378">
        <f>(4+1)</f>
        <v>5</v>
      </c>
      <c r="E185" s="379">
        <f t="shared" si="79"/>
        <v>545.12</v>
      </c>
      <c r="F185" s="380">
        <f t="shared" si="80"/>
        <v>0.25542101581965904</v>
      </c>
      <c r="G185" s="381">
        <f>763.8519+122.6711+0+0.1302-809.1088</f>
        <v>77.544399999999996</v>
      </c>
      <c r="H185" s="393"/>
      <c r="I185" s="321">
        <f>4+29+27.1555+19+72.3</f>
        <v>151.4555</v>
      </c>
      <c r="J185" s="385">
        <f t="shared" si="81"/>
        <v>151.4555</v>
      </c>
      <c r="K185" s="383">
        <f t="shared" si="82"/>
        <v>228.9999</v>
      </c>
      <c r="L185" s="384">
        <f t="shared" si="77"/>
        <v>-4.3668122262641162E-7</v>
      </c>
    </row>
    <row r="186" spans="1:12" ht="15">
      <c r="A186" s="326">
        <v>44835</v>
      </c>
      <c r="B186" s="332">
        <f>11.3746*100</f>
        <v>1137.4599999999998</v>
      </c>
      <c r="C186" s="378">
        <f>915.8051-368.322</f>
        <v>547.48310000000004</v>
      </c>
      <c r="D186" s="378">
        <f>4+1</f>
        <v>5</v>
      </c>
      <c r="E186" s="379">
        <f t="shared" si="79"/>
        <v>552.48310000000004</v>
      </c>
      <c r="F186" s="380">
        <f t="shared" si="80"/>
        <v>1.3507301144702222E-2</v>
      </c>
      <c r="G186" s="381">
        <f>785.2021+122.6711+0+0.1302-830.4589</f>
        <v>77.544499999999971</v>
      </c>
      <c r="H186" s="393"/>
      <c r="I186" s="321">
        <f>4+29+27.1555+19+72.3</f>
        <v>151.4555</v>
      </c>
      <c r="J186" s="385">
        <f t="shared" si="81"/>
        <v>151.4555</v>
      </c>
      <c r="K186" s="383">
        <f t="shared" si="82"/>
        <v>228.99999999999997</v>
      </c>
      <c r="L186" s="384">
        <f t="shared" si="77"/>
        <v>4.3668141325170495E-7</v>
      </c>
    </row>
    <row r="187" spans="1:12" ht="15">
      <c r="A187" s="326">
        <v>44850</v>
      </c>
      <c r="B187" s="332">
        <f>(11.966*100)</f>
        <v>1196.5999999999999</v>
      </c>
      <c r="C187" s="378">
        <f>(968.0394-389.9894)</f>
        <v>578.04999999999995</v>
      </c>
      <c r="D187" s="378">
        <f>(4+1)</f>
        <v>5</v>
      </c>
      <c r="E187" s="379">
        <f t="shared" si="79"/>
        <v>583.04999999999995</v>
      </c>
      <c r="F187" s="380">
        <f t="shared" si="80"/>
        <v>5.532639821923957E-2</v>
      </c>
      <c r="G187" s="381">
        <f>(940.5001+122.6711+0+0.1302-985.7569)</f>
        <v>77.544500000000085</v>
      </c>
      <c r="H187" s="393"/>
      <c r="I187" s="321">
        <f>(4+29+27.1555+19+72.3)</f>
        <v>151.4555</v>
      </c>
      <c r="J187" s="385">
        <f t="shared" si="81"/>
        <v>151.4555</v>
      </c>
      <c r="K187" s="383">
        <f t="shared" si="82"/>
        <v>229.00000000000009</v>
      </c>
      <c r="L187" s="384">
        <f t="shared" si="77"/>
        <v>0</v>
      </c>
    </row>
    <row r="188" spans="1:12" ht="15">
      <c r="A188" s="326">
        <v>44866</v>
      </c>
      <c r="B188" s="332">
        <f>15.6985*100</f>
        <v>1569.85</v>
      </c>
      <c r="C188" s="378">
        <f>1238.775</f>
        <v>1238.7750000000001</v>
      </c>
      <c r="D188" s="378">
        <f>4+1</f>
        <v>5</v>
      </c>
      <c r="E188" s="379">
        <f t="shared" si="79"/>
        <v>1243.7750000000001</v>
      </c>
      <c r="F188" s="380">
        <f t="shared" si="80"/>
        <v>1.1332218506131553</v>
      </c>
      <c r="G188" s="381">
        <f>(1232.3557+122.6711+0+0.1302)-1277.6125</f>
        <v>77.544500000000198</v>
      </c>
      <c r="H188" s="393"/>
      <c r="I188" s="321">
        <f>4+29+27.1555+19+72.3</f>
        <v>151.4555</v>
      </c>
      <c r="J188" s="385">
        <f t="shared" si="81"/>
        <v>151.4555</v>
      </c>
      <c r="K188" s="383">
        <f t="shared" si="82"/>
        <v>229.0000000000002</v>
      </c>
      <c r="L188" s="384">
        <f t="shared" si="77"/>
        <v>0</v>
      </c>
    </row>
    <row r="189" spans="1:12" ht="15">
      <c r="A189" s="326">
        <v>44881</v>
      </c>
      <c r="B189" s="332">
        <f>(16.0705*100)</f>
        <v>1607.05</v>
      </c>
      <c r="C189" s="378">
        <f>1283.9044</f>
        <v>1283.9043999999999</v>
      </c>
      <c r="D189" s="378">
        <f t="shared" ref="D189:D194" si="86">(4+1)</f>
        <v>5</v>
      </c>
      <c r="E189" s="379">
        <f t="shared" si="79"/>
        <v>1288.9043999999999</v>
      </c>
      <c r="F189" s="380">
        <f t="shared" si="80"/>
        <v>3.628421539265525E-2</v>
      </c>
      <c r="G189" s="381">
        <f>(1268.1895+122.6711+0+0.1302-1313.4463)</f>
        <v>77.544499999999971</v>
      </c>
      <c r="H189" s="393"/>
      <c r="I189" s="321">
        <f>(4+29+27.1555+19+72.3)</f>
        <v>151.4555</v>
      </c>
      <c r="J189" s="385">
        <f t="shared" si="81"/>
        <v>151.4555</v>
      </c>
      <c r="K189" s="383">
        <f t="shared" si="82"/>
        <v>228.99999999999997</v>
      </c>
      <c r="L189" s="384">
        <f t="shared" si="77"/>
        <v>-9.9920072216264089E-16</v>
      </c>
    </row>
    <row r="190" spans="1:12" ht="15">
      <c r="A190" s="326">
        <v>44896</v>
      </c>
      <c r="B190" s="332">
        <f>(15.897*100)</f>
        <v>1589.7</v>
      </c>
      <c r="C190" s="378">
        <v>1165.0231000000001</v>
      </c>
      <c r="D190" s="378">
        <f t="shared" si="86"/>
        <v>5</v>
      </c>
      <c r="E190" s="379">
        <f t="shared" si="79"/>
        <v>1170.0231000000001</v>
      </c>
      <c r="F190" s="380">
        <f t="shared" si="80"/>
        <v>-9.2234381386237629E-2</v>
      </c>
      <c r="G190" s="381">
        <f>(1103.3114+122.6711+0+0.1302-1159.5682)</f>
        <v>66.544500000000198</v>
      </c>
      <c r="H190" s="393"/>
      <c r="I190" s="321">
        <f>4+40+27.1555+19+72.3</f>
        <v>162.4555</v>
      </c>
      <c r="J190" s="385">
        <f t="shared" si="81"/>
        <v>162.4555</v>
      </c>
      <c r="K190" s="383">
        <f t="shared" si="82"/>
        <v>229.0000000000002</v>
      </c>
      <c r="L190" s="384">
        <f t="shared" si="77"/>
        <v>0</v>
      </c>
    </row>
    <row r="191" spans="1:12" ht="15">
      <c r="A191" s="326">
        <v>44911</v>
      </c>
      <c r="B191" s="332">
        <f>(13.8247*100)</f>
        <v>1382.47</v>
      </c>
      <c r="C191" s="378">
        <v>976.84280000000001</v>
      </c>
      <c r="D191" s="378">
        <f t="shared" si="86"/>
        <v>5</v>
      </c>
      <c r="E191" s="379">
        <f t="shared" si="79"/>
        <v>981.84280000000001</v>
      </c>
      <c r="F191" s="380">
        <f t="shared" si="80"/>
        <v>-0.16083468779377097</v>
      </c>
      <c r="G191" s="381">
        <f>(883.6573+122.6711+0+0.1302-939.9142)</f>
        <v>66.544399999999882</v>
      </c>
      <c r="H191" s="393"/>
      <c r="I191" s="321">
        <f t="shared" ref="I191:I196" si="87">(4+40+27.1555+19+72.3)</f>
        <v>162.4555</v>
      </c>
      <c r="J191" s="385">
        <f t="shared" si="81"/>
        <v>162.4555</v>
      </c>
      <c r="K191" s="383">
        <f t="shared" si="82"/>
        <v>228.99989999999988</v>
      </c>
      <c r="L191" s="384">
        <f t="shared" si="77"/>
        <v>-4.3668122406970156E-7</v>
      </c>
    </row>
    <row r="192" spans="1:12" ht="15">
      <c r="A192" s="326">
        <v>44927</v>
      </c>
      <c r="B192" s="332">
        <f>(13.9736*100)</f>
        <v>1397.36</v>
      </c>
      <c r="C192" s="378">
        <v>978.9538</v>
      </c>
      <c r="D192" s="378">
        <f t="shared" si="86"/>
        <v>5</v>
      </c>
      <c r="E192" s="379">
        <f t="shared" si="79"/>
        <v>983.9538</v>
      </c>
      <c r="F192" s="380">
        <f t="shared" si="80"/>
        <v>2.1500386823634088E-3</v>
      </c>
      <c r="G192" s="381">
        <f>(846.5957+122.6711+0+0.1302-565.9263)</f>
        <v>403.47069999999997</v>
      </c>
      <c r="H192" s="393"/>
      <c r="I192" s="321">
        <f t="shared" si="87"/>
        <v>162.4555</v>
      </c>
      <c r="J192" s="385">
        <f t="shared" si="81"/>
        <v>162.4555</v>
      </c>
      <c r="K192" s="383">
        <f t="shared" si="82"/>
        <v>565.92619999999999</v>
      </c>
      <c r="L192" s="384">
        <f t="shared" si="77"/>
        <v>1.4712945289495774</v>
      </c>
    </row>
    <row r="193" spans="1:12" ht="15">
      <c r="A193" s="326">
        <v>44942</v>
      </c>
      <c r="B193" s="332">
        <f>13.5993*100</f>
        <v>1359.9299999999998</v>
      </c>
      <c r="C193" s="378">
        <v>942.99080000000004</v>
      </c>
      <c r="D193" s="378">
        <f t="shared" si="86"/>
        <v>5</v>
      </c>
      <c r="E193" s="379">
        <f t="shared" si="79"/>
        <v>947.99080000000004</v>
      </c>
      <c r="F193" s="380">
        <f t="shared" si="80"/>
        <v>-3.6549480270313461E-2</v>
      </c>
      <c r="G193" s="381">
        <f>(885.8241+122.6711+0+0.1302-585.5404)</f>
        <v>423.08500000000004</v>
      </c>
      <c r="H193" s="393"/>
      <c r="I193" s="321">
        <f t="shared" si="87"/>
        <v>162.4555</v>
      </c>
      <c r="J193" s="385">
        <f t="shared" si="81"/>
        <v>162.4555</v>
      </c>
      <c r="K193" s="383">
        <f t="shared" si="82"/>
        <v>585.54050000000007</v>
      </c>
      <c r="L193" s="384">
        <f t="shared" si="77"/>
        <v>3.465875939300922E-2</v>
      </c>
    </row>
    <row r="194" spans="1:12" ht="15">
      <c r="A194" s="326">
        <v>44958</v>
      </c>
      <c r="B194" s="332">
        <f>(13.6332*100)</f>
        <v>1363.32</v>
      </c>
      <c r="C194" s="378">
        <v>946.40009999999995</v>
      </c>
      <c r="D194" s="378">
        <f t="shared" si="86"/>
        <v>5</v>
      </c>
      <c r="E194" s="379">
        <f t="shared" si="79"/>
        <v>951.40009999999995</v>
      </c>
      <c r="F194" s="380">
        <f t="shared" si="80"/>
        <v>3.5963429180958517E-3</v>
      </c>
      <c r="G194" s="381">
        <f>(996.7525+122.6711+0+0.1302-641.0047)</f>
        <v>478.54910000000018</v>
      </c>
      <c r="H194" s="393"/>
      <c r="I194" s="321">
        <f t="shared" si="87"/>
        <v>162.4555</v>
      </c>
      <c r="J194" s="385">
        <f t="shared" si="81"/>
        <v>162.4555</v>
      </c>
      <c r="K194" s="383">
        <f t="shared" si="82"/>
        <v>641.00460000000021</v>
      </c>
      <c r="L194" s="384">
        <f t="shared" si="77"/>
        <v>9.4722909858498516E-2</v>
      </c>
    </row>
    <row r="195" spans="1:12" ht="15">
      <c r="A195" s="326">
        <v>44973</v>
      </c>
      <c r="B195" s="332">
        <f>(13.5315*100)</f>
        <v>1353.1499999999999</v>
      </c>
      <c r="C195" s="378">
        <v>956.41179999999997</v>
      </c>
      <c r="D195" s="378">
        <f>(4+1)</f>
        <v>5</v>
      </c>
      <c r="E195" s="379">
        <f t="shared" si="79"/>
        <v>961.41179999999997</v>
      </c>
      <c r="F195" s="380">
        <f t="shared" si="80"/>
        <v>1.0523122711465049E-2</v>
      </c>
      <c r="G195" s="381">
        <f>(978.2789+122.6711+0+0.1302-631.7679)</f>
        <v>469.31230000000005</v>
      </c>
      <c r="H195" s="393"/>
      <c r="I195" s="321">
        <f t="shared" si="87"/>
        <v>162.4555</v>
      </c>
      <c r="J195" s="385">
        <f t="shared" si="81"/>
        <v>162.4555</v>
      </c>
      <c r="K195" s="383">
        <f t="shared" si="82"/>
        <v>631.76780000000008</v>
      </c>
      <c r="L195" s="384">
        <f t="shared" si="77"/>
        <v>-1.4409880989933788E-2</v>
      </c>
    </row>
    <row r="196" spans="1:12" ht="15">
      <c r="A196" s="326">
        <v>44986</v>
      </c>
      <c r="B196" s="332">
        <f>(14.0264*100)</f>
        <v>1402.64</v>
      </c>
      <c r="C196" s="378">
        <v>983.84820000000002</v>
      </c>
      <c r="D196" s="378">
        <f>(4+1)</f>
        <v>5</v>
      </c>
      <c r="E196" s="379">
        <f t="shared" si="79"/>
        <v>988.84820000000002</v>
      </c>
      <c r="F196" s="380">
        <f t="shared" si="80"/>
        <v>2.8537615202975486E-2</v>
      </c>
      <c r="G196" s="381">
        <f>(805.3131+72.1595+0.1302-520.0291)</f>
        <v>357.57369999999992</v>
      </c>
      <c r="H196" s="393"/>
      <c r="I196" s="321">
        <f t="shared" si="87"/>
        <v>162.4555</v>
      </c>
      <c r="J196" s="385">
        <f t="shared" si="81"/>
        <v>162.4555</v>
      </c>
      <c r="K196" s="383">
        <f t="shared" si="82"/>
        <v>520.02919999999995</v>
      </c>
      <c r="L196" s="384">
        <f t="shared" si="77"/>
        <v>-0.17686656394960321</v>
      </c>
    </row>
    <row r="197" spans="1:12" ht="15">
      <c r="A197" s="326">
        <v>45001</v>
      </c>
      <c r="B197" s="332">
        <f>(13.5659*100)</f>
        <v>1356.59</v>
      </c>
      <c r="C197" s="378">
        <v>946.60699999999997</v>
      </c>
      <c r="D197" s="378">
        <f>(4+1)</f>
        <v>5</v>
      </c>
      <c r="E197" s="379">
        <f t="shared" si="79"/>
        <v>951.60699999999997</v>
      </c>
      <c r="F197" s="380">
        <f t="shared" si="80"/>
        <v>-3.7661190059303351E-2</v>
      </c>
      <c r="G197" s="381">
        <f>(764.5654+72.1595+0.1302-499.6553)</f>
        <v>337.19979999999987</v>
      </c>
      <c r="H197" s="393"/>
      <c r="I197" s="321">
        <f>(4+40+27.1555+19+72.3)</f>
        <v>162.4555</v>
      </c>
      <c r="J197" s="385">
        <f t="shared" si="81"/>
        <v>162.4555</v>
      </c>
      <c r="K197" s="383">
        <f t="shared" si="82"/>
        <v>499.6552999999999</v>
      </c>
      <c r="L197" s="384">
        <f t="shared" si="77"/>
        <v>-3.9178376906527701E-2</v>
      </c>
    </row>
    <row r="198" spans="1:12" ht="15">
      <c r="A198" s="326">
        <v>45017</v>
      </c>
      <c r="B198" s="332">
        <f>(12.9669*100)</f>
        <v>1296.69</v>
      </c>
      <c r="C198" s="378">
        <v>834.74599999999998</v>
      </c>
      <c r="D198" s="378">
        <f>(4+1)</f>
        <v>5</v>
      </c>
      <c r="E198" s="379">
        <f t="shared" si="79"/>
        <v>839.74599999999998</v>
      </c>
      <c r="F198" s="380">
        <f t="shared" si="80"/>
        <v>-0.11754957666347554</v>
      </c>
      <c r="G198" s="381">
        <f>(689.1576+72.1595+0.1302-461.8578)</f>
        <v>299.58949999999993</v>
      </c>
      <c r="H198" s="393"/>
      <c r="I198" s="321">
        <f>(4+40+27.1555+19+72.3)</f>
        <v>162.4555</v>
      </c>
      <c r="J198" s="385">
        <f t="shared" si="81"/>
        <v>162.4555</v>
      </c>
      <c r="K198" s="383">
        <f t="shared" si="82"/>
        <v>462.04499999999996</v>
      </c>
      <c r="L198" s="384">
        <f t="shared" si="77"/>
        <v>-7.5272492856575224E-2</v>
      </c>
    </row>
    <row r="199" spans="1:12" ht="15">
      <c r="A199" s="326">
        <v>45032</v>
      </c>
      <c r="B199" s="332">
        <f>12.8596*100</f>
        <v>1285.96</v>
      </c>
      <c r="C199" s="378">
        <v>883.68650000000002</v>
      </c>
      <c r="D199" s="378">
        <f>4+1</f>
        <v>5</v>
      </c>
      <c r="E199" s="379">
        <f t="shared" si="79"/>
        <v>888.68650000000002</v>
      </c>
      <c r="F199" s="380">
        <f t="shared" si="80"/>
        <v>5.8280122799036826E-2</v>
      </c>
      <c r="G199" s="381">
        <f>(776.2672+72.1595+0.1302-503.6924)</f>
        <v>344.86449999999991</v>
      </c>
      <c r="H199" s="393"/>
      <c r="I199" s="321">
        <f>(4+40+27.1555+19+72.3)</f>
        <v>162.4555</v>
      </c>
      <c r="J199" s="385">
        <f t="shared" si="81"/>
        <v>162.4555</v>
      </c>
      <c r="K199" s="383">
        <f t="shared" si="82"/>
        <v>507.31999999999994</v>
      </c>
      <c r="L199" s="384">
        <f t="shared" si="77"/>
        <v>9.7988291183759069E-2</v>
      </c>
    </row>
    <row r="200" spans="1:12" ht="15">
      <c r="A200" s="326">
        <v>45047</v>
      </c>
      <c r="B200" s="332">
        <f>13.0549*100</f>
        <v>1305.49</v>
      </c>
      <c r="C200" s="378">
        <v>929.45420000000001</v>
      </c>
      <c r="D200" s="378">
        <f>1+4</f>
        <v>5</v>
      </c>
      <c r="E200" s="379">
        <f t="shared" si="79"/>
        <v>934.45420000000001</v>
      </c>
      <c r="F200" s="380">
        <f t="shared" si="80"/>
        <v>5.1500388494705396E-2</v>
      </c>
      <c r="G200" s="381">
        <f>764.3498+72.1595+0.1302-537.045</f>
        <v>299.59449999999993</v>
      </c>
      <c r="H200" s="393"/>
      <c r="I200" s="321">
        <f>(4+40+27.155+19+72.3)</f>
        <v>162.45499999999998</v>
      </c>
      <c r="J200" s="385">
        <f t="shared" si="81"/>
        <v>162.45499999999998</v>
      </c>
      <c r="K200" s="383">
        <f t="shared" si="82"/>
        <v>462.04949999999991</v>
      </c>
      <c r="L200" s="384">
        <f t="shared" si="77"/>
        <v>-8.9234605377276788E-2</v>
      </c>
    </row>
    <row r="201" spans="1:12" ht="15">
      <c r="A201" s="326">
        <v>45062</v>
      </c>
      <c r="B201" s="332">
        <f>12.5927*100</f>
        <v>1259.27</v>
      </c>
      <c r="C201" s="378">
        <v>857.37</v>
      </c>
      <c r="D201" s="378">
        <f>4+1</f>
        <v>5</v>
      </c>
      <c r="E201" s="379">
        <f t="shared" si="79"/>
        <v>862.37</v>
      </c>
      <c r="F201" s="380">
        <f t="shared" si="80"/>
        <v>-7.7140431280634192E-2</v>
      </c>
      <c r="G201" s="381">
        <f>685.35+72.16+0.1302-491.005</f>
        <v>266.63519999999994</v>
      </c>
      <c r="H201" s="393"/>
      <c r="I201" s="321">
        <f>(9+68+27.1555+19+72.3)</f>
        <v>195.4555</v>
      </c>
      <c r="J201" s="385">
        <f t="shared" si="81"/>
        <v>195.4555</v>
      </c>
      <c r="K201" s="383">
        <f t="shared" si="82"/>
        <v>462.09069999999997</v>
      </c>
      <c r="L201" s="384">
        <f t="shared" si="77"/>
        <v>8.9167935470202409E-5</v>
      </c>
    </row>
    <row r="202" spans="1:12" ht="15">
      <c r="A202" s="326">
        <v>45078</v>
      </c>
      <c r="B202" s="332">
        <f>12.511*100</f>
        <v>1251.0999999999999</v>
      </c>
      <c r="C202" s="378">
        <v>848.8039</v>
      </c>
      <c r="D202" s="378">
        <f>4+1</f>
        <v>5</v>
      </c>
      <c r="E202" s="379">
        <f t="shared" si="79"/>
        <v>853.8039</v>
      </c>
      <c r="F202" s="380">
        <f t="shared" si="80"/>
        <v>-9.933207324002491E-3</v>
      </c>
      <c r="G202" s="381">
        <f>704.5696+72.1592+0.1302-510.2643</f>
        <v>266.59470000000005</v>
      </c>
      <c r="H202" s="393"/>
      <c r="I202" s="321">
        <f>9+68+27.15+19+72.3</f>
        <v>195.45</v>
      </c>
      <c r="J202" s="385">
        <f t="shared" si="81"/>
        <v>195.45</v>
      </c>
      <c r="K202" s="383">
        <f t="shared" si="82"/>
        <v>462.04470000000003</v>
      </c>
      <c r="L202" s="384">
        <f t="shared" si="77"/>
        <v>-9.9547556356216482E-5</v>
      </c>
    </row>
    <row r="203" spans="1:12" ht="15">
      <c r="A203" s="326">
        <v>45093</v>
      </c>
      <c r="B203" s="332">
        <f>100*12.4554</f>
        <v>1245.54</v>
      </c>
      <c r="C203" s="378">
        <v>842.28959999999995</v>
      </c>
      <c r="D203" s="378">
        <f>4+1</f>
        <v>5</v>
      </c>
      <c r="E203" s="379">
        <f t="shared" si="79"/>
        <v>847.28959999999995</v>
      </c>
      <c r="F203" s="380">
        <f t="shared" si="80"/>
        <v>-7.6297379292833423E-3</v>
      </c>
      <c r="G203" s="381">
        <v>266.59449999999998</v>
      </c>
      <c r="H203" s="393"/>
      <c r="I203" s="321">
        <f>9+68+27.15+19+72.3</f>
        <v>195.45</v>
      </c>
      <c r="J203" s="385">
        <f t="shared" si="81"/>
        <v>195.45</v>
      </c>
      <c r="K203" s="383">
        <f t="shared" si="82"/>
        <v>462.04449999999997</v>
      </c>
      <c r="L203" s="384">
        <f t="shared" si="77"/>
        <v>-4.3285855255703609E-7</v>
      </c>
    </row>
    <row r="204" spans="1:12" ht="15">
      <c r="A204" s="326">
        <v>45108</v>
      </c>
      <c r="B204" s="332">
        <f>12.444*100</f>
        <v>1244.4000000000001</v>
      </c>
      <c r="C204" s="378">
        <v>851.02530000000002</v>
      </c>
      <c r="D204" s="378">
        <f>4+1</f>
        <v>5</v>
      </c>
      <c r="E204" s="379">
        <f t="shared" si="79"/>
        <v>856.02530000000002</v>
      </c>
      <c r="F204" s="380">
        <f t="shared" si="80"/>
        <v>1.0310170218069459E-2</v>
      </c>
      <c r="G204" s="381">
        <f>692.8257+72.1595+0.1302-481.0671</f>
        <v>284.04829999999993</v>
      </c>
      <c r="H204" s="393"/>
      <c r="I204" s="321">
        <f>9+68+27.155+19+72.3</f>
        <v>195.45499999999998</v>
      </c>
      <c r="J204" s="385">
        <f t="shared" si="81"/>
        <v>195.45499999999998</v>
      </c>
      <c r="K204" s="383">
        <f t="shared" si="82"/>
        <v>479.50329999999991</v>
      </c>
      <c r="L204" s="384">
        <f t="shared" si="77"/>
        <v>3.7785970831813787E-2</v>
      </c>
    </row>
    <row r="205" spans="1:12" ht="15">
      <c r="A205" s="326">
        <v>45123</v>
      </c>
      <c r="B205" s="332">
        <f>12.3963*100</f>
        <v>1239.6300000000001</v>
      </c>
      <c r="C205" s="378">
        <v>714.71950000000004</v>
      </c>
      <c r="D205" s="378">
        <f>4+1</f>
        <v>5</v>
      </c>
      <c r="E205" s="379">
        <f t="shared" si="79"/>
        <v>719.71950000000004</v>
      </c>
      <c r="F205" s="380">
        <f t="shared" si="80"/>
        <v>-0.15923104141898603</v>
      </c>
      <c r="G205" s="381">
        <f>692.1891+72.1595+0.1302-480.4305</f>
        <v>284.04829999999998</v>
      </c>
      <c r="H205" s="393"/>
      <c r="I205" s="321">
        <f>9+68+27.155+19+72.3</f>
        <v>195.45499999999998</v>
      </c>
      <c r="J205" s="385">
        <f t="shared" si="81"/>
        <v>195.45499999999998</v>
      </c>
      <c r="K205" s="383">
        <f t="shared" si="82"/>
        <v>479.50329999999997</v>
      </c>
      <c r="L205" s="384">
        <f t="shared" si="77"/>
        <v>0</v>
      </c>
    </row>
    <row r="206" spans="1:12" ht="15">
      <c r="A206" s="326">
        <v>45139</v>
      </c>
      <c r="B206" s="332">
        <f>(12.3149*100)</f>
        <v>1231.49</v>
      </c>
      <c r="C206" s="378">
        <v>739.4547</v>
      </c>
      <c r="D206" s="378">
        <f>(4+1)</f>
        <v>5</v>
      </c>
      <c r="E206" s="379">
        <f t="shared" si="79"/>
        <v>744.4547</v>
      </c>
      <c r="F206" s="380">
        <f t="shared" si="80"/>
        <v>3.4367833579609819E-2</v>
      </c>
      <c r="G206" s="381">
        <f>(742.2306+72.1595+0.1302-530.472)</f>
        <v>284.04829999999993</v>
      </c>
      <c r="H206" s="393"/>
      <c r="I206" s="321">
        <f>(9+68+27.1555+19+72.3)</f>
        <v>195.4555</v>
      </c>
      <c r="J206" s="385">
        <f t="shared" si="81"/>
        <v>195.4555</v>
      </c>
      <c r="K206" s="383">
        <f t="shared" si="82"/>
        <v>479.50379999999996</v>
      </c>
      <c r="L206" s="384">
        <f t="shared" si="77"/>
        <v>1.042745691126612E-6</v>
      </c>
    </row>
    <row r="207" spans="1:12" ht="15">
      <c r="A207" s="326">
        <v>45154</v>
      </c>
      <c r="B207" s="332">
        <f>(12.004)*100</f>
        <v>1200.3999999999999</v>
      </c>
      <c r="C207" s="378">
        <v>784.59190000000001</v>
      </c>
      <c r="D207" s="378">
        <f t="shared" ref="D207:D212" si="88">4+1</f>
        <v>5</v>
      </c>
      <c r="E207" s="379">
        <f t="shared" si="79"/>
        <v>789.59190000000001</v>
      </c>
      <c r="F207" s="380">
        <f t="shared" si="80"/>
        <v>6.0631224438505216E-2</v>
      </c>
      <c r="G207" s="381">
        <f>(770.2292+72.1595+0.1302-558.4711)</f>
        <v>284.04779999999994</v>
      </c>
      <c r="H207" s="393"/>
      <c r="I207" s="321">
        <f>(9+68+27.1555+19+72.3)</f>
        <v>195.4555</v>
      </c>
      <c r="J207" s="385">
        <f t="shared" si="81"/>
        <v>195.4555</v>
      </c>
      <c r="K207" s="383">
        <f t="shared" si="82"/>
        <v>479.50329999999997</v>
      </c>
      <c r="L207" s="384">
        <f t="shared" si="77"/>
        <v>-1.042744603885204E-6</v>
      </c>
    </row>
    <row r="208" spans="1:12" ht="15">
      <c r="A208" s="326">
        <v>45170</v>
      </c>
      <c r="B208" s="332">
        <f>(12.2637*100)</f>
        <v>1226.3699999999999</v>
      </c>
      <c r="C208" s="378">
        <v>803.91139999999996</v>
      </c>
      <c r="D208" s="378">
        <f t="shared" si="88"/>
        <v>5</v>
      </c>
      <c r="E208" s="379">
        <f t="shared" si="79"/>
        <v>808.91139999999996</v>
      </c>
      <c r="F208" s="380">
        <f t="shared" si="80"/>
        <v>2.4467702872838393E-2</v>
      </c>
      <c r="G208" s="381">
        <f>(802.2945+72.6118+1.5594-590.5611)</f>
        <v>285.90459999999996</v>
      </c>
      <c r="H208" s="393"/>
      <c r="I208" s="321">
        <f>9+68+27.1555+19+72.3</f>
        <v>195.4555</v>
      </c>
      <c r="J208" s="385">
        <f t="shared" si="81"/>
        <v>195.4555</v>
      </c>
      <c r="K208" s="383">
        <f t="shared" si="82"/>
        <v>481.36009999999999</v>
      </c>
      <c r="L208" s="384">
        <f t="shared" si="77"/>
        <v>3.8723403989087135E-3</v>
      </c>
    </row>
    <row r="209" spans="1:12" ht="15">
      <c r="A209" s="326">
        <v>45185</v>
      </c>
      <c r="B209" s="332">
        <f>12.302*100</f>
        <v>1230.2</v>
      </c>
      <c r="C209" s="378">
        <v>812.39580000000001</v>
      </c>
      <c r="D209" s="378">
        <f t="shared" si="88"/>
        <v>5</v>
      </c>
      <c r="E209" s="379">
        <f t="shared" si="79"/>
        <v>817.39580000000001</v>
      </c>
      <c r="F209" s="380">
        <f t="shared" si="80"/>
        <v>1.0488664147890736E-2</v>
      </c>
      <c r="G209" s="381">
        <f>(790.954+72.6132+1.5594-579.2219)</f>
        <v>285.90469999999993</v>
      </c>
      <c r="H209" s="393"/>
      <c r="I209" s="321">
        <f>9+68+27.155+19+72.3</f>
        <v>195.45499999999998</v>
      </c>
      <c r="J209" s="385">
        <f t="shared" si="81"/>
        <v>195.45499999999998</v>
      </c>
      <c r="K209" s="383">
        <f t="shared" si="82"/>
        <v>481.35969999999992</v>
      </c>
      <c r="L209" s="384">
        <f t="shared" si="77"/>
        <v>-8.3097872061177469E-7</v>
      </c>
    </row>
    <row r="210" spans="1:12" ht="15">
      <c r="A210" s="326">
        <v>45200</v>
      </c>
      <c r="B210" s="332">
        <f>12.3048*100</f>
        <v>1230.48</v>
      </c>
      <c r="C210" s="378">
        <v>839.42600000000004</v>
      </c>
      <c r="D210" s="378">
        <f t="shared" si="88"/>
        <v>5</v>
      </c>
      <c r="E210" s="379">
        <f t="shared" si="79"/>
        <v>844.42600000000004</v>
      </c>
      <c r="F210" s="380">
        <f t="shared" si="80"/>
        <v>3.3068679824388658E-2</v>
      </c>
      <c r="G210" s="381">
        <f>(795.41+72.6133+1.5594-532.5181)</f>
        <v>337.06459999999993</v>
      </c>
      <c r="H210" s="393"/>
      <c r="I210" s="321">
        <f>9+68+27.155+19+72.3</f>
        <v>195.45499999999998</v>
      </c>
      <c r="J210" s="385">
        <f t="shared" si="81"/>
        <v>195.45499999999998</v>
      </c>
      <c r="K210" s="383">
        <f t="shared" si="82"/>
        <v>532.51959999999985</v>
      </c>
      <c r="L210" s="384">
        <f t="shared" si="77"/>
        <v>0.10628205892599629</v>
      </c>
    </row>
    <row r="211" spans="1:12" ht="15">
      <c r="A211" s="326">
        <v>45215</v>
      </c>
      <c r="B211" s="332">
        <f>12.0935*100</f>
        <v>1209.3500000000001</v>
      </c>
      <c r="C211" s="378">
        <v>773.44759999999997</v>
      </c>
      <c r="D211" s="378">
        <f t="shared" si="88"/>
        <v>5</v>
      </c>
      <c r="E211" s="379">
        <f t="shared" si="79"/>
        <v>778.44759999999997</v>
      </c>
      <c r="F211" s="380">
        <f t="shared" si="80"/>
        <v>-7.8134022401015635E-2</v>
      </c>
      <c r="G211" s="381">
        <f>(694.4746+72.6055+1.5594-431.5769)</f>
        <v>337.06259999999997</v>
      </c>
      <c r="H211" s="393"/>
      <c r="I211" s="321">
        <f>9+68+27.155+19+72.3</f>
        <v>195.45499999999998</v>
      </c>
      <c r="J211" s="385">
        <f t="shared" si="81"/>
        <v>195.45499999999998</v>
      </c>
      <c r="K211" s="383">
        <f t="shared" si="82"/>
        <v>532.5175999999999</v>
      </c>
      <c r="L211" s="384">
        <f t="shared" si="77"/>
        <v>-3.7557303054214231E-6</v>
      </c>
    </row>
    <row r="212" spans="1:12" ht="15">
      <c r="A212" s="326">
        <v>45231</v>
      </c>
      <c r="B212" s="332">
        <f>12.7004*100</f>
        <v>1270.04</v>
      </c>
      <c r="C212" s="378">
        <v>822.39059999999995</v>
      </c>
      <c r="D212" s="378">
        <f t="shared" si="88"/>
        <v>5</v>
      </c>
      <c r="E212" s="379">
        <f t="shared" si="79"/>
        <v>827.39059999999995</v>
      </c>
      <c r="F212" s="380">
        <f t="shared" si="80"/>
        <v>6.2872568429782616E-2</v>
      </c>
      <c r="G212" s="381">
        <f>(729.2463+72.6279+1.5594-466.3691)</f>
        <v>337.06449999999995</v>
      </c>
      <c r="H212" s="393"/>
      <c r="I212" s="321">
        <f>9+68+27.155+19+72.3</f>
        <v>195.45499999999998</v>
      </c>
      <c r="J212" s="385">
        <f t="shared" si="81"/>
        <v>195.45499999999998</v>
      </c>
      <c r="K212" s="383">
        <f t="shared" si="82"/>
        <v>532.51949999999988</v>
      </c>
      <c r="L212" s="384">
        <f t="shared" si="77"/>
        <v>3.567957190586668E-6</v>
      </c>
    </row>
    <row r="213" spans="1:12" ht="15">
      <c r="A213" s="326">
        <v>45246</v>
      </c>
      <c r="B213" s="332">
        <f>12.7761*100</f>
        <v>1277.6099999999999</v>
      </c>
      <c r="C213" s="378">
        <f>792.6427</f>
        <v>792.64269999999999</v>
      </c>
      <c r="D213" s="378">
        <f t="shared" ref="D213:D218" si="89">4+1</f>
        <v>5</v>
      </c>
      <c r="E213" s="379">
        <f t="shared" si="79"/>
        <v>797.64269999999999</v>
      </c>
      <c r="F213" s="380">
        <f t="shared" si="80"/>
        <v>-3.5953877165150194E-2</v>
      </c>
      <c r="G213" s="381">
        <f>(722.3418+72.6307+1.5594-459.4674)</f>
        <v>337.06450000000007</v>
      </c>
      <c r="H213" s="393"/>
      <c r="I213" s="321">
        <f>9+68+27.1555+19+72.3</f>
        <v>195.4555</v>
      </c>
      <c r="J213" s="385">
        <f t="shared" si="81"/>
        <v>195.4555</v>
      </c>
      <c r="K213" s="383">
        <f t="shared" si="82"/>
        <v>532.5200000000001</v>
      </c>
      <c r="L213" s="384">
        <f t="shared" si="77"/>
        <v>9.3893275310286128E-7</v>
      </c>
    </row>
    <row r="214" spans="1:12" ht="15">
      <c r="A214" s="326">
        <v>45261</v>
      </c>
      <c r="B214" s="332">
        <f>12.8507*100</f>
        <v>1285.07</v>
      </c>
      <c r="C214" s="378">
        <v>770.53710000000001</v>
      </c>
      <c r="D214" s="378">
        <f t="shared" si="89"/>
        <v>5</v>
      </c>
      <c r="E214" s="379">
        <f t="shared" si="79"/>
        <v>775.53710000000001</v>
      </c>
      <c r="F214" s="380">
        <f t="shared" si="80"/>
        <v>-2.7713661768608899E-2</v>
      </c>
      <c r="G214" s="381">
        <f>(703.6678+72.6335+1.5594-440.7961)</f>
        <v>337.06460000000004</v>
      </c>
      <c r="H214" s="393"/>
      <c r="I214" s="321">
        <f>9+68+27.1555+19+72.3</f>
        <v>195.4555</v>
      </c>
      <c r="J214" s="385">
        <f t="shared" si="81"/>
        <v>195.4555</v>
      </c>
      <c r="K214" s="383">
        <f t="shared" si="82"/>
        <v>532.52010000000007</v>
      </c>
      <c r="L214" s="384">
        <f t="shared" si="77"/>
        <v>1.877863742283381E-7</v>
      </c>
    </row>
    <row r="215" spans="1:12" ht="15">
      <c r="A215" s="326">
        <v>45276</v>
      </c>
      <c r="B215" s="332">
        <f>12.8731*100</f>
        <v>1287.3100000000002</v>
      </c>
      <c r="C215" s="378">
        <v>745.14210000000003</v>
      </c>
      <c r="D215" s="378">
        <f t="shared" si="89"/>
        <v>5</v>
      </c>
      <c r="E215" s="379">
        <f t="shared" si="79"/>
        <v>750.14210000000003</v>
      </c>
      <c r="F215" s="380">
        <f t="shared" si="80"/>
        <v>-3.2745048560539503E-2</v>
      </c>
      <c r="G215" s="381">
        <f>(680.1297+72.6343+1.5594-417.2788)</f>
        <v>337.04459999999989</v>
      </c>
      <c r="H215" s="393"/>
      <c r="I215" s="321">
        <f>9+68+27.155+19+72.3</f>
        <v>195.45499999999998</v>
      </c>
      <c r="J215" s="385">
        <f t="shared" si="81"/>
        <v>195.45499999999998</v>
      </c>
      <c r="K215" s="383">
        <f t="shared" si="82"/>
        <v>532.49959999999987</v>
      </c>
      <c r="L215" s="384">
        <f t="shared" si="77"/>
        <v>-3.8496199486592886E-5</v>
      </c>
    </row>
    <row r="216" spans="1:12" ht="15">
      <c r="A216" s="326">
        <v>45292</v>
      </c>
      <c r="B216" s="332">
        <f>12.8205*100</f>
        <v>1282.05</v>
      </c>
      <c r="C216" s="378">
        <v>746.77779999999996</v>
      </c>
      <c r="D216" s="378">
        <f t="shared" si="89"/>
        <v>5</v>
      </c>
      <c r="E216" s="379">
        <f t="shared" si="79"/>
        <v>751.77779999999996</v>
      </c>
      <c r="F216" s="380">
        <f t="shared" si="80"/>
        <v>2.1805201974398614E-3</v>
      </c>
      <c r="G216" s="381">
        <f>(667.5385+72.6323+1.5594-404.6857)</f>
        <v>337.04449999999997</v>
      </c>
      <c r="H216" s="393"/>
      <c r="I216" s="321">
        <f>9+68+27.155+19+72.3</f>
        <v>195.45499999999998</v>
      </c>
      <c r="J216" s="385">
        <f t="shared" si="81"/>
        <v>195.45499999999998</v>
      </c>
      <c r="K216" s="383">
        <f t="shared" si="82"/>
        <v>532.4994999999999</v>
      </c>
      <c r="L216" s="384">
        <f t="shared" si="77"/>
        <v>-1.8779356825149307E-7</v>
      </c>
    </row>
    <row r="217" spans="1:12" ht="15">
      <c r="A217" s="326">
        <v>45307</v>
      </c>
      <c r="B217" s="332">
        <f>12.855*100</f>
        <v>1285.5</v>
      </c>
      <c r="C217" s="378">
        <v>757.12139999999999</v>
      </c>
      <c r="D217" s="378">
        <f t="shared" si="89"/>
        <v>5</v>
      </c>
      <c r="E217" s="379">
        <f t="shared" si="79"/>
        <v>762.12139999999999</v>
      </c>
      <c r="F217" s="380">
        <f t="shared" si="80"/>
        <v>1.375885268226873E-2</v>
      </c>
      <c r="G217" s="381">
        <f>(687.0636+72.6336+1.5594-424.2121)</f>
        <v>337.04449999999991</v>
      </c>
      <c r="H217" s="393"/>
      <c r="I217" s="321">
        <f>9+68+27.155+19+72.3</f>
        <v>195.45499999999998</v>
      </c>
      <c r="J217" s="385">
        <f t="shared" si="81"/>
        <v>195.45499999999998</v>
      </c>
      <c r="K217" s="383">
        <f t="shared" si="82"/>
        <v>532.4994999999999</v>
      </c>
      <c r="L217" s="384">
        <f t="shared" si="77"/>
        <v>0</v>
      </c>
    </row>
    <row r="218" spans="1:12" ht="15">
      <c r="A218" s="326">
        <v>45323</v>
      </c>
      <c r="B218" s="332">
        <f>12.6444*100</f>
        <v>1264.4399999999998</v>
      </c>
      <c r="C218" s="378">
        <v>750.3279</v>
      </c>
      <c r="D218" s="378">
        <f t="shared" si="89"/>
        <v>5</v>
      </c>
      <c r="E218" s="379">
        <f t="shared" si="79"/>
        <v>755.3279</v>
      </c>
      <c r="F218" s="380">
        <f t="shared" si="80"/>
        <v>-8.9139341842389141E-3</v>
      </c>
      <c r="G218" s="381">
        <f>(720.5704+72.6258+1.5594-457.7112)</f>
        <v>337.04439999999994</v>
      </c>
      <c r="H218" s="393"/>
      <c r="I218" s="321">
        <f>9+68+27.155+19+72.3</f>
        <v>195.45499999999998</v>
      </c>
      <c r="J218" s="385">
        <f t="shared" si="81"/>
        <v>195.45499999999998</v>
      </c>
      <c r="K218" s="383">
        <f t="shared" si="82"/>
        <v>532.49939999999992</v>
      </c>
      <c r="L218" s="384">
        <f t="shared" si="77"/>
        <v>-1.8779360355658525E-7</v>
      </c>
    </row>
    <row r="219" spans="1:12" ht="15">
      <c r="A219" s="326">
        <v>45338</v>
      </c>
      <c r="B219" s="332">
        <f>12.797*100</f>
        <v>1279.7</v>
      </c>
      <c r="C219" s="378">
        <f>741.256</f>
        <v>741.25599999999997</v>
      </c>
      <c r="D219" s="378">
        <f t="shared" ref="D219:D224" si="90">4+1</f>
        <v>5</v>
      </c>
      <c r="E219" s="379">
        <f t="shared" si="79"/>
        <v>746.25599999999997</v>
      </c>
      <c r="F219" s="380">
        <f t="shared" si="80"/>
        <v>-1.2010545353878799E-2</v>
      </c>
      <c r="G219" s="381">
        <f>(739.07+72.63+1.5594-476.2197)</f>
        <v>337.03970000000004</v>
      </c>
      <c r="H219" s="393"/>
      <c r="I219" s="321">
        <f>9+68+27.155+19+72.3</f>
        <v>195.45499999999998</v>
      </c>
      <c r="J219" s="385">
        <f t="shared" si="81"/>
        <v>195.45499999999998</v>
      </c>
      <c r="K219" s="383">
        <f t="shared" si="82"/>
        <v>532.49469999999997</v>
      </c>
      <c r="L219" s="384">
        <f t="shared" si="77"/>
        <v>-8.826301024833505E-6</v>
      </c>
    </row>
    <row r="220" spans="1:12" ht="15">
      <c r="A220" s="326">
        <v>45352</v>
      </c>
      <c r="B220" s="332">
        <f>12.9598*100</f>
        <v>1295.98</v>
      </c>
      <c r="C220" s="378">
        <v>779.37689999999998</v>
      </c>
      <c r="D220" s="378">
        <f t="shared" si="90"/>
        <v>5</v>
      </c>
      <c r="E220" s="379">
        <f t="shared" si="79"/>
        <v>784.37689999999998</v>
      </c>
      <c r="F220" s="380">
        <f t="shared" si="80"/>
        <v>5.1082872365515231E-2</v>
      </c>
      <c r="G220" s="381">
        <f>(768.5536+74.9992+1.5594-505.0677)</f>
        <v>340.04449999999991</v>
      </c>
      <c r="H220" s="393"/>
      <c r="I220" s="321">
        <f>9+68+27.1555+19+72.3</f>
        <v>195.4555</v>
      </c>
      <c r="J220" s="385">
        <f t="shared" si="81"/>
        <v>195.4555</v>
      </c>
      <c r="K220" s="383">
        <f t="shared" si="82"/>
        <v>535.49999999999989</v>
      </c>
      <c r="L220" s="384">
        <f t="shared" si="77"/>
        <v>5.6438120416970605E-3</v>
      </c>
    </row>
    <row r="221" spans="1:12" ht="15">
      <c r="A221" s="326">
        <v>45367</v>
      </c>
      <c r="B221" s="332">
        <f>13.2189*100</f>
        <v>1321.8899999999999</v>
      </c>
      <c r="C221" s="378">
        <v>812.1336</v>
      </c>
      <c r="D221" s="378">
        <f t="shared" si="90"/>
        <v>5</v>
      </c>
      <c r="E221" s="379">
        <f t="shared" si="79"/>
        <v>817.1336</v>
      </c>
      <c r="F221" s="380">
        <f t="shared" si="80"/>
        <v>4.176142872132016E-2</v>
      </c>
      <c r="G221" s="381">
        <f>(785.0724+75.0087+1.5594-521.596)</f>
        <v>340.04449999999997</v>
      </c>
      <c r="H221" s="393"/>
      <c r="I221" s="321">
        <f>9+68+27.1555+19+72.3</f>
        <v>195.4555</v>
      </c>
      <c r="J221" s="385">
        <f t="shared" si="81"/>
        <v>195.4555</v>
      </c>
      <c r="K221" s="383">
        <f t="shared" si="82"/>
        <v>535.5</v>
      </c>
      <c r="L221" s="384">
        <f t="shared" si="77"/>
        <v>0</v>
      </c>
    </row>
    <row r="222" spans="1:12" ht="15">
      <c r="A222" s="326">
        <v>45383</v>
      </c>
      <c r="B222" s="332">
        <f>13.6241*100</f>
        <v>1362.41</v>
      </c>
      <c r="C222" s="378">
        <v>860.47339999999997</v>
      </c>
      <c r="D222" s="378">
        <f t="shared" si="90"/>
        <v>5</v>
      </c>
      <c r="E222" s="379">
        <f t="shared" si="79"/>
        <v>865.47339999999997</v>
      </c>
      <c r="F222" s="380">
        <f t="shared" si="80"/>
        <v>5.9157768081008921E-2</v>
      </c>
      <c r="G222" s="381">
        <f>(838.6851+75.0237+1.55594-555.3618)</f>
        <v>359.90293999999994</v>
      </c>
      <c r="H222" s="393"/>
      <c r="I222" s="321">
        <f>9+68+27.155+19+72.3</f>
        <v>195.45499999999998</v>
      </c>
      <c r="J222" s="385">
        <f t="shared" si="81"/>
        <v>195.45499999999998</v>
      </c>
      <c r="K222" s="383">
        <f t="shared" si="82"/>
        <v>555.35793999999987</v>
      </c>
      <c r="L222" s="384">
        <f t="shared" si="77"/>
        <v>3.7082987861811079E-2</v>
      </c>
    </row>
    <row r="223" spans="1:12" ht="15">
      <c r="A223" s="326">
        <v>45398</v>
      </c>
      <c r="B223" s="332">
        <f>13.7402*100</f>
        <v>1374.02</v>
      </c>
      <c r="C223" s="378">
        <v>875.68110000000001</v>
      </c>
      <c r="D223" s="378">
        <f t="shared" si="90"/>
        <v>5</v>
      </c>
      <c r="E223" s="379">
        <f t="shared" si="79"/>
        <v>880.68110000000001</v>
      </c>
      <c r="F223" s="380">
        <f t="shared" si="80"/>
        <v>1.7571539460369268E-2</v>
      </c>
      <c r="G223" s="381">
        <f>(897.0096+75.0476+1.55594-613.7103)</f>
        <v>359.90283999999997</v>
      </c>
      <c r="H223" s="393"/>
      <c r="I223" s="321">
        <f>9+68+27.155+19+72.3</f>
        <v>195.45499999999998</v>
      </c>
      <c r="J223" s="385">
        <f t="shared" si="81"/>
        <v>195.45499999999998</v>
      </c>
      <c r="K223" s="383">
        <f t="shared" si="82"/>
        <v>555.3578399999999</v>
      </c>
      <c r="L223" s="384">
        <f t="shared" si="77"/>
        <v>-1.8006405022585881E-7</v>
      </c>
    </row>
    <row r="224" spans="1:12" ht="15">
      <c r="A224" s="326">
        <v>45413</v>
      </c>
      <c r="B224" s="332">
        <f>13.9185*100</f>
        <v>1391.85</v>
      </c>
      <c r="C224" s="378">
        <v>1071.5681</v>
      </c>
      <c r="D224" s="378">
        <f t="shared" si="90"/>
        <v>5</v>
      </c>
      <c r="E224" s="379">
        <f t="shared" si="79"/>
        <v>1076.5681</v>
      </c>
      <c r="F224" s="380">
        <f t="shared" si="80"/>
        <v>0.22242671041765272</v>
      </c>
      <c r="G224" s="381">
        <f>(912.0948+75.0543+1.5594-628.8022)</f>
        <v>359.90629999999999</v>
      </c>
      <c r="H224" s="393"/>
      <c r="I224" s="321">
        <f>9+68+27.1555+19+72.3</f>
        <v>195.4555</v>
      </c>
      <c r="J224" s="385">
        <f t="shared" si="81"/>
        <v>195.4555</v>
      </c>
      <c r="K224" s="383">
        <f t="shared" si="82"/>
        <v>555.36180000000002</v>
      </c>
      <c r="L224" s="384">
        <f t="shared" si="77"/>
        <v>7.1305376729835501E-6</v>
      </c>
    </row>
    <row r="225" spans="1:12" ht="15">
      <c r="A225" s="326">
        <v>45428</v>
      </c>
      <c r="B225" s="332">
        <f>14.787*100</f>
        <v>1478.7</v>
      </c>
      <c r="C225" s="378">
        <v>1111.0196000000001</v>
      </c>
      <c r="D225" s="378">
        <f>4+1</f>
        <v>5</v>
      </c>
      <c r="E225" s="379">
        <f t="shared" si="79"/>
        <v>1116.0196000000001</v>
      </c>
      <c r="F225" s="380">
        <f t="shared" si="80"/>
        <v>3.6645614894218248E-2</v>
      </c>
      <c r="G225" s="381">
        <f>(907.9316+75.0786+1.5594-624.6633)</f>
        <v>359.90629999999987</v>
      </c>
      <c r="H225" s="393"/>
      <c r="I225" s="321">
        <f>9+68+27.1555+19+72.3</f>
        <v>195.4555</v>
      </c>
      <c r="J225" s="385">
        <f t="shared" si="81"/>
        <v>195.4555</v>
      </c>
      <c r="K225" s="383">
        <f t="shared" si="82"/>
        <v>555.3617999999999</v>
      </c>
      <c r="L225" s="384">
        <f t="shared" si="77"/>
        <v>0</v>
      </c>
    </row>
    <row r="226" spans="1:12" ht="15">
      <c r="A226" s="326">
        <v>45444</v>
      </c>
      <c r="B226" s="332">
        <f>15.2772*100</f>
        <v>1527.72</v>
      </c>
      <c r="C226" s="378">
        <v>1123.2696000000001</v>
      </c>
      <c r="D226" s="378">
        <f>4+1</f>
        <v>5</v>
      </c>
      <c r="E226" s="379">
        <f t="shared" si="79"/>
        <v>1128.2696000000001</v>
      </c>
      <c r="F226" s="380">
        <f t="shared" si="80"/>
        <v>1.0976509731549511E-2</v>
      </c>
      <c r="G226" s="381">
        <f>(902.3867+75.0953+1.5594-619.1351)</f>
        <v>359.90629999999999</v>
      </c>
      <c r="H226" s="393"/>
      <c r="I226" s="321">
        <f>9+68+27.155+19+72.3</f>
        <v>195.45499999999998</v>
      </c>
      <c r="J226" s="385">
        <f t="shared" si="81"/>
        <v>195.45499999999998</v>
      </c>
      <c r="K226" s="383">
        <f t="shared" si="82"/>
        <v>555.36130000000003</v>
      </c>
      <c r="L226" s="384">
        <f t="shared" si="77"/>
        <v>-9.0031399324619343E-7</v>
      </c>
    </row>
    <row r="227" spans="1:12" ht="15">
      <c r="A227" s="326">
        <v>45459</v>
      </c>
      <c r="B227" s="332">
        <f>15.4391*100</f>
        <v>1543.91</v>
      </c>
      <c r="C227" s="378">
        <v>1131.6116999999999</v>
      </c>
      <c r="D227" s="378">
        <f>4+1</f>
        <v>5</v>
      </c>
      <c r="E227" s="379">
        <f t="shared" si="79"/>
        <v>1136.6116999999999</v>
      </c>
      <c r="F227" s="380">
        <f t="shared" si="80"/>
        <v>7.3937115739002301E-3</v>
      </c>
      <c r="G227" s="381">
        <f>(887.2579+75.1127+1.5594-604.0237)</f>
        <v>359.90629999999999</v>
      </c>
      <c r="H227" s="393"/>
      <c r="I227" s="321">
        <f>9+68+27.155+19+72.3</f>
        <v>195.45499999999998</v>
      </c>
      <c r="J227" s="385">
        <f t="shared" si="81"/>
        <v>195.45499999999998</v>
      </c>
      <c r="K227" s="383">
        <f t="shared" si="82"/>
        <v>555.36130000000003</v>
      </c>
      <c r="L227" s="384">
        <f t="shared" si="77"/>
        <v>0</v>
      </c>
    </row>
    <row r="228" spans="1:12" ht="15">
      <c r="A228" s="326">
        <v>45474</v>
      </c>
      <c r="B228" s="332">
        <f>15.7329*100</f>
        <v>1573.29</v>
      </c>
      <c r="C228" s="378">
        <v>1184.7157999999999</v>
      </c>
      <c r="D228" s="378">
        <f>4+1</f>
        <v>5</v>
      </c>
      <c r="E228" s="379">
        <f t="shared" si="79"/>
        <v>1189.7157999999999</v>
      </c>
      <c r="F228" s="380">
        <f t="shared" si="80"/>
        <v>4.6721408903322104E-2</v>
      </c>
      <c r="G228" s="381">
        <f>(914.5736+75.1237+1.5594-593.3572)</f>
        <v>397.89949999999999</v>
      </c>
      <c r="H228" s="393"/>
      <c r="I228" s="321">
        <f>9+68+27.155+19+72.3</f>
        <v>195.45499999999998</v>
      </c>
      <c r="J228" s="385">
        <f t="shared" si="81"/>
        <v>195.45499999999998</v>
      </c>
      <c r="K228" s="383">
        <f t="shared" si="82"/>
        <v>593.35449999999992</v>
      </c>
      <c r="L228" s="384">
        <f t="shared" si="77"/>
        <v>6.8411680828318167E-2</v>
      </c>
    </row>
  </sheetData>
  <mergeCells count="2">
    <mergeCell ref="G5:L5"/>
    <mergeCell ref="C5:F5"/>
  </mergeCells>
  <pageMargins left="0.7" right="0.7" top="0.75" bottom="0.75" header="0.3" footer="0.3"/>
  <pageSetup scale="55" orientation="landscape" r:id="rId1"/>
  <ignoredErrors>
    <ignoredError sqref="I163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FD355"/>
  <sheetViews>
    <sheetView workbookViewId="0">
      <pane xSplit="2" ySplit="5" topLeftCell="C325" activePane="bottomRight" state="frozen"/>
      <selection pane="bottomRight" activeCell="J338" sqref="J338"/>
      <selection pane="bottomLeft" activeCell="A6" sqref="A6"/>
      <selection pane="topRight" activeCell="C1" sqref="C1"/>
    </sheetView>
  </sheetViews>
  <sheetFormatPr defaultColWidth="14" defaultRowHeight="14.25"/>
  <cols>
    <col min="1" max="1" width="14" style="268"/>
    <col min="2" max="2" width="16.85546875" style="268" bestFit="1" customWidth="1"/>
    <col min="3" max="3" width="14.28515625" style="268" customWidth="1"/>
    <col min="4" max="4" width="24.42578125" style="268" customWidth="1"/>
    <col min="5" max="5" width="11.140625" style="268" customWidth="1"/>
    <col min="6" max="6" width="16" style="268" customWidth="1"/>
    <col min="7" max="7" width="16.140625" style="268" customWidth="1"/>
    <col min="8" max="8" width="16.42578125" style="268" customWidth="1"/>
    <col min="9" max="9" width="16.140625" style="268" customWidth="1"/>
    <col min="10" max="10" width="14.28515625" style="268" bestFit="1" customWidth="1"/>
    <col min="11" max="11" width="18.85546875" style="268" customWidth="1"/>
    <col min="12" max="12" width="14" style="268" customWidth="1"/>
    <col min="13" max="14" width="14.28515625" style="268" bestFit="1" customWidth="1"/>
    <col min="15" max="15" width="16.42578125" style="268" bestFit="1" customWidth="1"/>
    <col min="16" max="17" width="14.28515625" style="268" bestFit="1" customWidth="1"/>
    <col min="18" max="18" width="14" style="268" customWidth="1"/>
    <col min="19" max="20" width="14.28515625" style="268" bestFit="1" customWidth="1"/>
    <col min="21" max="21" width="14.85546875" style="268" bestFit="1" customWidth="1"/>
    <col min="22" max="23" width="14.28515625" style="268" bestFit="1" customWidth="1"/>
    <col min="24" max="24" width="14" style="268" customWidth="1"/>
    <col min="25" max="26" width="14.28515625" style="268" bestFit="1" customWidth="1"/>
    <col min="27" max="27" width="14.85546875" style="268" bestFit="1" customWidth="1"/>
    <col min="28" max="30" width="14.28515625" style="268" bestFit="1" customWidth="1"/>
    <col min="31" max="31" width="16.42578125" style="268" bestFit="1" customWidth="1"/>
    <col min="32" max="36" width="14" style="268"/>
    <col min="37" max="37" width="16.42578125" style="268" bestFit="1" customWidth="1"/>
    <col min="38" max="40" width="14" style="268"/>
    <col min="41" max="41" width="15.7109375" style="268" bestFit="1" customWidth="1"/>
    <col min="42" max="42" width="14" style="268"/>
    <col min="43" max="43" width="16.42578125" style="268" bestFit="1" customWidth="1"/>
    <col min="44" max="16384" width="14" style="268"/>
  </cols>
  <sheetData>
    <row r="1" spans="1:17" ht="26.25">
      <c r="E1" s="269" t="s">
        <v>37</v>
      </c>
    </row>
    <row r="2" spans="1:17" ht="18.75" thickBot="1">
      <c r="F2" s="270" t="s">
        <v>38</v>
      </c>
    </row>
    <row r="3" spans="1:17" ht="21" thickBot="1">
      <c r="A3" s="271"/>
      <c r="B3" s="272"/>
      <c r="C3" s="433" t="s">
        <v>39</v>
      </c>
      <c r="D3" s="434"/>
      <c r="E3" s="434"/>
      <c r="F3" s="435"/>
      <c r="G3" s="436" t="s">
        <v>40</v>
      </c>
      <c r="H3" s="437"/>
      <c r="I3" s="437"/>
      <c r="J3" s="438"/>
      <c r="K3" s="440" t="s">
        <v>41</v>
      </c>
      <c r="L3" s="441"/>
      <c r="M3" s="442"/>
      <c r="O3" s="273"/>
      <c r="P3" s="273"/>
      <c r="Q3" s="273"/>
    </row>
    <row r="4" spans="1:17" ht="30">
      <c r="A4" s="431" t="s">
        <v>42</v>
      </c>
      <c r="B4" s="274" t="s">
        <v>43</v>
      </c>
      <c r="C4" s="275" t="s">
        <v>44</v>
      </c>
      <c r="D4" s="276" t="s">
        <v>45</v>
      </c>
      <c r="E4" s="276" t="s">
        <v>46</v>
      </c>
      <c r="F4" s="277" t="s">
        <v>47</v>
      </c>
      <c r="G4" s="278" t="s">
        <v>44</v>
      </c>
      <c r="H4" s="279" t="s">
        <v>45</v>
      </c>
      <c r="I4" s="279" t="s">
        <v>46</v>
      </c>
      <c r="J4" s="280" t="s">
        <v>47</v>
      </c>
      <c r="K4" s="281" t="s">
        <v>44</v>
      </c>
      <c r="L4" s="282" t="s">
        <v>46</v>
      </c>
      <c r="M4" s="283" t="s">
        <v>47</v>
      </c>
    </row>
    <row r="5" spans="1:17" ht="30.75" thickBot="1">
      <c r="A5" s="432"/>
      <c r="B5" s="284" t="s">
        <v>48</v>
      </c>
      <c r="C5" s="285" t="s">
        <v>49</v>
      </c>
      <c r="D5" s="286" t="s">
        <v>49</v>
      </c>
      <c r="E5" s="286" t="s">
        <v>49</v>
      </c>
      <c r="F5" s="287" t="s">
        <v>22</v>
      </c>
      <c r="G5" s="288" t="s">
        <v>49</v>
      </c>
      <c r="H5" s="289" t="s">
        <v>49</v>
      </c>
      <c r="I5" s="289" t="s">
        <v>49</v>
      </c>
      <c r="J5" s="290" t="s">
        <v>22</v>
      </c>
      <c r="K5" s="291" t="s">
        <v>49</v>
      </c>
      <c r="L5" s="292" t="s">
        <v>49</v>
      </c>
      <c r="M5" s="293" t="s">
        <v>22</v>
      </c>
    </row>
    <row r="6" spans="1:17" ht="15">
      <c r="A6" s="294">
        <v>40544</v>
      </c>
      <c r="B6" s="295">
        <f>1.4629*100</f>
        <v>146.29000000000002</v>
      </c>
      <c r="C6" s="296">
        <v>99.02000000000001</v>
      </c>
      <c r="D6" s="297">
        <v>2</v>
      </c>
      <c r="E6" s="298">
        <f t="shared" ref="E6:E69" si="0">C6+D6</f>
        <v>101.02000000000001</v>
      </c>
      <c r="F6" s="299"/>
      <c r="G6" s="300">
        <v>92.54</v>
      </c>
      <c r="H6" s="301">
        <v>2</v>
      </c>
      <c r="I6" s="302">
        <f>G6+H6</f>
        <v>94.54</v>
      </c>
      <c r="J6" s="303"/>
      <c r="K6" s="304">
        <v>92.54</v>
      </c>
      <c r="L6" s="305">
        <f>K6</f>
        <v>92.54</v>
      </c>
      <c r="M6" s="306"/>
    </row>
    <row r="7" spans="1:17" ht="15">
      <c r="A7" s="307">
        <v>40547</v>
      </c>
      <c r="B7" s="295">
        <f>1.4629*100</f>
        <v>146.29000000000002</v>
      </c>
      <c r="C7" s="296">
        <v>99.02000000000001</v>
      </c>
      <c r="D7" s="297">
        <v>2</v>
      </c>
      <c r="E7" s="298">
        <f t="shared" si="0"/>
        <v>101.02000000000001</v>
      </c>
      <c r="F7" s="308">
        <f>E7/E6-1</f>
        <v>0</v>
      </c>
      <c r="G7" s="300">
        <v>92.54</v>
      </c>
      <c r="H7" s="301">
        <v>2</v>
      </c>
      <c r="I7" s="302">
        <f t="shared" ref="I7:I70" si="1">G7+H7</f>
        <v>94.54</v>
      </c>
      <c r="J7" s="309">
        <f>I7/I6-1</f>
        <v>0</v>
      </c>
      <c r="K7" s="310">
        <v>92.54</v>
      </c>
      <c r="L7" s="311">
        <f>K7</f>
        <v>92.54</v>
      </c>
      <c r="M7" s="312">
        <f>L7/L6-1</f>
        <v>0</v>
      </c>
    </row>
    <row r="8" spans="1:17" ht="15">
      <c r="A8" s="307">
        <v>40559</v>
      </c>
      <c r="B8" s="295">
        <v>148.04</v>
      </c>
      <c r="C8" s="296">
        <v>100.45</v>
      </c>
      <c r="D8" s="297">
        <v>2</v>
      </c>
      <c r="E8" s="298">
        <f t="shared" si="0"/>
        <v>102.45</v>
      </c>
      <c r="F8" s="308">
        <f t="shared" ref="F8:F71" si="2">E8/E7-1</f>
        <v>1.4155612749950475E-2</v>
      </c>
      <c r="G8" s="300">
        <v>93.72</v>
      </c>
      <c r="H8" s="301">
        <v>2</v>
      </c>
      <c r="I8" s="302">
        <f t="shared" si="1"/>
        <v>95.72</v>
      </c>
      <c r="J8" s="309">
        <f t="shared" ref="J8:J71" si="3">I8/I7-1</f>
        <v>1.2481489316691352E-2</v>
      </c>
      <c r="K8" s="310">
        <v>93.72</v>
      </c>
      <c r="L8" s="311">
        <f t="shared" ref="L8:L71" si="4">K8</f>
        <v>93.72</v>
      </c>
      <c r="M8" s="312">
        <f t="shared" ref="M8:M71" si="5">L8/L7-1</f>
        <v>1.2751242705856924E-2</v>
      </c>
    </row>
    <row r="9" spans="1:17" ht="15">
      <c r="A9" s="307">
        <v>40575</v>
      </c>
      <c r="B9" s="295">
        <v>149.01</v>
      </c>
      <c r="C9" s="296">
        <v>103.92</v>
      </c>
      <c r="D9" s="297">
        <v>2</v>
      </c>
      <c r="E9" s="298">
        <f t="shared" si="0"/>
        <v>105.92</v>
      </c>
      <c r="F9" s="308">
        <f t="shared" si="2"/>
        <v>3.3870180575890751E-2</v>
      </c>
      <c r="G9" s="300">
        <v>96.61</v>
      </c>
      <c r="H9" s="301">
        <v>2</v>
      </c>
      <c r="I9" s="302">
        <f>G9+H9</f>
        <v>98.61</v>
      </c>
      <c r="J9" s="309">
        <f t="shared" si="3"/>
        <v>3.0192227329711718E-2</v>
      </c>
      <c r="K9" s="310">
        <v>96.61</v>
      </c>
      <c r="L9" s="311">
        <f t="shared" si="4"/>
        <v>96.61</v>
      </c>
      <c r="M9" s="312">
        <f t="shared" si="5"/>
        <v>3.0836534357661094E-2</v>
      </c>
    </row>
    <row r="10" spans="1:17" ht="15">
      <c r="A10" s="307">
        <v>40590</v>
      </c>
      <c r="B10" s="295">
        <v>151.53</v>
      </c>
      <c r="C10" s="296">
        <v>107.09</v>
      </c>
      <c r="D10" s="297">
        <v>2</v>
      </c>
      <c r="E10" s="298">
        <f t="shared" si="0"/>
        <v>109.09</v>
      </c>
      <c r="F10" s="308">
        <f t="shared" si="2"/>
        <v>2.9928247734138935E-2</v>
      </c>
      <c r="G10" s="300">
        <v>99.62</v>
      </c>
      <c r="H10" s="301">
        <v>2</v>
      </c>
      <c r="I10" s="302">
        <f t="shared" si="1"/>
        <v>101.62</v>
      </c>
      <c r="J10" s="309">
        <f t="shared" si="3"/>
        <v>3.0524287597606836E-2</v>
      </c>
      <c r="K10" s="310">
        <v>99.62</v>
      </c>
      <c r="L10" s="311">
        <f t="shared" si="4"/>
        <v>99.62</v>
      </c>
      <c r="M10" s="312">
        <f t="shared" si="5"/>
        <v>3.1156195010868526E-2</v>
      </c>
    </row>
    <row r="11" spans="1:17" ht="15">
      <c r="A11" s="307">
        <v>40603</v>
      </c>
      <c r="B11" s="295">
        <v>150.47999999999999</v>
      </c>
      <c r="C11" s="296">
        <v>110.55</v>
      </c>
      <c r="D11" s="297">
        <v>2</v>
      </c>
      <c r="E11" s="298">
        <f t="shared" si="0"/>
        <v>112.55</v>
      </c>
      <c r="F11" s="308">
        <f t="shared" si="2"/>
        <v>3.171693097442474E-2</v>
      </c>
      <c r="G11" s="300">
        <v>102.55</v>
      </c>
      <c r="H11" s="301">
        <v>2</v>
      </c>
      <c r="I11" s="302">
        <f t="shared" si="1"/>
        <v>104.55</v>
      </c>
      <c r="J11" s="309">
        <f t="shared" si="3"/>
        <v>2.8832906908088818E-2</v>
      </c>
      <c r="K11" s="310">
        <v>102.55</v>
      </c>
      <c r="L11" s="311">
        <f t="shared" si="4"/>
        <v>102.55</v>
      </c>
      <c r="M11" s="312">
        <f t="shared" si="5"/>
        <v>2.9411764705882248E-2</v>
      </c>
    </row>
    <row r="12" spans="1:17" ht="15">
      <c r="A12" s="307">
        <v>40618</v>
      </c>
      <c r="B12" s="295">
        <v>150.93</v>
      </c>
      <c r="C12" s="296">
        <v>115.95</v>
      </c>
      <c r="D12" s="297">
        <v>2</v>
      </c>
      <c r="E12" s="298">
        <f t="shared" si="0"/>
        <v>117.95</v>
      </c>
      <c r="F12" s="308">
        <f t="shared" si="2"/>
        <v>4.7978676143936028E-2</v>
      </c>
      <c r="G12" s="300">
        <v>108.55</v>
      </c>
      <c r="H12" s="301">
        <v>2</v>
      </c>
      <c r="I12" s="302">
        <f t="shared" si="1"/>
        <v>110.55</v>
      </c>
      <c r="J12" s="309">
        <f t="shared" si="3"/>
        <v>5.7388809182209455E-2</v>
      </c>
      <c r="K12" s="310">
        <v>108.55</v>
      </c>
      <c r="L12" s="311">
        <f t="shared" si="4"/>
        <v>108.55</v>
      </c>
      <c r="M12" s="312">
        <f t="shared" si="5"/>
        <v>5.8508044856167674E-2</v>
      </c>
    </row>
    <row r="13" spans="1:17" ht="15">
      <c r="A13" s="307">
        <v>40634</v>
      </c>
      <c r="B13" s="295">
        <v>151.29</v>
      </c>
      <c r="C13" s="296">
        <v>117.35889999999999</v>
      </c>
      <c r="D13" s="297">
        <v>2</v>
      </c>
      <c r="E13" s="298">
        <f t="shared" si="0"/>
        <v>119.35889999999999</v>
      </c>
      <c r="F13" s="308">
        <f t="shared" si="2"/>
        <v>1.1944891903348687E-2</v>
      </c>
      <c r="G13" s="300">
        <v>110.00660000000001</v>
      </c>
      <c r="H13" s="301">
        <v>2</v>
      </c>
      <c r="I13" s="302">
        <f t="shared" si="1"/>
        <v>112.00660000000001</v>
      </c>
      <c r="J13" s="309">
        <f t="shared" si="3"/>
        <v>1.3175938489371486E-2</v>
      </c>
      <c r="K13" s="310">
        <v>110.00660000000001</v>
      </c>
      <c r="L13" s="311">
        <f t="shared" si="4"/>
        <v>110.00660000000001</v>
      </c>
      <c r="M13" s="312">
        <f t="shared" si="5"/>
        <v>1.341870105941978E-2</v>
      </c>
    </row>
    <row r="14" spans="1:17" ht="15">
      <c r="A14" s="307">
        <v>40649</v>
      </c>
      <c r="B14" s="295">
        <f>1.5109*100</f>
        <v>151.09</v>
      </c>
      <c r="C14" s="296">
        <v>120.0292</v>
      </c>
      <c r="D14" s="297">
        <v>2</v>
      </c>
      <c r="E14" s="298">
        <f t="shared" si="0"/>
        <v>122.0292</v>
      </c>
      <c r="F14" s="308">
        <f t="shared" si="2"/>
        <v>2.2372022530368518E-2</v>
      </c>
      <c r="G14" s="300">
        <v>112.78100000000001</v>
      </c>
      <c r="H14" s="301">
        <v>2</v>
      </c>
      <c r="I14" s="302">
        <f t="shared" si="1"/>
        <v>114.78100000000001</v>
      </c>
      <c r="J14" s="309">
        <f t="shared" si="3"/>
        <v>2.4769968912546236E-2</v>
      </c>
      <c r="K14" s="310">
        <v>112.78100000000001</v>
      </c>
      <c r="L14" s="311">
        <f t="shared" si="4"/>
        <v>112.78100000000001</v>
      </c>
      <c r="M14" s="312">
        <f t="shared" si="5"/>
        <v>2.5220304963520457E-2</v>
      </c>
    </row>
    <row r="15" spans="1:17" ht="15">
      <c r="A15" s="307">
        <v>40664</v>
      </c>
      <c r="B15" s="295">
        <f>1.5085*100</f>
        <v>150.85</v>
      </c>
      <c r="C15" s="296">
        <v>121.0441</v>
      </c>
      <c r="D15" s="297">
        <v>2</v>
      </c>
      <c r="E15" s="298">
        <f t="shared" si="0"/>
        <v>123.0441</v>
      </c>
      <c r="F15" s="308">
        <f t="shared" si="2"/>
        <v>8.3168618658484572E-3</v>
      </c>
      <c r="G15" s="300">
        <v>112.97</v>
      </c>
      <c r="H15" s="301">
        <v>2</v>
      </c>
      <c r="I15" s="302">
        <f t="shared" si="1"/>
        <v>114.97</v>
      </c>
      <c r="J15" s="309">
        <f t="shared" si="3"/>
        <v>1.646613986635348E-3</v>
      </c>
      <c r="K15" s="310">
        <v>112.97</v>
      </c>
      <c r="L15" s="311">
        <f t="shared" si="4"/>
        <v>112.97</v>
      </c>
      <c r="M15" s="312">
        <f t="shared" si="5"/>
        <v>1.6758141885599986E-3</v>
      </c>
    </row>
    <row r="16" spans="1:17" ht="15">
      <c r="A16" s="307">
        <v>40679</v>
      </c>
      <c r="B16" s="295">
        <f>1.5041*100</f>
        <v>150.41</v>
      </c>
      <c r="C16" s="296">
        <v>117.63560000000001</v>
      </c>
      <c r="D16" s="297">
        <v>2</v>
      </c>
      <c r="E16" s="298">
        <f t="shared" si="0"/>
        <v>119.63560000000001</v>
      </c>
      <c r="F16" s="308">
        <f t="shared" si="2"/>
        <v>-2.7701450130481642E-2</v>
      </c>
      <c r="G16" s="300">
        <v>109.6247</v>
      </c>
      <c r="H16" s="301">
        <v>2</v>
      </c>
      <c r="I16" s="302">
        <f t="shared" si="1"/>
        <v>111.6247</v>
      </c>
      <c r="J16" s="309">
        <f t="shared" si="3"/>
        <v>-2.9097155779768569E-2</v>
      </c>
      <c r="K16" s="310">
        <v>109.6247</v>
      </c>
      <c r="L16" s="311">
        <f t="shared" si="4"/>
        <v>109.6247</v>
      </c>
      <c r="M16" s="312">
        <f t="shared" si="5"/>
        <v>-2.9612286447729397E-2</v>
      </c>
    </row>
    <row r="17" spans="1:13" ht="15">
      <c r="A17" s="307">
        <v>40695</v>
      </c>
      <c r="B17" s="295">
        <f>1.5093*100</f>
        <v>150.93</v>
      </c>
      <c r="C17" s="296">
        <v>113.1514</v>
      </c>
      <c r="D17" s="297">
        <v>2</v>
      </c>
      <c r="E17" s="298">
        <f t="shared" si="0"/>
        <v>115.1514</v>
      </c>
      <c r="F17" s="308">
        <f t="shared" si="2"/>
        <v>-3.748215414140954E-2</v>
      </c>
      <c r="G17" s="300">
        <v>105.11359999999999</v>
      </c>
      <c r="H17" s="301">
        <v>2</v>
      </c>
      <c r="I17" s="302">
        <f t="shared" si="1"/>
        <v>107.11359999999999</v>
      </c>
      <c r="J17" s="309">
        <f t="shared" si="3"/>
        <v>-4.0413098534643477E-2</v>
      </c>
      <c r="K17" s="310">
        <v>105.11359999999999</v>
      </c>
      <c r="L17" s="311">
        <f t="shared" si="4"/>
        <v>105.11359999999999</v>
      </c>
      <c r="M17" s="312">
        <f t="shared" si="5"/>
        <v>-4.1150397674976635E-2</v>
      </c>
    </row>
    <row r="18" spans="1:13" ht="15">
      <c r="A18" s="307">
        <v>40710</v>
      </c>
      <c r="B18" s="295">
        <f>1.5113*100</f>
        <v>151.13</v>
      </c>
      <c r="C18" s="296">
        <v>116.37125906819281</v>
      </c>
      <c r="D18" s="297">
        <v>2</v>
      </c>
      <c r="E18" s="298">
        <f t="shared" si="0"/>
        <v>118.37125906819281</v>
      </c>
      <c r="F18" s="308">
        <f t="shared" si="2"/>
        <v>2.7961961975215388E-2</v>
      </c>
      <c r="G18" s="300">
        <v>108.88570856831413</v>
      </c>
      <c r="H18" s="301">
        <v>2</v>
      </c>
      <c r="I18" s="302">
        <f t="shared" si="1"/>
        <v>110.88570856831413</v>
      </c>
      <c r="J18" s="309">
        <f t="shared" si="3"/>
        <v>3.5215962943212942E-2</v>
      </c>
      <c r="K18" s="310">
        <v>108.88570856831413</v>
      </c>
      <c r="L18" s="311">
        <f t="shared" si="4"/>
        <v>108.88570856831413</v>
      </c>
      <c r="M18" s="312">
        <f t="shared" si="5"/>
        <v>3.5886018253719287E-2</v>
      </c>
    </row>
    <row r="19" spans="1:13" ht="15">
      <c r="A19" s="307">
        <v>40725</v>
      </c>
      <c r="B19" s="295">
        <f>1.511*100</f>
        <v>151.1</v>
      </c>
      <c r="C19" s="296">
        <v>115.0384</v>
      </c>
      <c r="D19" s="297">
        <v>2</v>
      </c>
      <c r="E19" s="298">
        <f t="shared" si="0"/>
        <v>117.0384</v>
      </c>
      <c r="F19" s="308">
        <f t="shared" si="2"/>
        <v>-1.1259988942290189E-2</v>
      </c>
      <c r="G19" s="300">
        <v>107.0132</v>
      </c>
      <c r="H19" s="301">
        <v>2</v>
      </c>
      <c r="I19" s="302">
        <f t="shared" si="1"/>
        <v>109.0132</v>
      </c>
      <c r="J19" s="309">
        <f t="shared" si="3"/>
        <v>-1.6886834133007511E-2</v>
      </c>
      <c r="K19" s="310">
        <v>107.0132</v>
      </c>
      <c r="L19" s="311">
        <f t="shared" si="4"/>
        <v>107.0132</v>
      </c>
      <c r="M19" s="312">
        <f t="shared" si="5"/>
        <v>-1.7197009533526875E-2</v>
      </c>
    </row>
    <row r="20" spans="1:13" ht="15">
      <c r="A20" s="307">
        <v>40740</v>
      </c>
      <c r="B20" s="295">
        <f>1.5121*100</f>
        <v>151.21</v>
      </c>
      <c r="C20" s="296">
        <v>113.9933</v>
      </c>
      <c r="D20" s="297">
        <v>2</v>
      </c>
      <c r="E20" s="298">
        <f t="shared" si="0"/>
        <v>115.9933</v>
      </c>
      <c r="F20" s="308">
        <f t="shared" si="2"/>
        <v>-8.9295479090621965E-3</v>
      </c>
      <c r="G20" s="300">
        <v>106.36930000000001</v>
      </c>
      <c r="H20" s="301">
        <v>2</v>
      </c>
      <c r="I20" s="302">
        <f t="shared" si="1"/>
        <v>108.36930000000001</v>
      </c>
      <c r="J20" s="309">
        <f t="shared" si="3"/>
        <v>-5.9066241519374341E-3</v>
      </c>
      <c r="K20" s="310">
        <v>106.36930000000001</v>
      </c>
      <c r="L20" s="311">
        <f t="shared" si="4"/>
        <v>106.36930000000001</v>
      </c>
      <c r="M20" s="312">
        <f t="shared" si="5"/>
        <v>-6.0170147234172022E-3</v>
      </c>
    </row>
    <row r="21" spans="1:13" ht="15">
      <c r="A21" s="307">
        <v>40756</v>
      </c>
      <c r="B21" s="295">
        <f>1.51338*100</f>
        <v>151.33799999999999</v>
      </c>
      <c r="C21" s="296">
        <v>117.75359999999999</v>
      </c>
      <c r="D21" s="297">
        <v>2</v>
      </c>
      <c r="E21" s="298">
        <f t="shared" si="0"/>
        <v>119.75359999999999</v>
      </c>
      <c r="F21" s="308">
        <f t="shared" si="2"/>
        <v>3.2418251743850712E-2</v>
      </c>
      <c r="G21" s="300">
        <v>110.8321</v>
      </c>
      <c r="H21" s="301">
        <v>2</v>
      </c>
      <c r="I21" s="302">
        <f t="shared" si="1"/>
        <v>112.8321</v>
      </c>
      <c r="J21" s="309">
        <f t="shared" si="3"/>
        <v>4.1181404696717383E-2</v>
      </c>
      <c r="K21" s="310">
        <v>110.8321</v>
      </c>
      <c r="L21" s="311">
        <f t="shared" si="4"/>
        <v>110.8321</v>
      </c>
      <c r="M21" s="312">
        <f t="shared" si="5"/>
        <v>4.1955714665791621E-2</v>
      </c>
    </row>
    <row r="22" spans="1:13" ht="15">
      <c r="A22" s="307">
        <v>40771</v>
      </c>
      <c r="B22" s="295">
        <f>1.5128*100</f>
        <v>151.28</v>
      </c>
      <c r="C22" s="296">
        <v>114.15560000000001</v>
      </c>
      <c r="D22" s="297">
        <v>2</v>
      </c>
      <c r="E22" s="298">
        <f t="shared" si="0"/>
        <v>116.15560000000001</v>
      </c>
      <c r="F22" s="308">
        <f t="shared" si="2"/>
        <v>-3.0045025786280988E-2</v>
      </c>
      <c r="G22" s="300">
        <v>107.6174</v>
      </c>
      <c r="H22" s="301">
        <v>2</v>
      </c>
      <c r="I22" s="302">
        <f t="shared" si="1"/>
        <v>109.6174</v>
      </c>
      <c r="J22" s="309">
        <f t="shared" si="3"/>
        <v>-2.8491005662395708E-2</v>
      </c>
      <c r="K22" s="310">
        <v>107.6174</v>
      </c>
      <c r="L22" s="311">
        <f t="shared" si="4"/>
        <v>107.6174</v>
      </c>
      <c r="M22" s="312">
        <f t="shared" si="5"/>
        <v>-2.9005134793981147E-2</v>
      </c>
    </row>
    <row r="23" spans="1:13" ht="15">
      <c r="A23" s="307">
        <v>40787</v>
      </c>
      <c r="B23" s="295">
        <f>1.5182*100</f>
        <v>151.82</v>
      </c>
      <c r="C23" s="296">
        <v>113.0097</v>
      </c>
      <c r="D23" s="297">
        <v>2</v>
      </c>
      <c r="E23" s="298">
        <f t="shared" si="0"/>
        <v>115.0097</v>
      </c>
      <c r="F23" s="308">
        <f t="shared" si="2"/>
        <v>-9.8652152801932402E-3</v>
      </c>
      <c r="G23" s="300">
        <v>106.94739999999999</v>
      </c>
      <c r="H23" s="301">
        <v>2</v>
      </c>
      <c r="I23" s="302">
        <f t="shared" si="1"/>
        <v>108.94739999999999</v>
      </c>
      <c r="J23" s="309">
        <f t="shared" si="3"/>
        <v>-6.112168323642142E-3</v>
      </c>
      <c r="K23" s="310">
        <v>106.94739999999999</v>
      </c>
      <c r="L23" s="311">
        <f t="shared" si="4"/>
        <v>106.94739999999999</v>
      </c>
      <c r="M23" s="312">
        <f t="shared" si="5"/>
        <v>-6.2257590315322187E-3</v>
      </c>
    </row>
    <row r="24" spans="1:13" ht="15">
      <c r="A24" s="307">
        <v>40802</v>
      </c>
      <c r="B24" s="295">
        <f>1.5232*100</f>
        <v>152.32000000000002</v>
      </c>
      <c r="C24" s="296">
        <v>114.88560000000001</v>
      </c>
      <c r="D24" s="297">
        <v>2</v>
      </c>
      <c r="E24" s="298">
        <f t="shared" si="0"/>
        <v>116.88560000000001</v>
      </c>
      <c r="F24" s="308">
        <f t="shared" si="2"/>
        <v>1.6310798132679327E-2</v>
      </c>
      <c r="G24" s="300">
        <v>109.05724385134734</v>
      </c>
      <c r="H24" s="301">
        <v>2</v>
      </c>
      <c r="I24" s="302">
        <f t="shared" si="1"/>
        <v>111.05724385134734</v>
      </c>
      <c r="J24" s="309">
        <f t="shared" si="3"/>
        <v>1.9365710896702026E-2</v>
      </c>
      <c r="K24" s="310">
        <v>109.05724385134734</v>
      </c>
      <c r="L24" s="311">
        <f t="shared" si="4"/>
        <v>109.05724385134734</v>
      </c>
      <c r="M24" s="312">
        <f t="shared" si="5"/>
        <v>1.9727864832126407E-2</v>
      </c>
    </row>
    <row r="25" spans="1:13" ht="15">
      <c r="A25" s="307">
        <v>40817</v>
      </c>
      <c r="B25" s="295">
        <f>1.5249*100</f>
        <v>152.48999999999998</v>
      </c>
      <c r="C25" s="296">
        <v>112.23560000000001</v>
      </c>
      <c r="D25" s="297">
        <v>2</v>
      </c>
      <c r="E25" s="298">
        <f t="shared" si="0"/>
        <v>114.23560000000001</v>
      </c>
      <c r="F25" s="308">
        <f t="shared" si="2"/>
        <v>-2.2671740573689148E-2</v>
      </c>
      <c r="G25" s="300">
        <v>106.29470000000001</v>
      </c>
      <c r="H25" s="301">
        <v>2</v>
      </c>
      <c r="I25" s="302">
        <f t="shared" si="1"/>
        <v>108.29470000000001</v>
      </c>
      <c r="J25" s="309">
        <f t="shared" si="3"/>
        <v>-2.4874954172688257E-2</v>
      </c>
      <c r="K25" s="310">
        <v>106.29470000000001</v>
      </c>
      <c r="L25" s="311">
        <f t="shared" si="4"/>
        <v>106.29470000000001</v>
      </c>
      <c r="M25" s="312">
        <f t="shared" si="5"/>
        <v>-2.5331135775931379E-2</v>
      </c>
    </row>
    <row r="26" spans="1:13" ht="15">
      <c r="A26" s="307">
        <v>40832</v>
      </c>
      <c r="B26" s="295">
        <f>1.5284*100</f>
        <v>152.84</v>
      </c>
      <c r="C26" s="296">
        <v>110.1956</v>
      </c>
      <c r="D26" s="297">
        <v>2</v>
      </c>
      <c r="E26" s="298">
        <f t="shared" si="0"/>
        <v>112.1956</v>
      </c>
      <c r="F26" s="308">
        <f t="shared" si="2"/>
        <v>-1.7857830658743912E-2</v>
      </c>
      <c r="G26" s="300">
        <v>103.02470000000001</v>
      </c>
      <c r="H26" s="301">
        <v>2</v>
      </c>
      <c r="I26" s="302">
        <f t="shared" si="1"/>
        <v>105.02470000000001</v>
      </c>
      <c r="J26" s="309">
        <f t="shared" si="3"/>
        <v>-3.0195383522923946E-2</v>
      </c>
      <c r="K26" s="310">
        <v>103.02470000000001</v>
      </c>
      <c r="L26" s="311">
        <f t="shared" si="4"/>
        <v>103.02470000000001</v>
      </c>
      <c r="M26" s="312">
        <f t="shared" si="5"/>
        <v>-3.0763528190963396E-2</v>
      </c>
    </row>
    <row r="27" spans="1:13" ht="15">
      <c r="A27" s="307">
        <v>40848</v>
      </c>
      <c r="B27" s="295">
        <f>1.5339*100</f>
        <v>153.39000000000001</v>
      </c>
      <c r="C27" s="296">
        <v>114.0145</v>
      </c>
      <c r="D27" s="297">
        <v>2</v>
      </c>
      <c r="E27" s="298">
        <f t="shared" si="0"/>
        <v>116.0145</v>
      </c>
      <c r="F27" s="308">
        <f t="shared" si="2"/>
        <v>3.4037876708177484E-2</v>
      </c>
      <c r="G27" s="300">
        <v>108.2765</v>
      </c>
      <c r="H27" s="301">
        <v>2</v>
      </c>
      <c r="I27" s="302">
        <f t="shared" si="1"/>
        <v>110.2765</v>
      </c>
      <c r="J27" s="309">
        <f t="shared" si="3"/>
        <v>5.0005379686873574E-2</v>
      </c>
      <c r="K27" s="310">
        <v>108.2765</v>
      </c>
      <c r="L27" s="311">
        <f t="shared" si="4"/>
        <v>108.2765</v>
      </c>
      <c r="M27" s="312">
        <f t="shared" si="5"/>
        <v>5.0976125142805362E-2</v>
      </c>
    </row>
    <row r="28" spans="1:13" ht="15">
      <c r="A28" s="307">
        <v>40863</v>
      </c>
      <c r="B28" s="295">
        <f>1.5358*100</f>
        <v>153.58000000000001</v>
      </c>
      <c r="C28" s="296">
        <v>116.23220000000001</v>
      </c>
      <c r="D28" s="297">
        <v>2</v>
      </c>
      <c r="E28" s="298">
        <f t="shared" si="0"/>
        <v>118.23220000000001</v>
      </c>
      <c r="F28" s="308">
        <f t="shared" si="2"/>
        <v>1.9115713984027893E-2</v>
      </c>
      <c r="G28" s="300">
        <v>110.214</v>
      </c>
      <c r="H28" s="301">
        <v>2</v>
      </c>
      <c r="I28" s="302">
        <f t="shared" si="1"/>
        <v>112.214</v>
      </c>
      <c r="J28" s="309">
        <f t="shared" si="3"/>
        <v>1.7569473097169386E-2</v>
      </c>
      <c r="K28" s="310">
        <v>110.214</v>
      </c>
      <c r="L28" s="311">
        <f t="shared" si="4"/>
        <v>110.214</v>
      </c>
      <c r="M28" s="312">
        <f t="shared" si="5"/>
        <v>1.7894002853804825E-2</v>
      </c>
    </row>
    <row r="29" spans="1:13" ht="15">
      <c r="A29" s="307">
        <v>40878</v>
      </c>
      <c r="B29" s="295">
        <f>1.54*100</f>
        <v>154</v>
      </c>
      <c r="C29" s="296">
        <v>115.4473</v>
      </c>
      <c r="D29" s="297">
        <v>2</v>
      </c>
      <c r="E29" s="298">
        <f t="shared" si="0"/>
        <v>117.4473</v>
      </c>
      <c r="F29" s="308">
        <f t="shared" si="2"/>
        <v>-6.6386314388128254E-3</v>
      </c>
      <c r="G29" s="300">
        <v>111.33669999999999</v>
      </c>
      <c r="H29" s="301">
        <v>2</v>
      </c>
      <c r="I29" s="302">
        <f t="shared" si="1"/>
        <v>113.33669999999999</v>
      </c>
      <c r="J29" s="309">
        <f t="shared" si="3"/>
        <v>1.0004990464647756E-2</v>
      </c>
      <c r="K29" s="310">
        <v>111.33669999999999</v>
      </c>
      <c r="L29" s="311">
        <f t="shared" si="4"/>
        <v>111.33669999999999</v>
      </c>
      <c r="M29" s="312">
        <f t="shared" si="5"/>
        <v>1.018654617380732E-2</v>
      </c>
    </row>
    <row r="30" spans="1:13" ht="15">
      <c r="A30" s="307">
        <v>40893</v>
      </c>
      <c r="B30" s="313">
        <f>1.5435*100</f>
        <v>154.35000000000002</v>
      </c>
      <c r="C30" s="296">
        <v>112.99610000000001</v>
      </c>
      <c r="D30" s="297">
        <v>2</v>
      </c>
      <c r="E30" s="298">
        <f t="shared" si="0"/>
        <v>114.99610000000001</v>
      </c>
      <c r="F30" s="308">
        <f t="shared" si="2"/>
        <v>-2.0870637298601058E-2</v>
      </c>
      <c r="G30" s="300">
        <v>109.62260000000001</v>
      </c>
      <c r="H30" s="301">
        <v>2</v>
      </c>
      <c r="I30" s="302">
        <f t="shared" si="1"/>
        <v>111.62260000000001</v>
      </c>
      <c r="J30" s="309">
        <f t="shared" si="3"/>
        <v>-1.5123962494055232E-2</v>
      </c>
      <c r="K30" s="310">
        <v>109.62260000000001</v>
      </c>
      <c r="L30" s="311">
        <f t="shared" si="4"/>
        <v>109.62260000000001</v>
      </c>
      <c r="M30" s="312">
        <f t="shared" si="5"/>
        <v>-1.5395642227585271E-2</v>
      </c>
    </row>
    <row r="31" spans="1:13" ht="15">
      <c r="A31" s="307">
        <v>40906</v>
      </c>
      <c r="B31" s="295">
        <f>1.5464*100</f>
        <v>154.63999999999999</v>
      </c>
      <c r="C31" s="296">
        <v>114.6217</v>
      </c>
      <c r="D31" s="297">
        <v>2</v>
      </c>
      <c r="E31" s="298">
        <f t="shared" si="0"/>
        <v>116.6217</v>
      </c>
      <c r="F31" s="308">
        <f t="shared" si="2"/>
        <v>1.4136131573157629E-2</v>
      </c>
      <c r="G31" s="300">
        <v>107.11199999999999</v>
      </c>
      <c r="H31" s="301">
        <v>2</v>
      </c>
      <c r="I31" s="302">
        <f t="shared" si="1"/>
        <v>109.11199999999999</v>
      </c>
      <c r="J31" s="309">
        <f t="shared" si="3"/>
        <v>-2.2491860967223554E-2</v>
      </c>
      <c r="K31" s="310">
        <v>107.11199999999999</v>
      </c>
      <c r="L31" s="311">
        <f t="shared" si="4"/>
        <v>107.11199999999999</v>
      </c>
      <c r="M31" s="312">
        <f t="shared" si="5"/>
        <v>-2.2902211770200798E-2</v>
      </c>
    </row>
    <row r="32" spans="1:13" ht="15">
      <c r="A32" s="307">
        <v>40924</v>
      </c>
      <c r="B32" s="295">
        <f>1.5665*100</f>
        <v>156.65</v>
      </c>
      <c r="C32" s="296">
        <v>117.47</v>
      </c>
      <c r="D32" s="297">
        <v>2</v>
      </c>
      <c r="E32" s="298">
        <f t="shared" si="0"/>
        <v>119.47</v>
      </c>
      <c r="F32" s="308">
        <f t="shared" si="2"/>
        <v>2.4423413481367451E-2</v>
      </c>
      <c r="G32" s="300">
        <v>110.50999999999999</v>
      </c>
      <c r="H32" s="301">
        <v>2</v>
      </c>
      <c r="I32" s="302">
        <f t="shared" si="1"/>
        <v>112.50999999999999</v>
      </c>
      <c r="J32" s="309">
        <f t="shared" si="3"/>
        <v>3.1142312486252655E-2</v>
      </c>
      <c r="K32" s="310">
        <v>110.50999999999999</v>
      </c>
      <c r="L32" s="311">
        <f t="shared" si="4"/>
        <v>110.50999999999999</v>
      </c>
      <c r="M32" s="312">
        <f t="shared" si="5"/>
        <v>3.1723803121965766E-2</v>
      </c>
    </row>
    <row r="33" spans="1:13" ht="15">
      <c r="A33" s="307">
        <v>40940</v>
      </c>
      <c r="B33" s="295">
        <f>1.6434*100</f>
        <v>164.34</v>
      </c>
      <c r="C33" s="296">
        <v>118.15</v>
      </c>
      <c r="D33" s="297">
        <v>2</v>
      </c>
      <c r="E33" s="298">
        <f t="shared" si="0"/>
        <v>120.15</v>
      </c>
      <c r="F33" s="308">
        <f t="shared" si="2"/>
        <v>5.6918054741776913E-3</v>
      </c>
      <c r="G33" s="300">
        <v>110.05</v>
      </c>
      <c r="H33" s="301">
        <v>2</v>
      </c>
      <c r="I33" s="302">
        <f t="shared" si="1"/>
        <v>112.05</v>
      </c>
      <c r="J33" s="309">
        <f>I33/I32-1</f>
        <v>-4.0885254644030811E-3</v>
      </c>
      <c r="K33" s="310">
        <v>110.05</v>
      </c>
      <c r="L33" s="311">
        <f t="shared" si="4"/>
        <v>110.05</v>
      </c>
      <c r="M33" s="312">
        <f>L33/L32-1</f>
        <v>-4.1625192290289936E-3</v>
      </c>
    </row>
    <row r="34" spans="1:13" ht="15">
      <c r="A34" s="307">
        <v>40950</v>
      </c>
      <c r="B34" s="295">
        <f>1.6556*100</f>
        <v>165.56</v>
      </c>
      <c r="C34" s="296">
        <v>119.74</v>
      </c>
      <c r="D34" s="297">
        <v>2</v>
      </c>
      <c r="E34" s="298">
        <f t="shared" si="0"/>
        <v>121.74</v>
      </c>
      <c r="F34" s="308">
        <f t="shared" si="2"/>
        <v>1.323345817727839E-2</v>
      </c>
      <c r="G34" s="300">
        <v>112.09</v>
      </c>
      <c r="H34" s="301">
        <v>2</v>
      </c>
      <c r="I34" s="302">
        <f t="shared" si="1"/>
        <v>114.09</v>
      </c>
      <c r="J34" s="309">
        <f t="shared" si="3"/>
        <v>1.8206157965194203E-2</v>
      </c>
      <c r="K34" s="310">
        <v>112.09</v>
      </c>
      <c r="L34" s="311">
        <f t="shared" si="4"/>
        <v>112.09</v>
      </c>
      <c r="M34" s="312">
        <f t="shared" si="5"/>
        <v>1.8537028623353047E-2</v>
      </c>
    </row>
    <row r="35" spans="1:13" ht="15">
      <c r="A35" s="307">
        <v>40969</v>
      </c>
      <c r="B35" s="295">
        <f>1.6751*100</f>
        <v>167.51</v>
      </c>
      <c r="C35" s="296">
        <v>123.08</v>
      </c>
      <c r="D35" s="297">
        <v>2</v>
      </c>
      <c r="E35" s="298">
        <f t="shared" si="0"/>
        <v>125.08</v>
      </c>
      <c r="F35" s="308">
        <f t="shared" si="2"/>
        <v>2.7435518317726393E-2</v>
      </c>
      <c r="G35" s="300">
        <v>115.79</v>
      </c>
      <c r="H35" s="301">
        <v>2</v>
      </c>
      <c r="I35" s="302">
        <f t="shared" si="1"/>
        <v>117.79</v>
      </c>
      <c r="J35" s="309">
        <f t="shared" si="3"/>
        <v>3.2430537295117912E-2</v>
      </c>
      <c r="K35" s="310">
        <v>115.79</v>
      </c>
      <c r="L35" s="311">
        <f t="shared" si="4"/>
        <v>115.79</v>
      </c>
      <c r="M35" s="312">
        <f t="shared" si="5"/>
        <v>3.3009189044517884E-2</v>
      </c>
    </row>
    <row r="36" spans="1:13" ht="15">
      <c r="A36" s="307">
        <v>40984</v>
      </c>
      <c r="B36" s="295">
        <f>1.6823*100</f>
        <v>168.23</v>
      </c>
      <c r="C36" s="296">
        <v>124.2</v>
      </c>
      <c r="D36" s="297">
        <v>2</v>
      </c>
      <c r="E36" s="298">
        <f t="shared" si="0"/>
        <v>126.2</v>
      </c>
      <c r="F36" s="308">
        <f t="shared" si="2"/>
        <v>8.9542692676687352E-3</v>
      </c>
      <c r="G36" s="300">
        <v>116.03</v>
      </c>
      <c r="H36" s="301">
        <v>2</v>
      </c>
      <c r="I36" s="302">
        <f t="shared" si="1"/>
        <v>118.03</v>
      </c>
      <c r="J36" s="309">
        <f t="shared" si="3"/>
        <v>2.0375244078443266E-3</v>
      </c>
      <c r="K36" s="310">
        <v>116.03</v>
      </c>
      <c r="L36" s="311">
        <f t="shared" si="4"/>
        <v>116.03</v>
      </c>
      <c r="M36" s="312">
        <f t="shared" si="5"/>
        <v>2.0727178512824906E-3</v>
      </c>
    </row>
    <row r="37" spans="1:13" ht="15">
      <c r="A37" s="307">
        <v>41000</v>
      </c>
      <c r="B37" s="295">
        <f>1.6833*100</f>
        <v>168.33</v>
      </c>
      <c r="C37" s="296">
        <v>125.22</v>
      </c>
      <c r="D37" s="297">
        <v>2</v>
      </c>
      <c r="E37" s="298">
        <f t="shared" si="0"/>
        <v>127.22</v>
      </c>
      <c r="F37" s="308">
        <f t="shared" si="2"/>
        <v>8.0824088748019385E-3</v>
      </c>
      <c r="G37" s="300">
        <v>117.1</v>
      </c>
      <c r="H37" s="301">
        <v>2</v>
      </c>
      <c r="I37" s="302">
        <f t="shared" si="1"/>
        <v>119.1</v>
      </c>
      <c r="J37" s="309">
        <f t="shared" si="3"/>
        <v>9.065491824112426E-3</v>
      </c>
      <c r="K37" s="310">
        <v>117.1</v>
      </c>
      <c r="L37" s="311">
        <f t="shared" si="4"/>
        <v>117.1</v>
      </c>
      <c r="M37" s="312">
        <f t="shared" si="5"/>
        <v>9.2217529949150112E-3</v>
      </c>
    </row>
    <row r="38" spans="1:13" ht="15">
      <c r="A38" s="307">
        <v>41015</v>
      </c>
      <c r="B38" s="295">
        <f>1.6992*100</f>
        <v>169.92000000000002</v>
      </c>
      <c r="C38" s="296">
        <v>124.53</v>
      </c>
      <c r="D38" s="297">
        <v>2</v>
      </c>
      <c r="E38" s="298">
        <f t="shared" si="0"/>
        <v>126.53</v>
      </c>
      <c r="F38" s="308">
        <f t="shared" si="2"/>
        <v>-5.4236755227164979E-3</v>
      </c>
      <c r="G38" s="300">
        <v>115.94</v>
      </c>
      <c r="H38" s="301">
        <v>2</v>
      </c>
      <c r="I38" s="302">
        <f t="shared" si="1"/>
        <v>117.94</v>
      </c>
      <c r="J38" s="309">
        <f t="shared" si="3"/>
        <v>-9.7397145256087336E-3</v>
      </c>
      <c r="K38" s="310">
        <v>115.94</v>
      </c>
      <c r="L38" s="311">
        <f t="shared" si="4"/>
        <v>115.94</v>
      </c>
      <c r="M38" s="312">
        <f t="shared" si="5"/>
        <v>-9.9060631938513444E-3</v>
      </c>
    </row>
    <row r="39" spans="1:13" ht="15">
      <c r="A39" s="314">
        <v>41030</v>
      </c>
      <c r="B39" s="295">
        <f>1.7067*100</f>
        <v>170.67000000000002</v>
      </c>
      <c r="C39" s="296">
        <v>122.77</v>
      </c>
      <c r="D39" s="297">
        <v>2</v>
      </c>
      <c r="E39" s="298">
        <f t="shared" si="0"/>
        <v>124.77</v>
      </c>
      <c r="F39" s="308">
        <f t="shared" si="2"/>
        <v>-1.3909744724571294E-2</v>
      </c>
      <c r="G39" s="300">
        <v>114.57</v>
      </c>
      <c r="H39" s="301">
        <v>2</v>
      </c>
      <c r="I39" s="302">
        <f t="shared" si="1"/>
        <v>116.57</v>
      </c>
      <c r="J39" s="309">
        <f t="shared" si="3"/>
        <v>-1.1616075970832695E-2</v>
      </c>
      <c r="K39" s="310">
        <v>114.57</v>
      </c>
      <c r="L39" s="311">
        <f t="shared" si="4"/>
        <v>114.57</v>
      </c>
      <c r="M39" s="312">
        <f t="shared" si="5"/>
        <v>-1.1816456787993812E-2</v>
      </c>
    </row>
    <row r="40" spans="1:13" ht="15">
      <c r="A40" s="314">
        <v>41045</v>
      </c>
      <c r="B40" s="295">
        <f>1.7094*100</f>
        <v>170.94</v>
      </c>
      <c r="C40" s="296">
        <v>121.17</v>
      </c>
      <c r="D40" s="297">
        <v>2</v>
      </c>
      <c r="E40" s="298">
        <f t="shared" si="0"/>
        <v>123.17</v>
      </c>
      <c r="F40" s="308">
        <f t="shared" si="2"/>
        <v>-1.2823595415564548E-2</v>
      </c>
      <c r="G40" s="300">
        <v>113</v>
      </c>
      <c r="H40" s="301">
        <v>2</v>
      </c>
      <c r="I40" s="302">
        <f t="shared" si="1"/>
        <v>115</v>
      </c>
      <c r="J40" s="309">
        <f t="shared" si="3"/>
        <v>-1.3468302307626301E-2</v>
      </c>
      <c r="K40" s="310">
        <v>113</v>
      </c>
      <c r="L40" s="311">
        <f t="shared" si="4"/>
        <v>113</v>
      </c>
      <c r="M40" s="312">
        <f t="shared" si="5"/>
        <v>-1.3703412760757594E-2</v>
      </c>
    </row>
    <row r="41" spans="1:13" ht="15">
      <c r="A41" s="314">
        <v>41061</v>
      </c>
      <c r="B41" s="295">
        <f>1.7331*100</f>
        <v>173.31</v>
      </c>
      <c r="C41" s="296">
        <v>116.82000000000001</v>
      </c>
      <c r="D41" s="297">
        <v>2</v>
      </c>
      <c r="E41" s="298">
        <f t="shared" si="0"/>
        <v>118.82000000000001</v>
      </c>
      <c r="F41" s="308">
        <f t="shared" si="2"/>
        <v>-3.5317041487375134E-2</v>
      </c>
      <c r="G41" s="300">
        <v>108.05</v>
      </c>
      <c r="H41" s="301">
        <v>2</v>
      </c>
      <c r="I41" s="302">
        <f t="shared" si="1"/>
        <v>110.05</v>
      </c>
      <c r="J41" s="309">
        <f t="shared" si="3"/>
        <v>-4.3043478260869628E-2</v>
      </c>
      <c r="K41" s="310">
        <v>108.05</v>
      </c>
      <c r="L41" s="311">
        <f t="shared" si="4"/>
        <v>108.05</v>
      </c>
      <c r="M41" s="312">
        <f t="shared" si="5"/>
        <v>-4.3805309734513354E-2</v>
      </c>
    </row>
    <row r="42" spans="1:13" ht="15">
      <c r="A42" s="314">
        <v>41076</v>
      </c>
      <c r="B42" s="295">
        <f>1.8295*100</f>
        <v>182.95</v>
      </c>
      <c r="C42" s="296">
        <v>111.92887</v>
      </c>
      <c r="D42" s="297">
        <v>2</v>
      </c>
      <c r="E42" s="298">
        <f t="shared" si="0"/>
        <v>113.92887</v>
      </c>
      <c r="F42" s="308">
        <f t="shared" si="2"/>
        <v>-4.1164197946473635E-2</v>
      </c>
      <c r="G42" s="300">
        <v>103.88346</v>
      </c>
      <c r="H42" s="301">
        <v>2</v>
      </c>
      <c r="I42" s="302">
        <f t="shared" si="1"/>
        <v>105.88346</v>
      </c>
      <c r="J42" s="309">
        <f t="shared" si="3"/>
        <v>-3.78604270786006E-2</v>
      </c>
      <c r="K42" s="310">
        <v>103.88</v>
      </c>
      <c r="L42" s="311">
        <f t="shared" si="4"/>
        <v>103.88</v>
      </c>
      <c r="M42" s="312">
        <f t="shared" si="5"/>
        <v>-3.859324386857943E-2</v>
      </c>
    </row>
    <row r="43" spans="1:13" ht="15">
      <c r="A43" s="314">
        <v>41091</v>
      </c>
      <c r="B43" s="295">
        <f>1.8701*100</f>
        <v>187.01000000000002</v>
      </c>
      <c r="C43" s="296">
        <v>108.32704</v>
      </c>
      <c r="D43" s="297">
        <v>2</v>
      </c>
      <c r="E43" s="298">
        <f t="shared" si="0"/>
        <v>110.32704</v>
      </c>
      <c r="F43" s="308">
        <f t="shared" si="2"/>
        <v>-3.1614725925044329E-2</v>
      </c>
      <c r="G43" s="300">
        <v>100.99829</v>
      </c>
      <c r="H43" s="301">
        <v>2</v>
      </c>
      <c r="I43" s="302">
        <f t="shared" si="1"/>
        <v>102.99829</v>
      </c>
      <c r="J43" s="309">
        <f t="shared" si="3"/>
        <v>-2.7248542879123927E-2</v>
      </c>
      <c r="K43" s="310">
        <v>101</v>
      </c>
      <c r="L43" s="311">
        <f t="shared" si="4"/>
        <v>101</v>
      </c>
      <c r="M43" s="312">
        <f t="shared" si="5"/>
        <v>-2.772429726607617E-2</v>
      </c>
    </row>
    <row r="44" spans="1:13" ht="15">
      <c r="A44" s="314">
        <v>41106</v>
      </c>
      <c r="B44" s="295">
        <f>1.8764*100</f>
        <v>187.64000000000001</v>
      </c>
      <c r="C44" s="296">
        <v>110.6811</v>
      </c>
      <c r="D44" s="297">
        <v>2</v>
      </c>
      <c r="E44" s="298">
        <f t="shared" si="0"/>
        <v>112.6811</v>
      </c>
      <c r="F44" s="308">
        <f t="shared" si="2"/>
        <v>2.1337108291856755E-2</v>
      </c>
      <c r="G44" s="300">
        <v>102.90915</v>
      </c>
      <c r="H44" s="301">
        <v>2</v>
      </c>
      <c r="I44" s="302">
        <f t="shared" si="1"/>
        <v>104.90915</v>
      </c>
      <c r="J44" s="309">
        <f t="shared" si="3"/>
        <v>1.8552346839932898E-2</v>
      </c>
      <c r="K44" s="310">
        <v>102.91</v>
      </c>
      <c r="L44" s="311">
        <f t="shared" si="4"/>
        <v>102.91</v>
      </c>
      <c r="M44" s="312">
        <f t="shared" si="5"/>
        <v>1.8910891089108928E-2</v>
      </c>
    </row>
    <row r="45" spans="1:13" ht="15">
      <c r="A45" s="314">
        <v>41122</v>
      </c>
      <c r="B45" s="295">
        <f>1.8843*100</f>
        <v>188.43</v>
      </c>
      <c r="C45" s="296">
        <v>114.49000000000001</v>
      </c>
      <c r="D45" s="297">
        <v>2</v>
      </c>
      <c r="E45" s="298">
        <f t="shared" si="0"/>
        <v>116.49000000000001</v>
      </c>
      <c r="F45" s="308">
        <f t="shared" si="2"/>
        <v>3.3802474416738892E-2</v>
      </c>
      <c r="G45" s="300">
        <v>105.73</v>
      </c>
      <c r="H45" s="301">
        <v>2</v>
      </c>
      <c r="I45" s="302">
        <f t="shared" si="1"/>
        <v>107.73</v>
      </c>
      <c r="J45" s="309">
        <f t="shared" si="3"/>
        <v>2.688850305240309E-2</v>
      </c>
      <c r="K45" s="310">
        <v>105.73</v>
      </c>
      <c r="L45" s="311">
        <f t="shared" si="4"/>
        <v>105.73</v>
      </c>
      <c r="M45" s="312">
        <f t="shared" si="5"/>
        <v>2.7402584782820094E-2</v>
      </c>
    </row>
    <row r="46" spans="1:13" ht="15">
      <c r="A46" s="314">
        <v>41153</v>
      </c>
      <c r="B46" s="295">
        <f>1.8917*100</f>
        <v>189.17</v>
      </c>
      <c r="C46" s="296">
        <v>122.3259</v>
      </c>
      <c r="D46" s="297">
        <v>2</v>
      </c>
      <c r="E46" s="298">
        <f t="shared" si="0"/>
        <v>124.3259</v>
      </c>
      <c r="F46" s="308">
        <f t="shared" si="2"/>
        <v>6.7266718173233597E-2</v>
      </c>
      <c r="G46" s="300">
        <v>112.6336</v>
      </c>
      <c r="H46" s="301">
        <v>2</v>
      </c>
      <c r="I46" s="302">
        <f t="shared" si="1"/>
        <v>114.6336</v>
      </c>
      <c r="J46" s="309">
        <f t="shared" si="3"/>
        <v>6.408242829295463E-2</v>
      </c>
      <c r="K46" s="310">
        <v>112.6336</v>
      </c>
      <c r="L46" s="311">
        <f t="shared" si="4"/>
        <v>112.6336</v>
      </c>
      <c r="M46" s="312">
        <f t="shared" si="5"/>
        <v>6.5294618367540025E-2</v>
      </c>
    </row>
    <row r="47" spans="1:13" ht="15">
      <c r="A47" s="314">
        <v>41168</v>
      </c>
      <c r="B47" s="295">
        <f>1.8934*100</f>
        <v>189.34</v>
      </c>
      <c r="C47" s="296">
        <v>124.1395</v>
      </c>
      <c r="D47" s="297">
        <v>2</v>
      </c>
      <c r="E47" s="298">
        <f t="shared" si="0"/>
        <v>126.1395</v>
      </c>
      <c r="F47" s="308">
        <f t="shared" si="2"/>
        <v>1.4587467293621037E-2</v>
      </c>
      <c r="G47" s="300">
        <v>113.6123</v>
      </c>
      <c r="H47" s="301">
        <v>2</v>
      </c>
      <c r="I47" s="302">
        <f t="shared" si="1"/>
        <v>115.6123</v>
      </c>
      <c r="J47" s="309">
        <f t="shared" si="3"/>
        <v>8.5376364346927414E-3</v>
      </c>
      <c r="K47" s="310">
        <v>113.61</v>
      </c>
      <c r="L47" s="311">
        <f t="shared" si="4"/>
        <v>113.61</v>
      </c>
      <c r="M47" s="312">
        <f t="shared" si="5"/>
        <v>8.6688164100232612E-3</v>
      </c>
    </row>
    <row r="48" spans="1:13" ht="15">
      <c r="A48" s="314">
        <v>41183</v>
      </c>
      <c r="B48" s="295">
        <f>1.8942*100</f>
        <v>189.42000000000002</v>
      </c>
      <c r="C48" s="296">
        <v>122.4468</v>
      </c>
      <c r="D48" s="297">
        <v>2</v>
      </c>
      <c r="E48" s="298">
        <f t="shared" si="0"/>
        <v>124.4468</v>
      </c>
      <c r="F48" s="308">
        <f t="shared" si="2"/>
        <v>-1.3419269935270095E-2</v>
      </c>
      <c r="G48" s="300">
        <v>113.18980000000001</v>
      </c>
      <c r="H48" s="301">
        <v>2</v>
      </c>
      <c r="I48" s="302">
        <f t="shared" si="1"/>
        <v>115.18980000000001</v>
      </c>
      <c r="J48" s="309">
        <f t="shared" si="3"/>
        <v>-3.6544554515393068E-3</v>
      </c>
      <c r="K48" s="310">
        <v>113.18980000000001</v>
      </c>
      <c r="L48" s="311">
        <f t="shared" si="4"/>
        <v>113.18980000000001</v>
      </c>
      <c r="M48" s="312">
        <f t="shared" si="5"/>
        <v>-3.6986180793944223E-3</v>
      </c>
    </row>
    <row r="49" spans="1:13" ht="15">
      <c r="A49" s="314">
        <v>41198</v>
      </c>
      <c r="B49" s="295">
        <f>1.8925*100</f>
        <v>189.25</v>
      </c>
      <c r="C49" s="296">
        <v>122.13000000000001</v>
      </c>
      <c r="D49" s="297">
        <v>2</v>
      </c>
      <c r="E49" s="298">
        <f t="shared" si="0"/>
        <v>124.13000000000001</v>
      </c>
      <c r="F49" s="308">
        <f t="shared" si="2"/>
        <v>-2.545666099891597E-3</v>
      </c>
      <c r="G49" s="300">
        <v>113.84</v>
      </c>
      <c r="H49" s="301">
        <v>2</v>
      </c>
      <c r="I49" s="302">
        <f t="shared" si="1"/>
        <v>115.84</v>
      </c>
      <c r="J49" s="309">
        <f t="shared" si="3"/>
        <v>5.6445970042486859E-3</v>
      </c>
      <c r="K49" s="310">
        <v>113.84</v>
      </c>
      <c r="L49" s="311">
        <f t="shared" si="4"/>
        <v>113.84</v>
      </c>
      <c r="M49" s="312">
        <f t="shared" si="5"/>
        <v>5.7443338534037824E-3</v>
      </c>
    </row>
    <row r="50" spans="1:13" ht="15">
      <c r="A50" s="314">
        <v>41214</v>
      </c>
      <c r="B50" s="295">
        <f>1.8897*100</f>
        <v>188.97</v>
      </c>
      <c r="C50" s="296">
        <v>120.5</v>
      </c>
      <c r="D50" s="297">
        <v>2</v>
      </c>
      <c r="E50" s="298">
        <f t="shared" si="0"/>
        <v>122.5</v>
      </c>
      <c r="F50" s="308">
        <f t="shared" si="2"/>
        <v>-1.3131394505760174E-2</v>
      </c>
      <c r="G50" s="300">
        <v>114.07</v>
      </c>
      <c r="H50" s="301">
        <v>2</v>
      </c>
      <c r="I50" s="302">
        <f t="shared" si="1"/>
        <v>116.07</v>
      </c>
      <c r="J50" s="309">
        <f t="shared" si="3"/>
        <v>1.9854972375690227E-3</v>
      </c>
      <c r="K50" s="310">
        <v>114.07</v>
      </c>
      <c r="L50" s="311">
        <f t="shared" si="4"/>
        <v>114.07</v>
      </c>
      <c r="M50" s="312">
        <f t="shared" si="5"/>
        <v>2.0203794799718011E-3</v>
      </c>
    </row>
    <row r="51" spans="1:13" ht="15">
      <c r="A51" s="314">
        <v>41229</v>
      </c>
      <c r="B51" s="295">
        <f>1.8835*100</f>
        <v>188.35</v>
      </c>
      <c r="C51" s="296">
        <v>117.28</v>
      </c>
      <c r="D51" s="297">
        <v>2</v>
      </c>
      <c r="E51" s="298">
        <f t="shared" si="0"/>
        <v>119.28</v>
      </c>
      <c r="F51" s="308">
        <f t="shared" si="2"/>
        <v>-2.6285714285714246E-2</v>
      </c>
      <c r="G51" s="300">
        <v>109.67</v>
      </c>
      <c r="H51" s="301">
        <v>2</v>
      </c>
      <c r="I51" s="302">
        <f t="shared" si="1"/>
        <v>111.67</v>
      </c>
      <c r="J51" s="309">
        <f t="shared" si="3"/>
        <v>-3.7908158869647601E-2</v>
      </c>
      <c r="K51" s="310">
        <v>109.67</v>
      </c>
      <c r="L51" s="311">
        <f t="shared" si="4"/>
        <v>109.67</v>
      </c>
      <c r="M51" s="312">
        <f t="shared" si="5"/>
        <v>-3.8572806171648932E-2</v>
      </c>
    </row>
    <row r="52" spans="1:13" ht="15">
      <c r="A52" s="314">
        <v>41244</v>
      </c>
      <c r="B52" s="295">
        <f>1.884*100</f>
        <v>188.39999999999998</v>
      </c>
      <c r="C52" s="296">
        <v>118.616</v>
      </c>
      <c r="D52" s="297">
        <v>2</v>
      </c>
      <c r="E52" s="298">
        <f t="shared" si="0"/>
        <v>120.616</v>
      </c>
      <c r="F52" s="308">
        <f t="shared" si="2"/>
        <v>1.1200536552649298E-2</v>
      </c>
      <c r="G52" s="300">
        <v>109.4868</v>
      </c>
      <c r="H52" s="301">
        <v>2</v>
      </c>
      <c r="I52" s="302">
        <f t="shared" si="1"/>
        <v>111.4868</v>
      </c>
      <c r="J52" s="309">
        <f t="shared" si="3"/>
        <v>-1.6405480433420161E-3</v>
      </c>
      <c r="K52" s="310">
        <v>109.4868</v>
      </c>
      <c r="L52" s="311">
        <f t="shared" si="4"/>
        <v>109.4868</v>
      </c>
      <c r="M52" s="312">
        <f t="shared" si="5"/>
        <v>-1.6704659432843494E-3</v>
      </c>
    </row>
    <row r="53" spans="1:13" ht="15">
      <c r="A53" s="314">
        <v>41259</v>
      </c>
      <c r="B53" s="295">
        <f>1.8831*100</f>
        <v>188.31</v>
      </c>
      <c r="C53" s="296">
        <v>117.38</v>
      </c>
      <c r="D53" s="297">
        <v>2</v>
      </c>
      <c r="E53" s="298">
        <f t="shared" si="0"/>
        <v>119.38</v>
      </c>
      <c r="F53" s="308">
        <f t="shared" si="2"/>
        <v>-1.0247396696955624E-2</v>
      </c>
      <c r="G53" s="300">
        <v>108.64</v>
      </c>
      <c r="H53" s="301">
        <v>2</v>
      </c>
      <c r="I53" s="302">
        <f t="shared" si="1"/>
        <v>110.64</v>
      </c>
      <c r="J53" s="309">
        <f t="shared" si="3"/>
        <v>-7.5955180344220441E-3</v>
      </c>
      <c r="K53" s="310">
        <v>108.64</v>
      </c>
      <c r="L53" s="311">
        <f t="shared" si="4"/>
        <v>108.64</v>
      </c>
      <c r="M53" s="312">
        <f t="shared" si="5"/>
        <v>-7.7342656831691503E-3</v>
      </c>
    </row>
    <row r="54" spans="1:13" ht="15">
      <c r="A54" s="315">
        <v>41275</v>
      </c>
      <c r="B54" s="316">
        <f>1.8857*100</f>
        <v>188.57</v>
      </c>
      <c r="C54" s="296">
        <v>117.58</v>
      </c>
      <c r="D54" s="297">
        <v>2</v>
      </c>
      <c r="E54" s="298">
        <f t="shared" si="0"/>
        <v>119.58</v>
      </c>
      <c r="F54" s="308">
        <f t="shared" si="2"/>
        <v>1.6753224995811333E-3</v>
      </c>
      <c r="G54" s="300">
        <v>108.47</v>
      </c>
      <c r="H54" s="301">
        <v>2</v>
      </c>
      <c r="I54" s="302">
        <f t="shared" si="1"/>
        <v>110.47</v>
      </c>
      <c r="J54" s="309">
        <f t="shared" si="3"/>
        <v>-1.536514822848889E-3</v>
      </c>
      <c r="K54" s="310">
        <v>108.47</v>
      </c>
      <c r="L54" s="311">
        <f t="shared" si="4"/>
        <v>108.47</v>
      </c>
      <c r="M54" s="312">
        <f t="shared" si="5"/>
        <v>-1.5648011782032345E-3</v>
      </c>
    </row>
    <row r="55" spans="1:13" ht="15">
      <c r="A55" s="315">
        <v>41290</v>
      </c>
      <c r="B55" s="316">
        <f>1.8867*100</f>
        <v>188.67000000000002</v>
      </c>
      <c r="C55" s="296">
        <v>118.34</v>
      </c>
      <c r="D55" s="297">
        <v>2</v>
      </c>
      <c r="E55" s="298">
        <f t="shared" si="0"/>
        <v>120.34</v>
      </c>
      <c r="F55" s="308">
        <f t="shared" si="2"/>
        <v>6.3555778558288534E-3</v>
      </c>
      <c r="G55" s="300">
        <v>109.57</v>
      </c>
      <c r="H55" s="301">
        <v>2</v>
      </c>
      <c r="I55" s="302">
        <f t="shared" si="1"/>
        <v>111.57</v>
      </c>
      <c r="J55" s="309">
        <f t="shared" si="3"/>
        <v>9.9574545125373781E-3</v>
      </c>
      <c r="K55" s="310">
        <v>109.57</v>
      </c>
      <c r="L55" s="311">
        <f t="shared" si="4"/>
        <v>109.57</v>
      </c>
      <c r="M55" s="312">
        <f t="shared" si="5"/>
        <v>1.0141052825666019E-2</v>
      </c>
    </row>
    <row r="56" spans="1:13" ht="15">
      <c r="A56" s="315">
        <v>41306</v>
      </c>
      <c r="B56" s="316">
        <f>1.8869*100</f>
        <v>188.69</v>
      </c>
      <c r="C56" s="296">
        <v>120.18</v>
      </c>
      <c r="D56" s="297">
        <v>2</v>
      </c>
      <c r="E56" s="298">
        <f t="shared" si="0"/>
        <v>122.18</v>
      </c>
      <c r="F56" s="308">
        <f t="shared" si="2"/>
        <v>1.529001163370447E-2</v>
      </c>
      <c r="G56" s="300">
        <v>111.6301</v>
      </c>
      <c r="H56" s="301">
        <v>2</v>
      </c>
      <c r="I56" s="302">
        <f t="shared" si="1"/>
        <v>113.6301</v>
      </c>
      <c r="J56" s="309">
        <f t="shared" si="3"/>
        <v>1.8464641032535756E-2</v>
      </c>
      <c r="K56" s="310">
        <v>111.6301</v>
      </c>
      <c r="L56" s="311">
        <f t="shared" si="4"/>
        <v>111.6301</v>
      </c>
      <c r="M56" s="312">
        <f t="shared" si="5"/>
        <v>1.8801679291776896E-2</v>
      </c>
    </row>
    <row r="57" spans="1:13" ht="15">
      <c r="A57" s="315">
        <v>41321</v>
      </c>
      <c r="B57" s="316">
        <f>1.887*100</f>
        <v>188.7</v>
      </c>
      <c r="C57" s="296">
        <v>123.27000000000001</v>
      </c>
      <c r="D57" s="297">
        <v>2</v>
      </c>
      <c r="E57" s="298">
        <f t="shared" si="0"/>
        <v>125.27000000000001</v>
      </c>
      <c r="F57" s="308">
        <f t="shared" si="2"/>
        <v>2.5290554918972141E-2</v>
      </c>
      <c r="G57" s="300">
        <v>114.88</v>
      </c>
      <c r="H57" s="301">
        <v>2</v>
      </c>
      <c r="I57" s="302">
        <f t="shared" si="1"/>
        <v>116.88</v>
      </c>
      <c r="J57" s="309">
        <f t="shared" si="3"/>
        <v>2.860069647038932E-2</v>
      </c>
      <c r="K57" s="310">
        <v>114.88</v>
      </c>
      <c r="L57" s="311">
        <f t="shared" si="4"/>
        <v>114.88</v>
      </c>
      <c r="M57" s="312">
        <f t="shared" si="5"/>
        <v>2.9113115548583979E-2</v>
      </c>
    </row>
    <row r="58" spans="1:13" ht="15">
      <c r="A58" s="315">
        <v>41322</v>
      </c>
      <c r="B58" s="316">
        <f>1.887*100</f>
        <v>188.7</v>
      </c>
      <c r="C58" s="296">
        <v>123.27000000000001</v>
      </c>
      <c r="D58" s="297">
        <v>2</v>
      </c>
      <c r="E58" s="298">
        <f t="shared" si="0"/>
        <v>125.27000000000001</v>
      </c>
      <c r="F58" s="308">
        <f t="shared" si="2"/>
        <v>0</v>
      </c>
      <c r="G58" s="300">
        <v>114.88</v>
      </c>
      <c r="H58" s="301">
        <v>2</v>
      </c>
      <c r="I58" s="302">
        <f t="shared" si="1"/>
        <v>116.88</v>
      </c>
      <c r="J58" s="309">
        <f t="shared" si="3"/>
        <v>0</v>
      </c>
      <c r="K58" s="310">
        <v>114.88</v>
      </c>
      <c r="L58" s="311">
        <f t="shared" si="4"/>
        <v>114.88</v>
      </c>
      <c r="M58" s="312">
        <f t="shared" si="5"/>
        <v>0</v>
      </c>
    </row>
    <row r="59" spans="1:13" ht="15">
      <c r="A59" s="315">
        <v>41334</v>
      </c>
      <c r="B59" s="316">
        <f>1.887*100</f>
        <v>188.7</v>
      </c>
      <c r="C59" s="296">
        <v>123.24</v>
      </c>
      <c r="D59" s="297">
        <v>2</v>
      </c>
      <c r="E59" s="298">
        <f t="shared" si="0"/>
        <v>125.24</v>
      </c>
      <c r="F59" s="308">
        <f t="shared" si="2"/>
        <v>-2.3948271733065241E-4</v>
      </c>
      <c r="G59" s="300">
        <v>114.22</v>
      </c>
      <c r="H59" s="301">
        <v>2</v>
      </c>
      <c r="I59" s="302">
        <f t="shared" si="1"/>
        <v>116.22</v>
      </c>
      <c r="J59" s="309">
        <f t="shared" si="3"/>
        <v>-5.6468172484599455E-3</v>
      </c>
      <c r="K59" s="310">
        <v>114.22</v>
      </c>
      <c r="L59" s="311">
        <f t="shared" si="4"/>
        <v>114.22</v>
      </c>
      <c r="M59" s="312">
        <f t="shared" si="5"/>
        <v>-5.7451253481893838E-3</v>
      </c>
    </row>
    <row r="60" spans="1:13" ht="15">
      <c r="A60" s="317">
        <v>41349</v>
      </c>
      <c r="B60" s="318">
        <f>1.8902*100</f>
        <v>189.02</v>
      </c>
      <c r="C60" s="296">
        <v>101.3651</v>
      </c>
      <c r="D60" s="297">
        <v>2</v>
      </c>
      <c r="E60" s="298">
        <f t="shared" si="0"/>
        <v>103.3651</v>
      </c>
      <c r="F60" s="308">
        <f t="shared" si="2"/>
        <v>-0.17466384541679969</v>
      </c>
      <c r="G60" s="300">
        <v>108.5197</v>
      </c>
      <c r="H60" s="301">
        <v>2</v>
      </c>
      <c r="I60" s="302">
        <f t="shared" si="1"/>
        <v>110.5197</v>
      </c>
      <c r="J60" s="309">
        <f t="shared" si="3"/>
        <v>-4.9047496128033052E-2</v>
      </c>
      <c r="K60" s="310">
        <v>108.5197</v>
      </c>
      <c r="L60" s="311">
        <f t="shared" si="4"/>
        <v>108.5197</v>
      </c>
      <c r="M60" s="312">
        <f t="shared" si="5"/>
        <v>-4.9906321134652432E-2</v>
      </c>
    </row>
    <row r="61" spans="1:13" ht="15">
      <c r="A61" s="319">
        <v>41365</v>
      </c>
      <c r="B61" s="318">
        <f>1.897*100</f>
        <v>189.7</v>
      </c>
      <c r="C61" s="296">
        <v>99.069199999999995</v>
      </c>
      <c r="D61" s="297">
        <v>2</v>
      </c>
      <c r="E61" s="298">
        <f t="shared" si="0"/>
        <v>101.0692</v>
      </c>
      <c r="F61" s="308">
        <f t="shared" si="2"/>
        <v>-2.2211558833687639E-2</v>
      </c>
      <c r="G61" s="300">
        <v>106.9932</v>
      </c>
      <c r="H61" s="301">
        <v>2</v>
      </c>
      <c r="I61" s="302">
        <f t="shared" si="1"/>
        <v>108.9932</v>
      </c>
      <c r="J61" s="309">
        <f t="shared" si="3"/>
        <v>-1.3812017224078543E-2</v>
      </c>
      <c r="K61" s="310">
        <v>106.9933</v>
      </c>
      <c r="L61" s="311">
        <f t="shared" si="4"/>
        <v>106.9933</v>
      </c>
      <c r="M61" s="312">
        <f t="shared" si="5"/>
        <v>-1.4065648909829198E-2</v>
      </c>
    </row>
    <row r="62" spans="1:13" ht="15">
      <c r="A62" s="319">
        <v>41380</v>
      </c>
      <c r="B62" s="318">
        <f>1.9041*100</f>
        <v>190.41</v>
      </c>
      <c r="C62" s="296">
        <v>96.814599999999999</v>
      </c>
      <c r="D62" s="297">
        <v>2</v>
      </c>
      <c r="E62" s="298">
        <f t="shared" si="0"/>
        <v>98.814599999999999</v>
      </c>
      <c r="F62" s="308">
        <f t="shared" si="2"/>
        <v>-2.2307488334725067E-2</v>
      </c>
      <c r="G62" s="300">
        <v>105.8835</v>
      </c>
      <c r="H62" s="301">
        <v>2</v>
      </c>
      <c r="I62" s="302">
        <f t="shared" si="1"/>
        <v>107.8835</v>
      </c>
      <c r="J62" s="309">
        <f t="shared" si="3"/>
        <v>-1.0181369112935545E-2</v>
      </c>
      <c r="K62" s="310">
        <v>105.8835</v>
      </c>
      <c r="L62" s="311">
        <f t="shared" si="4"/>
        <v>105.8835</v>
      </c>
      <c r="M62" s="312">
        <f t="shared" si="5"/>
        <v>-1.0372612116833602E-2</v>
      </c>
    </row>
    <row r="63" spans="1:13" ht="15">
      <c r="A63" s="319">
        <v>41395</v>
      </c>
      <c r="B63" s="318">
        <f>1.9077*100</f>
        <v>190.76999999999998</v>
      </c>
      <c r="C63" s="296">
        <v>92.241500000000002</v>
      </c>
      <c r="D63" s="297">
        <v>2</v>
      </c>
      <c r="E63" s="298">
        <f t="shared" si="0"/>
        <v>94.241500000000002</v>
      </c>
      <c r="F63" s="308">
        <f t="shared" si="2"/>
        <v>-4.6279598358946905E-2</v>
      </c>
      <c r="G63" s="300">
        <v>101.255</v>
      </c>
      <c r="H63" s="301">
        <v>2</v>
      </c>
      <c r="I63" s="302">
        <f t="shared" si="1"/>
        <v>103.255</v>
      </c>
      <c r="J63" s="309">
        <f t="shared" si="3"/>
        <v>-4.2902760848507859E-2</v>
      </c>
      <c r="K63" s="310">
        <v>101.255</v>
      </c>
      <c r="L63" s="311">
        <f>K63</f>
        <v>101.255</v>
      </c>
      <c r="M63" s="312">
        <f t="shared" si="5"/>
        <v>-4.3713137552121029E-2</v>
      </c>
    </row>
    <row r="64" spans="1:13" ht="15">
      <c r="A64" s="319">
        <v>41410</v>
      </c>
      <c r="B64" s="318">
        <f>1.9155*100</f>
        <v>191.55</v>
      </c>
      <c r="C64" s="320">
        <v>92.843199999999996</v>
      </c>
      <c r="D64" s="321">
        <v>2</v>
      </c>
      <c r="E64" s="298">
        <f t="shared" si="0"/>
        <v>94.843199999999996</v>
      </c>
      <c r="F64" s="308">
        <f t="shared" si="2"/>
        <v>6.38466068557908E-3</v>
      </c>
      <c r="G64" s="300">
        <v>102.20330000000001</v>
      </c>
      <c r="H64" s="301">
        <v>2</v>
      </c>
      <c r="I64" s="302">
        <f t="shared" si="1"/>
        <v>104.20330000000001</v>
      </c>
      <c r="J64" s="309">
        <f t="shared" si="3"/>
        <v>9.1840588833471681E-3</v>
      </c>
      <c r="K64" s="310">
        <v>102.20330000000001</v>
      </c>
      <c r="L64" s="311">
        <f t="shared" si="4"/>
        <v>102.20330000000001</v>
      </c>
      <c r="M64" s="312">
        <f t="shared" si="5"/>
        <v>9.3654634339046527E-3</v>
      </c>
    </row>
    <row r="65" spans="1:13" ht="15">
      <c r="A65" s="319">
        <v>41426</v>
      </c>
      <c r="B65" s="322">
        <f>1.9216*100</f>
        <v>192.16</v>
      </c>
      <c r="C65" s="321">
        <v>94.023600000000002</v>
      </c>
      <c r="D65" s="321">
        <v>2</v>
      </c>
      <c r="E65" s="298">
        <f t="shared" si="0"/>
        <v>96.023600000000002</v>
      </c>
      <c r="F65" s="308">
        <f t="shared" si="2"/>
        <v>1.24458052870422E-2</v>
      </c>
      <c r="G65" s="301">
        <v>103.33160000000001</v>
      </c>
      <c r="H65" s="301">
        <v>2</v>
      </c>
      <c r="I65" s="302">
        <f t="shared" si="1"/>
        <v>105.33160000000001</v>
      </c>
      <c r="J65" s="309">
        <f t="shared" si="3"/>
        <v>1.0827872053956078E-2</v>
      </c>
      <c r="K65" s="310">
        <v>103.33160000000001</v>
      </c>
      <c r="L65" s="311">
        <f t="shared" si="4"/>
        <v>103.33160000000001</v>
      </c>
      <c r="M65" s="312">
        <f t="shared" si="5"/>
        <v>1.1039760947053612E-2</v>
      </c>
    </row>
    <row r="66" spans="1:13" ht="15">
      <c r="A66" s="319">
        <v>41441</v>
      </c>
      <c r="B66" s="323">
        <f>1.94*100</f>
        <v>194</v>
      </c>
      <c r="C66" s="321">
        <v>94.335399999999993</v>
      </c>
      <c r="D66" s="321">
        <v>2</v>
      </c>
      <c r="E66" s="298">
        <f t="shared" si="0"/>
        <v>96.335399999999993</v>
      </c>
      <c r="F66" s="308">
        <f t="shared" si="2"/>
        <v>3.2471184167224276E-3</v>
      </c>
      <c r="G66" s="301">
        <v>103.25040000000001</v>
      </c>
      <c r="H66" s="301">
        <v>2</v>
      </c>
      <c r="I66" s="302">
        <f t="shared" si="1"/>
        <v>105.25040000000001</v>
      </c>
      <c r="J66" s="309">
        <f t="shared" si="3"/>
        <v>-7.7089876162517168E-4</v>
      </c>
      <c r="K66" s="310">
        <v>103.25040000000001</v>
      </c>
      <c r="L66" s="311">
        <f t="shared" si="4"/>
        <v>103.25040000000001</v>
      </c>
      <c r="M66" s="312">
        <f t="shared" si="5"/>
        <v>-7.8581963310342395E-4</v>
      </c>
    </row>
    <row r="67" spans="1:13" ht="15">
      <c r="A67" s="315">
        <v>41456</v>
      </c>
      <c r="B67" s="323">
        <f>1.9883*100</f>
        <v>198.82999999999998</v>
      </c>
      <c r="C67" s="324">
        <v>95.822999999999993</v>
      </c>
      <c r="D67" s="321">
        <v>2</v>
      </c>
      <c r="E67" s="298">
        <f t="shared" si="0"/>
        <v>97.822999999999993</v>
      </c>
      <c r="F67" s="308">
        <f t="shared" si="2"/>
        <v>1.544188325371576E-2</v>
      </c>
      <c r="G67" s="301">
        <v>104.63499999999999</v>
      </c>
      <c r="H67" s="301">
        <v>2</v>
      </c>
      <c r="I67" s="302">
        <f t="shared" si="1"/>
        <v>106.63499999999999</v>
      </c>
      <c r="J67" s="309">
        <f t="shared" si="3"/>
        <v>1.3155294421683728E-2</v>
      </c>
      <c r="K67" s="310">
        <v>104.63499999999999</v>
      </c>
      <c r="L67" s="311">
        <f t="shared" si="4"/>
        <v>104.63499999999999</v>
      </c>
      <c r="M67" s="312">
        <f t="shared" si="5"/>
        <v>1.3410117539496058E-2</v>
      </c>
    </row>
    <row r="68" spans="1:13" ht="15">
      <c r="A68" s="315">
        <v>41471</v>
      </c>
      <c r="B68" s="323">
        <f>1.9932*100</f>
        <v>199.32000000000002</v>
      </c>
      <c r="C68" s="324">
        <v>95.823000000000008</v>
      </c>
      <c r="D68" s="321">
        <v>2</v>
      </c>
      <c r="E68" s="298">
        <f t="shared" si="0"/>
        <v>97.823000000000008</v>
      </c>
      <c r="F68" s="308">
        <f t="shared" si="2"/>
        <v>0</v>
      </c>
      <c r="G68" s="301">
        <v>106.30000000000001</v>
      </c>
      <c r="H68" s="301">
        <v>2</v>
      </c>
      <c r="I68" s="302">
        <f t="shared" si="1"/>
        <v>108.30000000000001</v>
      </c>
      <c r="J68" s="309">
        <f t="shared" si="3"/>
        <v>1.5614010409340517E-2</v>
      </c>
      <c r="K68" s="310">
        <v>106.30000000000001</v>
      </c>
      <c r="L68" s="311">
        <f t="shared" si="4"/>
        <v>106.30000000000001</v>
      </c>
      <c r="M68" s="312">
        <f t="shared" si="5"/>
        <v>1.5912457590672613E-2</v>
      </c>
    </row>
    <row r="69" spans="1:13" ht="15">
      <c r="A69" s="315">
        <v>41472</v>
      </c>
      <c r="B69" s="323">
        <f>1.9932*100</f>
        <v>199.32000000000002</v>
      </c>
      <c r="C69" s="324">
        <v>95.823000000000008</v>
      </c>
      <c r="D69" s="321">
        <v>2</v>
      </c>
      <c r="E69" s="298">
        <f t="shared" si="0"/>
        <v>97.823000000000008</v>
      </c>
      <c r="F69" s="308">
        <f t="shared" si="2"/>
        <v>0</v>
      </c>
      <c r="G69" s="301">
        <v>106.30000000000001</v>
      </c>
      <c r="H69" s="301">
        <v>2</v>
      </c>
      <c r="I69" s="302">
        <f t="shared" si="1"/>
        <v>108.30000000000001</v>
      </c>
      <c r="J69" s="309">
        <f t="shared" si="3"/>
        <v>0</v>
      </c>
      <c r="K69" s="310">
        <v>106.30000000000001</v>
      </c>
      <c r="L69" s="311">
        <f t="shared" si="4"/>
        <v>106.30000000000001</v>
      </c>
      <c r="M69" s="312">
        <f t="shared" si="5"/>
        <v>0</v>
      </c>
    </row>
    <row r="70" spans="1:13" ht="15">
      <c r="A70" s="315">
        <v>41487</v>
      </c>
      <c r="B70" s="323">
        <f>1.9919*100</f>
        <v>199.19</v>
      </c>
      <c r="C70" s="324">
        <v>95.823000000000008</v>
      </c>
      <c r="D70" s="321">
        <v>2</v>
      </c>
      <c r="E70" s="298">
        <f t="shared" ref="E70:E133" si="6">C70+D70</f>
        <v>97.823000000000008</v>
      </c>
      <c r="F70" s="308">
        <f t="shared" si="2"/>
        <v>0</v>
      </c>
      <c r="G70" s="301">
        <v>107.8691</v>
      </c>
      <c r="H70" s="301">
        <v>2</v>
      </c>
      <c r="I70" s="302">
        <f t="shared" si="1"/>
        <v>109.8691</v>
      </c>
      <c r="J70" s="309">
        <f t="shared" si="3"/>
        <v>1.4488457987072767E-2</v>
      </c>
      <c r="K70" s="310">
        <v>107.8691</v>
      </c>
      <c r="L70" s="311">
        <f t="shared" si="4"/>
        <v>107.8691</v>
      </c>
      <c r="M70" s="312">
        <f t="shared" si="5"/>
        <v>1.4761053621825004E-2</v>
      </c>
    </row>
    <row r="71" spans="1:13" ht="15">
      <c r="A71" s="315">
        <v>41502</v>
      </c>
      <c r="B71" s="322">
        <f>1.9984*100</f>
        <v>199.84</v>
      </c>
      <c r="C71" s="324">
        <v>97.304299999999998</v>
      </c>
      <c r="D71" s="321">
        <v>2</v>
      </c>
      <c r="E71" s="298">
        <f t="shared" si="6"/>
        <v>99.304299999999998</v>
      </c>
      <c r="F71" s="308">
        <f t="shared" si="2"/>
        <v>1.5142655612688127E-2</v>
      </c>
      <c r="G71" s="301">
        <v>107.25239999999999</v>
      </c>
      <c r="H71" s="301">
        <v>2</v>
      </c>
      <c r="I71" s="302">
        <f t="shared" ref="I71:I134" si="7">G71+H71</f>
        <v>109.25239999999999</v>
      </c>
      <c r="J71" s="309">
        <f t="shared" si="3"/>
        <v>-5.6130431577213757E-3</v>
      </c>
      <c r="K71" s="310">
        <v>107.25239999999999</v>
      </c>
      <c r="L71" s="311">
        <f t="shared" si="4"/>
        <v>107.25239999999999</v>
      </c>
      <c r="M71" s="312">
        <f t="shared" si="5"/>
        <v>-5.7171145397524326E-3</v>
      </c>
    </row>
    <row r="72" spans="1:13" ht="15">
      <c r="A72" s="325">
        <v>41518</v>
      </c>
      <c r="B72" s="322">
        <f>1.9958*100</f>
        <v>199.58</v>
      </c>
      <c r="C72" s="324">
        <v>109.9575</v>
      </c>
      <c r="D72" s="321">
        <v>2</v>
      </c>
      <c r="E72" s="298">
        <f t="shared" si="6"/>
        <v>111.9575</v>
      </c>
      <c r="F72" s="308">
        <f t="shared" ref="F72:F135" si="8">E72/E71-1</f>
        <v>0.12741845015774733</v>
      </c>
      <c r="G72" s="301">
        <v>108.9931</v>
      </c>
      <c r="H72" s="301">
        <v>2</v>
      </c>
      <c r="I72" s="302">
        <f t="shared" si="7"/>
        <v>110.9931</v>
      </c>
      <c r="J72" s="309">
        <f t="shared" ref="J72:J135" si="9">I72/I71-1</f>
        <v>1.5932830766189232E-2</v>
      </c>
      <c r="K72" s="310">
        <v>108.9931</v>
      </c>
      <c r="L72" s="311">
        <f t="shared" ref="L72:L82" si="10">K72</f>
        <v>108.9931</v>
      </c>
      <c r="M72" s="312">
        <f t="shared" ref="M72:M82" si="11">L72/L71-1</f>
        <v>1.6229939842838048E-2</v>
      </c>
    </row>
    <row r="73" spans="1:13" ht="15">
      <c r="A73" s="326">
        <v>41533</v>
      </c>
      <c r="B73" s="295">
        <f>1.998*100</f>
        <v>199.8</v>
      </c>
      <c r="C73" s="324">
        <v>112.1086</v>
      </c>
      <c r="D73" s="321">
        <v>2</v>
      </c>
      <c r="E73" s="298">
        <f t="shared" si="6"/>
        <v>114.1086</v>
      </c>
      <c r="F73" s="308">
        <f t="shared" si="8"/>
        <v>1.9213540852555555E-2</v>
      </c>
      <c r="G73" s="301">
        <v>111.33869999999999</v>
      </c>
      <c r="H73" s="301">
        <v>2</v>
      </c>
      <c r="I73" s="302">
        <f t="shared" si="7"/>
        <v>113.33869999999999</v>
      </c>
      <c r="J73" s="309">
        <f t="shared" si="9"/>
        <v>2.1132845194881344E-2</v>
      </c>
      <c r="K73" s="310">
        <v>111.33869999999999</v>
      </c>
      <c r="L73" s="311">
        <f t="shared" si="10"/>
        <v>111.33869999999999</v>
      </c>
      <c r="M73" s="312">
        <f t="shared" si="11"/>
        <v>2.1520628370052641E-2</v>
      </c>
    </row>
    <row r="74" spans="1:13" ht="15">
      <c r="A74" s="325">
        <v>41548</v>
      </c>
      <c r="B74" s="322">
        <f>1.9997*100</f>
        <v>199.97</v>
      </c>
      <c r="C74" s="324">
        <v>98.374899999999997</v>
      </c>
      <c r="D74" s="321">
        <v>2</v>
      </c>
      <c r="E74" s="298">
        <f t="shared" si="6"/>
        <v>100.3749</v>
      </c>
      <c r="F74" s="308">
        <f t="shared" si="8"/>
        <v>-0.12035639732675718</v>
      </c>
      <c r="G74" s="301">
        <v>108.5873</v>
      </c>
      <c r="H74" s="301">
        <v>2</v>
      </c>
      <c r="I74" s="302">
        <f t="shared" si="7"/>
        <v>110.5873</v>
      </c>
      <c r="J74" s="309">
        <f t="shared" si="9"/>
        <v>-2.4275909287824859E-2</v>
      </c>
      <c r="K74" s="310">
        <v>108.584</v>
      </c>
      <c r="L74" s="311">
        <f t="shared" si="10"/>
        <v>108.584</v>
      </c>
      <c r="M74" s="312">
        <f t="shared" si="11"/>
        <v>-2.474162173619765E-2</v>
      </c>
    </row>
    <row r="75" spans="1:13" ht="15">
      <c r="A75" s="325">
        <v>41563</v>
      </c>
      <c r="B75" s="322">
        <f>2.0002*100</f>
        <v>200.02</v>
      </c>
      <c r="C75" s="324">
        <v>99.563800000000001</v>
      </c>
      <c r="D75" s="321">
        <v>2</v>
      </c>
      <c r="E75" s="298">
        <f t="shared" si="6"/>
        <v>101.5638</v>
      </c>
      <c r="F75" s="308">
        <f t="shared" si="8"/>
        <v>1.184459461478915E-2</v>
      </c>
      <c r="G75" s="301">
        <v>108.44900000000001</v>
      </c>
      <c r="H75" s="301">
        <v>2</v>
      </c>
      <c r="I75" s="302">
        <f t="shared" si="7"/>
        <v>110.44900000000001</v>
      </c>
      <c r="J75" s="309">
        <f t="shared" si="9"/>
        <v>-1.250595683229383E-3</v>
      </c>
      <c r="K75" s="310">
        <v>108.44900000000001</v>
      </c>
      <c r="L75" s="311">
        <f t="shared" si="10"/>
        <v>108.44900000000001</v>
      </c>
      <c r="M75" s="312">
        <f t="shared" si="11"/>
        <v>-1.24327709423111E-3</v>
      </c>
    </row>
    <row r="76" spans="1:13" ht="15">
      <c r="A76" s="325">
        <v>41579</v>
      </c>
      <c r="B76" s="322">
        <f>2.0002*100</f>
        <v>200.02</v>
      </c>
      <c r="C76" s="324">
        <v>99.963499999999996</v>
      </c>
      <c r="D76" s="321">
        <v>2</v>
      </c>
      <c r="E76" s="298">
        <f t="shared" si="6"/>
        <v>101.9635</v>
      </c>
      <c r="F76" s="308">
        <f t="shared" si="8"/>
        <v>3.9354573184540165E-3</v>
      </c>
      <c r="G76" s="301">
        <v>108.94239999999999</v>
      </c>
      <c r="H76" s="301">
        <v>2</v>
      </c>
      <c r="I76" s="302">
        <f t="shared" si="7"/>
        <v>110.94239999999999</v>
      </c>
      <c r="J76" s="309">
        <f t="shared" si="9"/>
        <v>4.4672201649629262E-3</v>
      </c>
      <c r="K76" s="310">
        <v>108.94239999999999</v>
      </c>
      <c r="L76" s="311">
        <f t="shared" si="10"/>
        <v>108.94239999999999</v>
      </c>
      <c r="M76" s="312">
        <f t="shared" si="11"/>
        <v>4.549603961308879E-3</v>
      </c>
    </row>
    <row r="77" spans="1:13" ht="15">
      <c r="A77" s="325">
        <v>41594</v>
      </c>
      <c r="B77" s="322">
        <f>2.0401*100</f>
        <v>204.01</v>
      </c>
      <c r="C77" s="324">
        <v>99</v>
      </c>
      <c r="D77" s="321">
        <v>2</v>
      </c>
      <c r="E77" s="298">
        <f t="shared" si="6"/>
        <v>101</v>
      </c>
      <c r="F77" s="308">
        <f t="shared" si="8"/>
        <v>-9.4494598557326448E-3</v>
      </c>
      <c r="G77" s="301">
        <v>108</v>
      </c>
      <c r="H77" s="301">
        <v>2</v>
      </c>
      <c r="I77" s="302">
        <f t="shared" si="7"/>
        <v>110</v>
      </c>
      <c r="J77" s="309">
        <f t="shared" si="9"/>
        <v>-8.494498045832688E-3</v>
      </c>
      <c r="K77" s="310">
        <v>108</v>
      </c>
      <c r="L77" s="311">
        <f t="shared" si="10"/>
        <v>108</v>
      </c>
      <c r="M77" s="312">
        <f t="shared" si="11"/>
        <v>-8.6504428028021385E-3</v>
      </c>
    </row>
    <row r="78" spans="1:13" ht="15">
      <c r="A78" s="325">
        <v>41609</v>
      </c>
      <c r="B78" s="322">
        <f>2.0695*100</f>
        <v>206.95000000000002</v>
      </c>
      <c r="C78" s="324">
        <v>100.0026</v>
      </c>
      <c r="D78" s="321">
        <v>2</v>
      </c>
      <c r="E78" s="298">
        <f t="shared" si="6"/>
        <v>102.0026</v>
      </c>
      <c r="F78" s="308">
        <f t="shared" si="8"/>
        <v>9.9267326732672689E-3</v>
      </c>
      <c r="G78" s="301">
        <v>107.99539999999999</v>
      </c>
      <c r="H78" s="301">
        <v>2</v>
      </c>
      <c r="I78" s="302">
        <f t="shared" si="7"/>
        <v>109.99539999999999</v>
      </c>
      <c r="J78" s="309">
        <f t="shared" si="9"/>
        <v>-4.1818181818253919E-5</v>
      </c>
      <c r="K78" s="310">
        <v>108.0025</v>
      </c>
      <c r="L78" s="311">
        <f t="shared" si="10"/>
        <v>108.0025</v>
      </c>
      <c r="M78" s="312">
        <f t="shared" si="11"/>
        <v>2.3148148148077752E-5</v>
      </c>
    </row>
    <row r="79" spans="1:13" ht="15">
      <c r="A79" s="325">
        <v>41624</v>
      </c>
      <c r="B79" s="322">
        <f>2.0902*100</f>
        <v>209.01999999999998</v>
      </c>
      <c r="C79" s="324">
        <v>102</v>
      </c>
      <c r="D79" s="321">
        <v>2</v>
      </c>
      <c r="E79" s="298">
        <f t="shared" si="6"/>
        <v>104</v>
      </c>
      <c r="F79" s="308">
        <f t="shared" si="8"/>
        <v>1.9581853795883619E-2</v>
      </c>
      <c r="G79" s="301">
        <v>109</v>
      </c>
      <c r="H79" s="301">
        <v>2</v>
      </c>
      <c r="I79" s="302">
        <f t="shared" si="7"/>
        <v>111</v>
      </c>
      <c r="J79" s="309">
        <f t="shared" si="9"/>
        <v>9.1331092027486793E-3</v>
      </c>
      <c r="K79" s="310">
        <v>109</v>
      </c>
      <c r="L79" s="311">
        <f t="shared" si="10"/>
        <v>109</v>
      </c>
      <c r="M79" s="312">
        <f t="shared" si="11"/>
        <v>9.2358973171917658E-3</v>
      </c>
    </row>
    <row r="80" spans="1:13" ht="15">
      <c r="A80" s="325">
        <v>41640</v>
      </c>
      <c r="B80" s="322">
        <f>2.1148*100</f>
        <v>211.48</v>
      </c>
      <c r="C80" s="324">
        <v>102</v>
      </c>
      <c r="D80" s="321">
        <v>2</v>
      </c>
      <c r="E80" s="298">
        <f t="shared" si="6"/>
        <v>104</v>
      </c>
      <c r="F80" s="308">
        <f t="shared" si="8"/>
        <v>0</v>
      </c>
      <c r="G80" s="301">
        <v>109</v>
      </c>
      <c r="H80" s="301">
        <v>2</v>
      </c>
      <c r="I80" s="302">
        <f t="shared" si="7"/>
        <v>111</v>
      </c>
      <c r="J80" s="309">
        <f t="shared" si="9"/>
        <v>0</v>
      </c>
      <c r="K80" s="310">
        <v>109</v>
      </c>
      <c r="L80" s="311">
        <f t="shared" si="10"/>
        <v>109</v>
      </c>
      <c r="M80" s="312">
        <f t="shared" si="11"/>
        <v>0</v>
      </c>
    </row>
    <row r="81" spans="1:13" ht="15">
      <c r="A81" s="325">
        <v>41655</v>
      </c>
      <c r="B81" s="322">
        <f>2.2264*100</f>
        <v>222.64</v>
      </c>
      <c r="C81" s="324">
        <v>104</v>
      </c>
      <c r="D81" s="321">
        <v>2</v>
      </c>
      <c r="E81" s="298">
        <f t="shared" si="6"/>
        <v>106</v>
      </c>
      <c r="F81" s="308">
        <f t="shared" si="8"/>
        <v>1.9230769230769162E-2</v>
      </c>
      <c r="G81" s="301">
        <v>110</v>
      </c>
      <c r="H81" s="301">
        <v>2</v>
      </c>
      <c r="I81" s="302">
        <f t="shared" si="7"/>
        <v>112</v>
      </c>
      <c r="J81" s="309">
        <f t="shared" si="9"/>
        <v>9.009009009008917E-3</v>
      </c>
      <c r="K81" s="310">
        <v>110</v>
      </c>
      <c r="L81" s="311">
        <f t="shared" si="10"/>
        <v>110</v>
      </c>
      <c r="M81" s="312">
        <f t="shared" si="11"/>
        <v>9.1743119266054496E-3</v>
      </c>
    </row>
    <row r="82" spans="1:13" ht="15">
      <c r="A82" s="325">
        <v>41671</v>
      </c>
      <c r="B82" s="323">
        <f>2.301*100</f>
        <v>230.10000000000002</v>
      </c>
      <c r="C82" s="324">
        <v>101</v>
      </c>
      <c r="D82" s="321">
        <v>2</v>
      </c>
      <c r="E82" s="298">
        <f t="shared" si="6"/>
        <v>103</v>
      </c>
      <c r="F82" s="308">
        <f t="shared" si="8"/>
        <v>-2.8301886792452824E-2</v>
      </c>
      <c r="G82" s="301">
        <v>109</v>
      </c>
      <c r="H82" s="301">
        <v>2</v>
      </c>
      <c r="I82" s="302">
        <f t="shared" si="7"/>
        <v>111</v>
      </c>
      <c r="J82" s="309">
        <f t="shared" si="9"/>
        <v>-8.9285714285713969E-3</v>
      </c>
      <c r="K82" s="310">
        <v>109</v>
      </c>
      <c r="L82" s="311">
        <f t="shared" si="10"/>
        <v>109</v>
      </c>
      <c r="M82" s="312">
        <f t="shared" si="11"/>
        <v>-9.0909090909090384E-3</v>
      </c>
    </row>
    <row r="83" spans="1:13" ht="15">
      <c r="A83" s="325">
        <v>41686</v>
      </c>
      <c r="B83" s="323">
        <f>2.3973*100</f>
        <v>239.73</v>
      </c>
      <c r="C83" s="324">
        <f>88.6735+13.3265</f>
        <v>102</v>
      </c>
      <c r="D83" s="321">
        <v>2</v>
      </c>
      <c r="E83" s="298">
        <f t="shared" si="6"/>
        <v>104</v>
      </c>
      <c r="F83" s="308">
        <f t="shared" si="8"/>
        <v>9.7087378640776656E-3</v>
      </c>
      <c r="G83" s="301">
        <f>87.2851+21.7149</f>
        <v>109</v>
      </c>
      <c r="H83" s="301">
        <v>2</v>
      </c>
      <c r="I83" s="302">
        <f t="shared" si="7"/>
        <v>111</v>
      </c>
      <c r="J83" s="309">
        <f>I83/I82-1</f>
        <v>0</v>
      </c>
      <c r="K83" s="310"/>
      <c r="L83" s="311"/>
      <c r="M83" s="312"/>
    </row>
    <row r="84" spans="1:13" ht="15">
      <c r="A84" s="325">
        <v>41699</v>
      </c>
      <c r="B84" s="323">
        <f>2.4656*100</f>
        <v>246.55999999999997</v>
      </c>
      <c r="C84" s="324">
        <f>89.4417+13.5583</f>
        <v>103</v>
      </c>
      <c r="D84" s="321">
        <v>2</v>
      </c>
      <c r="E84" s="298">
        <f t="shared" si="6"/>
        <v>105</v>
      </c>
      <c r="F84" s="308">
        <f t="shared" si="8"/>
        <v>9.6153846153845812E-3</v>
      </c>
      <c r="G84" s="301">
        <f>88.5312+22.4688</f>
        <v>111</v>
      </c>
      <c r="H84" s="301">
        <v>2</v>
      </c>
      <c r="I84" s="302">
        <f t="shared" si="7"/>
        <v>113</v>
      </c>
      <c r="J84" s="309">
        <f>I84/I83-1</f>
        <v>1.8018018018018056E-2</v>
      </c>
      <c r="K84" s="310"/>
      <c r="L84" s="311" t="s">
        <v>50</v>
      </c>
      <c r="M84" s="312"/>
    </row>
    <row r="85" spans="1:13" ht="15">
      <c r="A85" s="325">
        <v>41714</v>
      </c>
      <c r="B85" s="323">
        <f>2.5335*100</f>
        <v>253.35000000000002</v>
      </c>
      <c r="C85" s="324">
        <f>88.0958+13.9042</f>
        <v>102</v>
      </c>
      <c r="D85" s="321">
        <v>2</v>
      </c>
      <c r="E85" s="298">
        <f t="shared" si="6"/>
        <v>104</v>
      </c>
      <c r="F85" s="308">
        <f t="shared" si="8"/>
        <v>-9.52380952380949E-3</v>
      </c>
      <c r="G85" s="301">
        <f>87.4576+23.5424</f>
        <v>111</v>
      </c>
      <c r="H85" s="301">
        <v>2</v>
      </c>
      <c r="I85" s="302">
        <f t="shared" si="7"/>
        <v>113</v>
      </c>
      <c r="J85" s="309">
        <f t="shared" si="9"/>
        <v>0</v>
      </c>
      <c r="K85" s="310"/>
      <c r="L85" s="311"/>
      <c r="M85" s="312"/>
    </row>
    <row r="86" spans="1:13" ht="15">
      <c r="A86" s="325">
        <v>41730</v>
      </c>
      <c r="B86" s="323">
        <f>2.5984*100</f>
        <v>259.83999999999997</v>
      </c>
      <c r="C86" s="324">
        <f>86.4629+13.5371</f>
        <v>100</v>
      </c>
      <c r="D86" s="321">
        <v>2</v>
      </c>
      <c r="E86" s="298">
        <f t="shared" si="6"/>
        <v>102</v>
      </c>
      <c r="F86" s="308">
        <f t="shared" si="8"/>
        <v>-1.9230769230769273E-2</v>
      </c>
      <c r="G86" s="301">
        <f>85.5391+23.4609</f>
        <v>109</v>
      </c>
      <c r="H86" s="301">
        <v>2</v>
      </c>
      <c r="I86" s="302">
        <f t="shared" si="7"/>
        <v>111</v>
      </c>
      <c r="J86" s="309">
        <f t="shared" si="9"/>
        <v>-1.7699115044247815E-2</v>
      </c>
      <c r="K86" s="310"/>
      <c r="L86" s="311"/>
      <c r="M86" s="312"/>
    </row>
    <row r="87" spans="1:13" ht="15">
      <c r="A87" s="325">
        <v>41745</v>
      </c>
      <c r="B87" s="323">
        <v>226.16</v>
      </c>
      <c r="C87" s="324">
        <f>86.4629+13.5371</f>
        <v>100</v>
      </c>
      <c r="D87" s="321">
        <v>2</v>
      </c>
      <c r="E87" s="298">
        <f t="shared" si="6"/>
        <v>102</v>
      </c>
      <c r="F87" s="308">
        <f t="shared" si="8"/>
        <v>0</v>
      </c>
      <c r="G87" s="301">
        <f>85.5391+23.4609</f>
        <v>109</v>
      </c>
      <c r="H87" s="301">
        <v>2</v>
      </c>
      <c r="I87" s="302">
        <f t="shared" si="7"/>
        <v>111</v>
      </c>
      <c r="J87" s="309">
        <f t="shared" si="9"/>
        <v>0</v>
      </c>
      <c r="K87" s="310"/>
      <c r="L87" s="311"/>
      <c r="M87" s="312"/>
    </row>
    <row r="88" spans="1:13" ht="15">
      <c r="A88" s="325">
        <v>41760</v>
      </c>
      <c r="B88" s="323">
        <f>2.7686*100</f>
        <v>276.86</v>
      </c>
      <c r="C88" s="324">
        <f>88.3418+13.6582</f>
        <v>102</v>
      </c>
      <c r="D88" s="321">
        <v>2</v>
      </c>
      <c r="E88" s="298">
        <f t="shared" si="6"/>
        <v>104</v>
      </c>
      <c r="F88" s="308">
        <f t="shared" si="8"/>
        <v>1.9607843137254832E-2</v>
      </c>
      <c r="G88" s="301">
        <f>87.6398+23.3602</f>
        <v>111</v>
      </c>
      <c r="H88" s="301">
        <v>2</v>
      </c>
      <c r="I88" s="302">
        <f t="shared" si="7"/>
        <v>113</v>
      </c>
      <c r="J88" s="309">
        <f t="shared" si="9"/>
        <v>1.8018018018018056E-2</v>
      </c>
      <c r="K88" s="310"/>
      <c r="L88" s="311"/>
      <c r="M88" s="312"/>
    </row>
    <row r="89" spans="1:13" ht="15">
      <c r="A89" s="325">
        <v>41775</v>
      </c>
      <c r="B89" s="323">
        <f>2.8158*100</f>
        <v>281.58</v>
      </c>
      <c r="C89" s="324">
        <f>88.3418+13.6582</f>
        <v>102</v>
      </c>
      <c r="D89" s="321">
        <v>2</v>
      </c>
      <c r="E89" s="298">
        <f t="shared" si="6"/>
        <v>104</v>
      </c>
      <c r="F89" s="308">
        <f t="shared" si="8"/>
        <v>0</v>
      </c>
      <c r="G89" s="301">
        <f>86.5657+24.4343</f>
        <v>111</v>
      </c>
      <c r="H89" s="301">
        <v>2</v>
      </c>
      <c r="I89" s="302">
        <f t="shared" si="7"/>
        <v>113</v>
      </c>
      <c r="J89" s="309">
        <f t="shared" si="9"/>
        <v>0</v>
      </c>
      <c r="K89" s="310"/>
      <c r="L89" s="311"/>
      <c r="M89" s="312"/>
    </row>
    <row r="90" spans="1:13" ht="15">
      <c r="A90" s="325">
        <v>41791</v>
      </c>
      <c r="B90" s="323">
        <v>287.86</v>
      </c>
      <c r="C90" s="324">
        <f>91.4094+10.5906</f>
        <v>102</v>
      </c>
      <c r="D90" s="321">
        <v>2</v>
      </c>
      <c r="E90" s="298">
        <f t="shared" si="6"/>
        <v>104</v>
      </c>
      <c r="F90" s="308">
        <f t="shared" si="8"/>
        <v>0</v>
      </c>
      <c r="G90" s="301">
        <f>87.1999+23.8001</f>
        <v>111</v>
      </c>
      <c r="H90" s="301">
        <v>2</v>
      </c>
      <c r="I90" s="302">
        <f t="shared" si="7"/>
        <v>113</v>
      </c>
      <c r="J90" s="309">
        <f t="shared" si="9"/>
        <v>0</v>
      </c>
      <c r="K90" s="310"/>
      <c r="L90" s="311"/>
      <c r="M90" s="312"/>
    </row>
    <row r="91" spans="1:13" ht="15">
      <c r="A91" s="325">
        <v>41806</v>
      </c>
      <c r="B91" s="323">
        <v>293.12</v>
      </c>
      <c r="C91" s="324">
        <f>89.6055+10.3945</f>
        <v>100</v>
      </c>
      <c r="D91" s="321">
        <v>2</v>
      </c>
      <c r="E91" s="298">
        <f t="shared" si="6"/>
        <v>102</v>
      </c>
      <c r="F91" s="308">
        <f t="shared" si="8"/>
        <v>-1.9230769230769273E-2</v>
      </c>
      <c r="G91" s="301">
        <f>85.4578+25.5422</f>
        <v>111</v>
      </c>
      <c r="H91" s="301">
        <v>2</v>
      </c>
      <c r="I91" s="302">
        <f t="shared" si="7"/>
        <v>113</v>
      </c>
      <c r="J91" s="309">
        <f t="shared" si="9"/>
        <v>0</v>
      </c>
      <c r="K91" s="310"/>
      <c r="L91" s="311"/>
      <c r="M91" s="312"/>
    </row>
    <row r="92" spans="1:13" ht="15">
      <c r="A92" s="325">
        <v>41821</v>
      </c>
      <c r="B92" s="323">
        <v>301.32</v>
      </c>
      <c r="C92" s="324">
        <f>90.1378+12.8622</f>
        <v>103</v>
      </c>
      <c r="D92" s="321">
        <v>2</v>
      </c>
      <c r="E92" s="298">
        <f t="shared" si="6"/>
        <v>105</v>
      </c>
      <c r="F92" s="308">
        <f t="shared" si="8"/>
        <v>2.9411764705882248E-2</v>
      </c>
      <c r="G92" s="301">
        <f>88.3276+24.6724</f>
        <v>113</v>
      </c>
      <c r="H92" s="301">
        <v>2</v>
      </c>
      <c r="I92" s="302">
        <f t="shared" si="7"/>
        <v>115</v>
      </c>
      <c r="J92" s="309">
        <f t="shared" si="9"/>
        <v>1.7699115044247815E-2</v>
      </c>
      <c r="K92" s="310"/>
      <c r="L92" s="311"/>
      <c r="M92" s="312"/>
    </row>
    <row r="93" spans="1:13" ht="15">
      <c r="A93" s="325">
        <v>41834</v>
      </c>
      <c r="B93" s="323">
        <f>3.1*100</f>
        <v>310</v>
      </c>
      <c r="C93" s="324">
        <f>88.0842+12.9158</f>
        <v>101</v>
      </c>
      <c r="D93" s="321">
        <v>2</v>
      </c>
      <c r="E93" s="298">
        <f t="shared" si="6"/>
        <v>103</v>
      </c>
      <c r="F93" s="308">
        <f t="shared" si="8"/>
        <v>-1.9047619047619091E-2</v>
      </c>
      <c r="G93" s="301">
        <f>85.9923+25.0077</f>
        <v>111</v>
      </c>
      <c r="H93" s="301">
        <v>2</v>
      </c>
      <c r="I93" s="302">
        <f t="shared" si="7"/>
        <v>113</v>
      </c>
      <c r="J93" s="309">
        <f t="shared" si="9"/>
        <v>-1.7391304347826098E-2</v>
      </c>
      <c r="K93" s="310"/>
      <c r="L93" s="311"/>
      <c r="M93" s="312"/>
    </row>
    <row r="94" spans="1:13" ht="15">
      <c r="A94" s="325">
        <v>41852</v>
      </c>
      <c r="B94" s="323">
        <f>3.15*100</f>
        <v>315</v>
      </c>
      <c r="C94" s="324">
        <f>87.2521+13.7479</f>
        <v>101</v>
      </c>
      <c r="D94" s="321">
        <v>2</v>
      </c>
      <c r="E94" s="298">
        <f t="shared" si="6"/>
        <v>103</v>
      </c>
      <c r="F94" s="308">
        <f t="shared" si="8"/>
        <v>0</v>
      </c>
      <c r="G94" s="301">
        <f>84.5783+26.4217</f>
        <v>111</v>
      </c>
      <c r="H94" s="301">
        <v>2</v>
      </c>
      <c r="I94" s="302">
        <f t="shared" si="7"/>
        <v>113</v>
      </c>
      <c r="J94" s="309">
        <f t="shared" si="9"/>
        <v>0</v>
      </c>
      <c r="K94" s="310"/>
      <c r="L94" s="327">
        <v>0</v>
      </c>
      <c r="M94" s="312"/>
    </row>
    <row r="95" spans="1:13" ht="15">
      <c r="A95" s="328">
        <v>41867</v>
      </c>
      <c r="B95" s="323">
        <f>3.15*100</f>
        <v>315</v>
      </c>
      <c r="C95" s="324">
        <f>87.3807+13.6193</f>
        <v>101</v>
      </c>
      <c r="D95" s="321">
        <v>2</v>
      </c>
      <c r="E95" s="298">
        <f t="shared" si="6"/>
        <v>103</v>
      </c>
      <c r="F95" s="308">
        <f t="shared" si="8"/>
        <v>0</v>
      </c>
      <c r="G95" s="301">
        <f>84.5962+26.4038</f>
        <v>111</v>
      </c>
      <c r="H95" s="301">
        <v>2</v>
      </c>
      <c r="I95" s="302">
        <f t="shared" si="7"/>
        <v>113</v>
      </c>
      <c r="J95" s="309">
        <f t="shared" si="9"/>
        <v>0</v>
      </c>
      <c r="K95" s="310">
        <v>107</v>
      </c>
      <c r="L95" s="311">
        <f t="shared" ref="L95:L136" si="12">K95</f>
        <v>107</v>
      </c>
      <c r="M95" s="312" t="e">
        <f>L95/L94-1</f>
        <v>#DIV/0!</v>
      </c>
    </row>
    <row r="96" spans="1:13" ht="15">
      <c r="A96" s="319">
        <v>41883</v>
      </c>
      <c r="B96" s="323">
        <f t="shared" ref="B96:B106" si="13">3.2*100</f>
        <v>320</v>
      </c>
      <c r="C96" s="324">
        <f>84.4088+13.5912</f>
        <v>98</v>
      </c>
      <c r="D96" s="321">
        <v>2</v>
      </c>
      <c r="E96" s="298">
        <f t="shared" si="6"/>
        <v>100</v>
      </c>
      <c r="F96" s="308">
        <f t="shared" si="8"/>
        <v>-2.9126213592232997E-2</v>
      </c>
      <c r="G96" s="301">
        <f>82.0243+25.9757</f>
        <v>108</v>
      </c>
      <c r="H96" s="301">
        <v>2</v>
      </c>
      <c r="I96" s="302">
        <f t="shared" si="7"/>
        <v>110</v>
      </c>
      <c r="J96" s="309">
        <f t="shared" si="9"/>
        <v>-2.6548672566371723E-2</v>
      </c>
      <c r="K96" s="310">
        <v>104</v>
      </c>
      <c r="L96" s="311">
        <f t="shared" si="12"/>
        <v>104</v>
      </c>
      <c r="M96" s="312">
        <f>L96/L95-1</f>
        <v>-2.8037383177570097E-2</v>
      </c>
    </row>
    <row r="97" spans="1:14" ht="15">
      <c r="A97" s="319">
        <v>41898</v>
      </c>
      <c r="B97" s="323">
        <f t="shared" si="13"/>
        <v>320</v>
      </c>
      <c r="C97" s="324">
        <f>83.2359+13.7641</f>
        <v>97</v>
      </c>
      <c r="D97" s="321">
        <v>2</v>
      </c>
      <c r="E97" s="298">
        <f t="shared" si="6"/>
        <v>99</v>
      </c>
      <c r="F97" s="308">
        <f t="shared" si="8"/>
        <v>-1.0000000000000009E-2</v>
      </c>
      <c r="G97" s="301">
        <f>81.2715+25.7285</f>
        <v>107</v>
      </c>
      <c r="H97" s="301">
        <v>2</v>
      </c>
      <c r="I97" s="302">
        <f t="shared" si="7"/>
        <v>109</v>
      </c>
      <c r="J97" s="309">
        <f t="shared" si="9"/>
        <v>-9.0909090909090384E-3</v>
      </c>
      <c r="K97" s="310">
        <f>81.2715+21.7285</f>
        <v>103</v>
      </c>
      <c r="L97" s="311">
        <f t="shared" si="12"/>
        <v>103</v>
      </c>
      <c r="M97" s="312">
        <f t="shared" ref="M97:M137" si="14">L97/L96-1</f>
        <v>-9.6153846153845812E-3</v>
      </c>
    </row>
    <row r="98" spans="1:14" ht="15">
      <c r="A98" s="319">
        <v>41913</v>
      </c>
      <c r="B98" s="323">
        <f t="shared" si="13"/>
        <v>320</v>
      </c>
      <c r="C98" s="324">
        <f>83.2359+13.7641</f>
        <v>97</v>
      </c>
      <c r="D98" s="321">
        <v>2</v>
      </c>
      <c r="E98" s="298">
        <f t="shared" si="6"/>
        <v>99</v>
      </c>
      <c r="F98" s="308">
        <f t="shared" si="8"/>
        <v>0</v>
      </c>
      <c r="G98" s="301">
        <f>78.4584+25.5416</f>
        <v>104</v>
      </c>
      <c r="H98" s="301">
        <v>2</v>
      </c>
      <c r="I98" s="302">
        <f t="shared" si="7"/>
        <v>106</v>
      </c>
      <c r="J98" s="309">
        <f t="shared" si="9"/>
        <v>-2.752293577981646E-2</v>
      </c>
      <c r="K98" s="310">
        <f>78.4584+21.5416</f>
        <v>100</v>
      </c>
      <c r="L98" s="311">
        <f t="shared" si="12"/>
        <v>100</v>
      </c>
      <c r="M98" s="312">
        <f t="shared" si="14"/>
        <v>-2.9126213592232997E-2</v>
      </c>
    </row>
    <row r="99" spans="1:14" ht="15">
      <c r="A99" s="319">
        <v>41928</v>
      </c>
      <c r="B99" s="323">
        <f t="shared" si="13"/>
        <v>320</v>
      </c>
      <c r="C99" s="324">
        <f>80.7582+13.2418</f>
        <v>94</v>
      </c>
      <c r="D99" s="321">
        <v>2</v>
      </c>
      <c r="E99" s="298">
        <f t="shared" si="6"/>
        <v>96</v>
      </c>
      <c r="F99" s="308">
        <f t="shared" si="8"/>
        <v>-3.0303030303030276E-2</v>
      </c>
      <c r="G99" s="301">
        <f>75.4206+25.5794</f>
        <v>101</v>
      </c>
      <c r="H99" s="301">
        <v>2</v>
      </c>
      <c r="I99" s="302">
        <f t="shared" si="7"/>
        <v>103</v>
      </c>
      <c r="J99" s="309">
        <f t="shared" si="9"/>
        <v>-2.8301886792452824E-2</v>
      </c>
      <c r="K99" s="310">
        <f>75.4206+21.5794</f>
        <v>97</v>
      </c>
      <c r="L99" s="311">
        <f t="shared" si="12"/>
        <v>97</v>
      </c>
      <c r="M99" s="312">
        <f t="shared" si="14"/>
        <v>-3.0000000000000027E-2</v>
      </c>
    </row>
    <row r="100" spans="1:14" ht="15">
      <c r="A100" s="319">
        <v>41933</v>
      </c>
      <c r="B100" s="323">
        <f t="shared" si="13"/>
        <v>320</v>
      </c>
      <c r="C100" s="324">
        <f>80.7582+13.2418</f>
        <v>94</v>
      </c>
      <c r="D100" s="321">
        <v>2</v>
      </c>
      <c r="E100" s="298">
        <f t="shared" si="6"/>
        <v>96</v>
      </c>
      <c r="F100" s="308">
        <f t="shared" si="8"/>
        <v>0</v>
      </c>
      <c r="G100" s="301">
        <f>75.4206+25.5794</f>
        <v>101</v>
      </c>
      <c r="H100" s="301">
        <v>2</v>
      </c>
      <c r="I100" s="302">
        <f t="shared" si="7"/>
        <v>103</v>
      </c>
      <c r="J100" s="309">
        <f t="shared" si="9"/>
        <v>0</v>
      </c>
      <c r="K100" s="310">
        <f>75.4206+21.5794</f>
        <v>97</v>
      </c>
      <c r="L100" s="311">
        <f t="shared" si="12"/>
        <v>97</v>
      </c>
      <c r="M100" s="312">
        <f t="shared" si="14"/>
        <v>0</v>
      </c>
    </row>
    <row r="101" spans="1:14" ht="15">
      <c r="A101" s="319">
        <v>41944</v>
      </c>
      <c r="B101" s="323">
        <f t="shared" si="13"/>
        <v>320</v>
      </c>
      <c r="C101" s="324">
        <f>78.1698+13.8302</f>
        <v>92</v>
      </c>
      <c r="D101" s="324">
        <v>2</v>
      </c>
      <c r="E101" s="298">
        <f>C101+D101</f>
        <v>94</v>
      </c>
      <c r="F101" s="308">
        <f t="shared" si="8"/>
        <v>-2.083333333333337E-2</v>
      </c>
      <c r="G101" s="301">
        <f>71.6793+25.3211</f>
        <v>97.000399999999999</v>
      </c>
      <c r="H101" s="301">
        <v>2</v>
      </c>
      <c r="I101" s="302">
        <f t="shared" si="7"/>
        <v>99.000399999999999</v>
      </c>
      <c r="J101" s="309">
        <f t="shared" si="9"/>
        <v>-3.8831067961165089E-2</v>
      </c>
      <c r="K101" s="329">
        <f>71.6793+21.3207</f>
        <v>93</v>
      </c>
      <c r="L101" s="311">
        <f t="shared" si="12"/>
        <v>93</v>
      </c>
      <c r="M101" s="312">
        <f t="shared" si="14"/>
        <v>-4.123711340206182E-2</v>
      </c>
    </row>
    <row r="102" spans="1:14" ht="15">
      <c r="A102" s="319">
        <v>41959</v>
      </c>
      <c r="B102" s="323">
        <f t="shared" si="13"/>
        <v>320</v>
      </c>
      <c r="C102" s="321">
        <f>74.8495+17.1505</f>
        <v>92</v>
      </c>
      <c r="D102" s="321">
        <v>2</v>
      </c>
      <c r="E102" s="298">
        <f t="shared" si="6"/>
        <v>94</v>
      </c>
      <c r="F102" s="308">
        <f t="shared" si="8"/>
        <v>0</v>
      </c>
      <c r="G102" s="301">
        <f>71.8152+26.1848</f>
        <v>98</v>
      </c>
      <c r="H102" s="301">
        <v>2</v>
      </c>
      <c r="I102" s="302">
        <f t="shared" si="7"/>
        <v>100</v>
      </c>
      <c r="J102" s="309">
        <f t="shared" si="9"/>
        <v>1.009692890129732E-2</v>
      </c>
      <c r="K102" s="329">
        <f>71.8152+22.1848</f>
        <v>94</v>
      </c>
      <c r="L102" s="311">
        <f t="shared" si="12"/>
        <v>94</v>
      </c>
      <c r="M102" s="312">
        <f t="shared" si="14"/>
        <v>1.0752688172043001E-2</v>
      </c>
    </row>
    <row r="103" spans="1:14" ht="15">
      <c r="A103" s="319">
        <v>41963</v>
      </c>
      <c r="B103" s="323">
        <f t="shared" si="13"/>
        <v>320</v>
      </c>
      <c r="C103" s="324">
        <f>74.8495+17.1505</f>
        <v>92</v>
      </c>
      <c r="D103" s="324">
        <v>2</v>
      </c>
      <c r="E103" s="298">
        <f t="shared" si="6"/>
        <v>94</v>
      </c>
      <c r="F103" s="308">
        <f t="shared" si="8"/>
        <v>0</v>
      </c>
      <c r="G103" s="301">
        <f>71.8152+26.1848</f>
        <v>98</v>
      </c>
      <c r="H103" s="301">
        <v>2</v>
      </c>
      <c r="I103" s="302">
        <f t="shared" si="7"/>
        <v>100</v>
      </c>
      <c r="J103" s="309">
        <f t="shared" si="9"/>
        <v>0</v>
      </c>
      <c r="K103" s="329">
        <f>71.8152+22.1848</f>
        <v>94</v>
      </c>
      <c r="L103" s="311">
        <f t="shared" si="12"/>
        <v>94</v>
      </c>
      <c r="M103" s="312">
        <f t="shared" si="14"/>
        <v>0</v>
      </c>
    </row>
    <row r="104" spans="1:14" ht="15">
      <c r="A104" s="319">
        <v>41974</v>
      </c>
      <c r="B104" s="323">
        <f t="shared" si="13"/>
        <v>320</v>
      </c>
      <c r="C104" s="321">
        <f>70.9041+18.0959</f>
        <v>89</v>
      </c>
      <c r="D104" s="321">
        <v>2</v>
      </c>
      <c r="E104" s="298">
        <f t="shared" si="6"/>
        <v>91</v>
      </c>
      <c r="F104" s="308">
        <f t="shared" si="8"/>
        <v>-3.1914893617021267E-2</v>
      </c>
      <c r="G104" s="301">
        <f>68.7287+26.2713</f>
        <v>95</v>
      </c>
      <c r="H104" s="301">
        <v>2</v>
      </c>
      <c r="I104" s="302">
        <f t="shared" si="7"/>
        <v>97</v>
      </c>
      <c r="J104" s="309">
        <f t="shared" si="9"/>
        <v>-3.0000000000000027E-2</v>
      </c>
      <c r="K104" s="329">
        <f>68.7287+22.2713</f>
        <v>91</v>
      </c>
      <c r="L104" s="311">
        <f t="shared" si="12"/>
        <v>91</v>
      </c>
      <c r="M104" s="312">
        <f t="shared" si="14"/>
        <v>-3.1914893617021267E-2</v>
      </c>
    </row>
    <row r="105" spans="1:14" ht="15">
      <c r="A105" s="319">
        <v>41989</v>
      </c>
      <c r="B105" s="323">
        <f t="shared" si="13"/>
        <v>320</v>
      </c>
      <c r="C105" s="321">
        <f>64.1204+17.8796</f>
        <v>82</v>
      </c>
      <c r="D105" s="321">
        <v>2</v>
      </c>
      <c r="E105" s="298">
        <f t="shared" si="6"/>
        <v>84</v>
      </c>
      <c r="F105" s="308">
        <f t="shared" si="8"/>
        <v>-7.6923076923076872E-2</v>
      </c>
      <c r="G105" s="301">
        <f>61.6979+26.3021</f>
        <v>88</v>
      </c>
      <c r="H105" s="301">
        <v>2</v>
      </c>
      <c r="I105" s="302">
        <f t="shared" si="7"/>
        <v>90</v>
      </c>
      <c r="J105" s="309">
        <f>I105/I104-1</f>
        <v>-7.2164948453608213E-2</v>
      </c>
      <c r="K105" s="329">
        <f>61.6979+22.3021</f>
        <v>84</v>
      </c>
      <c r="L105" s="311">
        <f t="shared" si="12"/>
        <v>84</v>
      </c>
      <c r="M105" s="312">
        <f>L105/L104-1</f>
        <v>-7.6923076923076872E-2</v>
      </c>
    </row>
    <row r="106" spans="1:14" ht="15">
      <c r="A106" s="319">
        <v>42005</v>
      </c>
      <c r="B106" s="323">
        <f t="shared" si="13"/>
        <v>320</v>
      </c>
      <c r="C106" s="321">
        <f>59.0776+16.9224</f>
        <v>76</v>
      </c>
      <c r="D106" s="321">
        <v>2</v>
      </c>
      <c r="E106" s="298">
        <f t="shared" si="6"/>
        <v>78</v>
      </c>
      <c r="F106" s="308">
        <f t="shared" si="8"/>
        <v>-7.1428571428571397E-2</v>
      </c>
      <c r="G106" s="301">
        <f>55.874+26.126</f>
        <v>82</v>
      </c>
      <c r="H106" s="301">
        <v>2</v>
      </c>
      <c r="I106" s="302">
        <f t="shared" si="7"/>
        <v>84</v>
      </c>
      <c r="J106" s="309">
        <f t="shared" si="9"/>
        <v>-6.6666666666666652E-2</v>
      </c>
      <c r="K106" s="329">
        <f>55.874+22.126</f>
        <v>78</v>
      </c>
      <c r="L106" s="311">
        <f t="shared" si="12"/>
        <v>78</v>
      </c>
      <c r="M106" s="312">
        <f t="shared" si="14"/>
        <v>-7.1428571428571397E-2</v>
      </c>
    </row>
    <row r="107" spans="1:14" ht="15">
      <c r="A107" s="319">
        <v>42020</v>
      </c>
      <c r="B107" s="323">
        <f>3.25*100</f>
        <v>325</v>
      </c>
      <c r="C107" s="324">
        <f>53.9255+16.0745</f>
        <v>70</v>
      </c>
      <c r="D107" s="321">
        <v>2</v>
      </c>
      <c r="E107" s="298">
        <f t="shared" si="6"/>
        <v>72</v>
      </c>
      <c r="F107" s="308">
        <f t="shared" si="8"/>
        <v>-7.6923076923076872E-2</v>
      </c>
      <c r="G107" s="301">
        <f>51.6584+26.3416</f>
        <v>78</v>
      </c>
      <c r="H107" s="301">
        <v>2</v>
      </c>
      <c r="I107" s="302">
        <f t="shared" si="7"/>
        <v>80</v>
      </c>
      <c r="J107" s="309">
        <f t="shared" si="9"/>
        <v>-4.7619047619047672E-2</v>
      </c>
      <c r="K107" s="329">
        <f>51.6584+22.3416</f>
        <v>74</v>
      </c>
      <c r="L107" s="311">
        <f t="shared" si="12"/>
        <v>74</v>
      </c>
      <c r="M107" s="312">
        <f t="shared" si="14"/>
        <v>-5.1282051282051322E-2</v>
      </c>
      <c r="N107" s="330"/>
    </row>
    <row r="108" spans="1:14" ht="15">
      <c r="A108" s="319">
        <v>42036</v>
      </c>
      <c r="B108" s="323">
        <f>3.25*100</f>
        <v>325</v>
      </c>
      <c r="C108" s="321">
        <f>50.7562+16.2438</f>
        <v>67</v>
      </c>
      <c r="D108" s="321">
        <v>2</v>
      </c>
      <c r="E108" s="331">
        <f t="shared" si="6"/>
        <v>69</v>
      </c>
      <c r="F108" s="308">
        <f t="shared" si="8"/>
        <v>-4.166666666666663E-2</v>
      </c>
      <c r="G108" s="301">
        <f>48.4141+22.5859</f>
        <v>71</v>
      </c>
      <c r="H108" s="301">
        <v>2</v>
      </c>
      <c r="I108" s="302">
        <f t="shared" si="7"/>
        <v>73</v>
      </c>
      <c r="J108" s="309">
        <f t="shared" si="9"/>
        <v>-8.7500000000000022E-2</v>
      </c>
      <c r="K108" s="329">
        <f>48.4141+22.5859</f>
        <v>71</v>
      </c>
      <c r="L108" s="311">
        <f t="shared" si="12"/>
        <v>71</v>
      </c>
      <c r="M108" s="312">
        <f t="shared" si="14"/>
        <v>-4.0540540540540571E-2</v>
      </c>
    </row>
    <row r="109" spans="1:14" ht="15">
      <c r="A109" s="319">
        <v>42051</v>
      </c>
      <c r="B109" s="323">
        <f>3.5*100</f>
        <v>350</v>
      </c>
      <c r="C109" s="321">
        <f>54.5317+15.4683</f>
        <v>70</v>
      </c>
      <c r="D109" s="321">
        <v>2</v>
      </c>
      <c r="E109" s="331">
        <f t="shared" si="6"/>
        <v>72</v>
      </c>
      <c r="F109" s="308">
        <f t="shared" si="8"/>
        <v>4.3478260869565188E-2</v>
      </c>
      <c r="G109" s="301">
        <f>52.7815+22.2185</f>
        <v>75</v>
      </c>
      <c r="H109" s="301">
        <v>2</v>
      </c>
      <c r="I109" s="302">
        <f t="shared" si="7"/>
        <v>77</v>
      </c>
      <c r="J109" s="309">
        <f t="shared" si="9"/>
        <v>5.4794520547945202E-2</v>
      </c>
      <c r="K109" s="329">
        <f>52.7815+22.2185</f>
        <v>75</v>
      </c>
      <c r="L109" s="311">
        <f t="shared" si="12"/>
        <v>75</v>
      </c>
      <c r="M109" s="312">
        <f t="shared" si="14"/>
        <v>5.6338028169014009E-2</v>
      </c>
    </row>
    <row r="110" spans="1:14" ht="15">
      <c r="A110" s="319">
        <v>42064</v>
      </c>
      <c r="B110" s="323">
        <f>3.6*100</f>
        <v>360</v>
      </c>
      <c r="C110" s="321">
        <f>57.9577+16.04232</f>
        <v>74.000020000000006</v>
      </c>
      <c r="D110" s="321">
        <v>2</v>
      </c>
      <c r="E110" s="331">
        <f t="shared" si="6"/>
        <v>76.000020000000006</v>
      </c>
      <c r="F110" s="308">
        <f t="shared" si="8"/>
        <v>5.5555833333333471E-2</v>
      </c>
      <c r="G110" s="301">
        <f>57.1944+22.8056</f>
        <v>80</v>
      </c>
      <c r="H110" s="301">
        <v>2</v>
      </c>
      <c r="I110" s="302">
        <f t="shared" si="7"/>
        <v>82</v>
      </c>
      <c r="J110" s="309">
        <f t="shared" si="9"/>
        <v>6.4935064935064846E-2</v>
      </c>
      <c r="K110" s="329">
        <f>57.1944+22.8056</f>
        <v>80</v>
      </c>
      <c r="L110" s="311">
        <f t="shared" si="12"/>
        <v>80</v>
      </c>
      <c r="M110" s="312">
        <f t="shared" si="14"/>
        <v>6.6666666666666652E-2</v>
      </c>
    </row>
    <row r="111" spans="1:14" ht="15">
      <c r="A111" s="326">
        <v>42079</v>
      </c>
      <c r="B111" s="323">
        <v>371</v>
      </c>
      <c r="C111" s="321">
        <f>56.6572+16.3428</f>
        <v>73</v>
      </c>
      <c r="D111" s="321">
        <v>2</v>
      </c>
      <c r="E111" s="331">
        <f t="shared" si="6"/>
        <v>75</v>
      </c>
      <c r="F111" s="308">
        <f t="shared" si="8"/>
        <v>-1.3158154432064695E-2</v>
      </c>
      <c r="G111" s="301">
        <f>56.0571+22.9429</f>
        <v>79</v>
      </c>
      <c r="H111" s="301">
        <v>2</v>
      </c>
      <c r="I111" s="302">
        <f t="shared" si="7"/>
        <v>81</v>
      </c>
      <c r="J111" s="309">
        <f t="shared" si="9"/>
        <v>-1.2195121951219523E-2</v>
      </c>
      <c r="K111" s="329">
        <f>56.0571+22.9429</f>
        <v>79</v>
      </c>
      <c r="L111" s="311">
        <f t="shared" si="12"/>
        <v>79</v>
      </c>
      <c r="M111" s="312">
        <f t="shared" si="14"/>
        <v>-1.2499999999999956E-2</v>
      </c>
    </row>
    <row r="112" spans="1:14" ht="15">
      <c r="A112" s="326">
        <v>42095</v>
      </c>
      <c r="B112" s="323">
        <v>390</v>
      </c>
      <c r="C112" s="321">
        <f>53.321+16.679</f>
        <v>70</v>
      </c>
      <c r="D112" s="321">
        <v>2</v>
      </c>
      <c r="E112" s="331">
        <f t="shared" si="6"/>
        <v>72</v>
      </c>
      <c r="F112" s="308">
        <f t="shared" si="8"/>
        <v>-4.0000000000000036E-2</v>
      </c>
      <c r="G112" s="301">
        <f>52.376+22.62</f>
        <v>74.995999999999995</v>
      </c>
      <c r="H112" s="301">
        <v>2</v>
      </c>
      <c r="I112" s="302">
        <f t="shared" si="7"/>
        <v>76.995999999999995</v>
      </c>
      <c r="J112" s="309">
        <f t="shared" si="9"/>
        <v>-4.9432098765432197E-2</v>
      </c>
      <c r="K112" s="329">
        <f>52.376+22.624</f>
        <v>75</v>
      </c>
      <c r="L112" s="311">
        <f t="shared" si="12"/>
        <v>75</v>
      </c>
      <c r="M112" s="312">
        <f t="shared" si="14"/>
        <v>-5.0632911392405111E-2</v>
      </c>
    </row>
    <row r="113" spans="1:13" ht="15">
      <c r="A113" s="326">
        <v>42103</v>
      </c>
      <c r="B113" s="323">
        <v>390</v>
      </c>
      <c r="C113" s="321">
        <f>53.321+16.679</f>
        <v>70</v>
      </c>
      <c r="D113" s="321">
        <v>2</v>
      </c>
      <c r="E113" s="331">
        <f t="shared" si="6"/>
        <v>72</v>
      </c>
      <c r="F113" s="308">
        <f t="shared" si="8"/>
        <v>0</v>
      </c>
      <c r="G113" s="301">
        <f>52.376+22.62</f>
        <v>74.995999999999995</v>
      </c>
      <c r="H113" s="301">
        <v>2</v>
      </c>
      <c r="I113" s="302">
        <f t="shared" si="7"/>
        <v>76.995999999999995</v>
      </c>
      <c r="J113" s="309">
        <f t="shared" si="9"/>
        <v>0</v>
      </c>
      <c r="K113" s="329">
        <f>52.376+22.624</f>
        <v>75</v>
      </c>
      <c r="L113" s="311">
        <f t="shared" si="12"/>
        <v>75</v>
      </c>
      <c r="M113" s="312">
        <f t="shared" si="14"/>
        <v>0</v>
      </c>
    </row>
    <row r="114" spans="1:13" ht="15">
      <c r="A114" s="326">
        <v>42110</v>
      </c>
      <c r="B114" s="323">
        <v>395</v>
      </c>
      <c r="C114" s="321">
        <f>54.0196+16.9804</f>
        <v>71</v>
      </c>
      <c r="D114" s="321">
        <v>2</v>
      </c>
      <c r="E114" s="331">
        <f t="shared" si="6"/>
        <v>73</v>
      </c>
      <c r="F114" s="308">
        <f t="shared" si="8"/>
        <v>1.388888888888884E-2</v>
      </c>
      <c r="G114" s="301">
        <f>53.3014+22.6986</f>
        <v>76</v>
      </c>
      <c r="H114" s="301">
        <v>2</v>
      </c>
      <c r="I114" s="302">
        <f t="shared" si="7"/>
        <v>78</v>
      </c>
      <c r="J114" s="309">
        <f t="shared" si="9"/>
        <v>1.3039638422775335E-2</v>
      </c>
      <c r="K114" s="329">
        <f>53.3014+22.6986</f>
        <v>76</v>
      </c>
      <c r="L114" s="311">
        <f t="shared" si="12"/>
        <v>76</v>
      </c>
      <c r="M114" s="312">
        <f t="shared" si="14"/>
        <v>1.3333333333333419E-2</v>
      </c>
    </row>
    <row r="115" spans="1:13" ht="15">
      <c r="A115" s="326">
        <v>42125</v>
      </c>
      <c r="B115" s="323">
        <f>3.95*100</f>
        <v>395</v>
      </c>
      <c r="C115" s="321">
        <f>56.3961+17.6039</f>
        <v>74</v>
      </c>
      <c r="D115" s="321">
        <v>2</v>
      </c>
      <c r="E115" s="331">
        <f t="shared" si="6"/>
        <v>76</v>
      </c>
      <c r="F115" s="308">
        <f t="shared" si="8"/>
        <v>4.1095890410958846E-2</v>
      </c>
      <c r="G115" s="301">
        <f>56.4122+23.5878</f>
        <v>80</v>
      </c>
      <c r="H115" s="301">
        <v>2</v>
      </c>
      <c r="I115" s="302">
        <f t="shared" si="7"/>
        <v>82</v>
      </c>
      <c r="J115" s="309">
        <f t="shared" si="9"/>
        <v>5.1282051282051322E-2</v>
      </c>
      <c r="K115" s="329">
        <f>56.4122+23.5878</f>
        <v>80</v>
      </c>
      <c r="L115" s="311">
        <f t="shared" si="12"/>
        <v>80</v>
      </c>
      <c r="M115" s="312">
        <f t="shared" si="14"/>
        <v>5.2631578947368363E-2</v>
      </c>
    </row>
    <row r="116" spans="1:13" ht="15">
      <c r="A116" s="326">
        <v>42140</v>
      </c>
      <c r="B116" s="323">
        <f>3.95*100</f>
        <v>395</v>
      </c>
      <c r="C116" s="321">
        <f>58.7256+17.2744</f>
        <v>76</v>
      </c>
      <c r="D116" s="321">
        <v>2</v>
      </c>
      <c r="E116" s="331">
        <f t="shared" si="6"/>
        <v>78</v>
      </c>
      <c r="F116" s="308">
        <f t="shared" si="8"/>
        <v>2.6315789473684292E-2</v>
      </c>
      <c r="G116" s="301">
        <f>59.2556+23.7444</f>
        <v>83</v>
      </c>
      <c r="H116" s="301">
        <v>2</v>
      </c>
      <c r="I116" s="302">
        <f t="shared" si="7"/>
        <v>85</v>
      </c>
      <c r="J116" s="309">
        <f t="shared" si="9"/>
        <v>3.6585365853658569E-2</v>
      </c>
      <c r="K116" s="329">
        <f>59.2556+23.7444</f>
        <v>83</v>
      </c>
      <c r="L116" s="311">
        <f t="shared" si="12"/>
        <v>83</v>
      </c>
      <c r="M116" s="312">
        <f t="shared" si="14"/>
        <v>3.7500000000000089E-2</v>
      </c>
    </row>
    <row r="117" spans="1:13" ht="15">
      <c r="A117" s="326">
        <v>42156</v>
      </c>
      <c r="B117" s="323">
        <f>4.19*100</f>
        <v>419.00000000000006</v>
      </c>
      <c r="C117" s="321">
        <f>58.8284+17.1716</f>
        <v>76</v>
      </c>
      <c r="D117" s="321">
        <v>2</v>
      </c>
      <c r="E117" s="331">
        <f t="shared" si="6"/>
        <v>78</v>
      </c>
      <c r="F117" s="308">
        <f t="shared" si="8"/>
        <v>0</v>
      </c>
      <c r="G117" s="301">
        <f>59.8556+23.1444</f>
        <v>83</v>
      </c>
      <c r="H117" s="301">
        <v>2</v>
      </c>
      <c r="I117" s="302">
        <f t="shared" si="7"/>
        <v>85</v>
      </c>
      <c r="J117" s="309">
        <f t="shared" si="9"/>
        <v>0</v>
      </c>
      <c r="K117" s="329">
        <f>59.8556+24.1444</f>
        <v>84</v>
      </c>
      <c r="L117" s="311">
        <f t="shared" si="12"/>
        <v>84</v>
      </c>
      <c r="M117" s="312">
        <f t="shared" si="14"/>
        <v>1.2048192771084265E-2</v>
      </c>
    </row>
    <row r="118" spans="1:13" ht="15">
      <c r="A118" s="326">
        <v>42171</v>
      </c>
      <c r="B118" s="323">
        <f>452.15</f>
        <v>452.15</v>
      </c>
      <c r="C118" s="321">
        <f>59.4736+16.5264</f>
        <v>76</v>
      </c>
      <c r="D118" s="321">
        <v>2</v>
      </c>
      <c r="E118" s="331">
        <f t="shared" si="6"/>
        <v>78</v>
      </c>
      <c r="F118" s="308">
        <f t="shared" si="8"/>
        <v>0</v>
      </c>
      <c r="G118" s="301">
        <f>58.142+23.858</f>
        <v>82</v>
      </c>
      <c r="H118" s="301">
        <v>2</v>
      </c>
      <c r="I118" s="302">
        <f t="shared" si="7"/>
        <v>84</v>
      </c>
      <c r="J118" s="309">
        <f t="shared" si="9"/>
        <v>-1.1764705882352899E-2</v>
      </c>
      <c r="K118" s="329">
        <f>58.142+23.858</f>
        <v>82</v>
      </c>
      <c r="L118" s="311">
        <f t="shared" si="12"/>
        <v>82</v>
      </c>
      <c r="M118" s="312">
        <f t="shared" si="14"/>
        <v>-2.3809523809523836E-2</v>
      </c>
    </row>
    <row r="119" spans="1:13" ht="15">
      <c r="A119" s="326">
        <v>42186</v>
      </c>
      <c r="B119" s="295">
        <f>4.6508*100</f>
        <v>465.08000000000004</v>
      </c>
      <c r="C119" s="321">
        <f>59.4736+16.5264</f>
        <v>76</v>
      </c>
      <c r="D119" s="321">
        <v>2</v>
      </c>
      <c r="E119" s="331">
        <f t="shared" si="6"/>
        <v>78</v>
      </c>
      <c r="F119" s="308">
        <f t="shared" si="8"/>
        <v>0</v>
      </c>
      <c r="G119" s="301">
        <f>57.8128+23.1872</f>
        <v>81</v>
      </c>
      <c r="H119" s="301">
        <v>2</v>
      </c>
      <c r="I119" s="302">
        <f t="shared" si="7"/>
        <v>83</v>
      </c>
      <c r="J119" s="309">
        <f t="shared" si="9"/>
        <v>-1.1904761904761862E-2</v>
      </c>
      <c r="K119" s="329">
        <f>57.8128+23.1872</f>
        <v>81</v>
      </c>
      <c r="L119" s="311">
        <f t="shared" si="12"/>
        <v>81</v>
      </c>
      <c r="M119" s="312">
        <f t="shared" si="14"/>
        <v>-1.2195121951219523E-2</v>
      </c>
    </row>
    <row r="120" spans="1:13" ht="15">
      <c r="A120" s="326">
        <v>42201</v>
      </c>
      <c r="B120" s="295">
        <f>4.25*100</f>
        <v>425</v>
      </c>
      <c r="C120" s="321">
        <f>59.4736+16.5264</f>
        <v>76</v>
      </c>
      <c r="D120" s="321">
        <v>2</v>
      </c>
      <c r="E120" s="331">
        <f t="shared" si="6"/>
        <v>78</v>
      </c>
      <c r="F120" s="308">
        <f t="shared" si="8"/>
        <v>0</v>
      </c>
      <c r="G120" s="301">
        <f>55.3433+23.6567</f>
        <v>79</v>
      </c>
      <c r="H120" s="301">
        <v>2</v>
      </c>
      <c r="I120" s="302">
        <f t="shared" si="7"/>
        <v>81</v>
      </c>
      <c r="J120" s="309">
        <f t="shared" si="9"/>
        <v>-2.4096385542168641E-2</v>
      </c>
      <c r="K120" s="329">
        <f>55.3433+23.6567</f>
        <v>79</v>
      </c>
      <c r="L120" s="311">
        <f t="shared" si="12"/>
        <v>79</v>
      </c>
      <c r="M120" s="312">
        <f t="shared" si="14"/>
        <v>-2.4691358024691357E-2</v>
      </c>
    </row>
    <row r="121" spans="1:13" ht="15">
      <c r="A121" s="326">
        <v>42217</v>
      </c>
      <c r="B121" s="295">
        <f>4.3*100</f>
        <v>430</v>
      </c>
      <c r="C121" s="321">
        <f>59.4736+16.5264</f>
        <v>76</v>
      </c>
      <c r="D121" s="321">
        <v>2</v>
      </c>
      <c r="E121" s="331">
        <f t="shared" si="6"/>
        <v>78</v>
      </c>
      <c r="F121" s="308">
        <f t="shared" si="8"/>
        <v>0</v>
      </c>
      <c r="G121" s="301">
        <f>52.3372+23.6628</f>
        <v>76</v>
      </c>
      <c r="H121" s="301">
        <v>2</v>
      </c>
      <c r="I121" s="302">
        <f t="shared" si="7"/>
        <v>78</v>
      </c>
      <c r="J121" s="309">
        <f t="shared" si="9"/>
        <v>-3.703703703703709E-2</v>
      </c>
      <c r="K121" s="329">
        <f>52.3372+23.6628</f>
        <v>76</v>
      </c>
      <c r="L121" s="311">
        <f t="shared" si="12"/>
        <v>76</v>
      </c>
      <c r="M121" s="312">
        <f t="shared" si="14"/>
        <v>-3.7974683544303778E-2</v>
      </c>
    </row>
    <row r="122" spans="1:13" ht="15">
      <c r="A122" s="326">
        <v>42232</v>
      </c>
      <c r="B122" s="295">
        <f>4.5*100</f>
        <v>450</v>
      </c>
      <c r="C122" s="321">
        <f>48.7684+16.2316</f>
        <v>65</v>
      </c>
      <c r="D122" s="321">
        <v>2</v>
      </c>
      <c r="E122" s="331">
        <f t="shared" si="6"/>
        <v>67</v>
      </c>
      <c r="F122" s="308">
        <f t="shared" si="8"/>
        <v>-0.14102564102564108</v>
      </c>
      <c r="G122" s="301">
        <f>49.0177+22.9823</f>
        <v>72</v>
      </c>
      <c r="H122" s="301">
        <v>2</v>
      </c>
      <c r="I122" s="302">
        <f t="shared" si="7"/>
        <v>74</v>
      </c>
      <c r="J122" s="309">
        <f t="shared" si="9"/>
        <v>-5.1282051282051322E-2</v>
      </c>
      <c r="K122" s="329">
        <f>49.0177+22.9823</f>
        <v>72</v>
      </c>
      <c r="L122" s="311">
        <f t="shared" si="12"/>
        <v>72</v>
      </c>
      <c r="M122" s="312">
        <f t="shared" si="14"/>
        <v>-5.2631578947368474E-2</v>
      </c>
    </row>
    <row r="123" spans="1:13" ht="15">
      <c r="A123" s="326">
        <v>42248</v>
      </c>
      <c r="B123" s="295">
        <f>4.6*100</f>
        <v>459.99999999999994</v>
      </c>
      <c r="C123" s="321">
        <f>46.911+16.089</f>
        <v>63</v>
      </c>
      <c r="D123" s="321">
        <v>2</v>
      </c>
      <c r="E123" s="331">
        <f t="shared" si="6"/>
        <v>65</v>
      </c>
      <c r="F123" s="308">
        <f t="shared" si="8"/>
        <v>-2.9850746268656692E-2</v>
      </c>
      <c r="G123" s="301">
        <f>46.8662+23.1338</f>
        <v>70</v>
      </c>
      <c r="H123" s="301">
        <v>2</v>
      </c>
      <c r="I123" s="302">
        <f t="shared" si="7"/>
        <v>72</v>
      </c>
      <c r="J123" s="309">
        <f t="shared" si="9"/>
        <v>-2.7027027027026973E-2</v>
      </c>
      <c r="K123" s="329">
        <f>46.8662+23.1338</f>
        <v>70</v>
      </c>
      <c r="L123" s="311">
        <f t="shared" si="12"/>
        <v>70</v>
      </c>
      <c r="M123" s="312">
        <f t="shared" si="14"/>
        <v>-2.777777777777779E-2</v>
      </c>
    </row>
    <row r="124" spans="1:13" ht="15">
      <c r="A124" s="326">
        <v>42263</v>
      </c>
      <c r="B124" s="295">
        <f>4.6*100</f>
        <v>459.99999999999994</v>
      </c>
      <c r="C124" s="321">
        <f>48.8931+16.1069</f>
        <v>65</v>
      </c>
      <c r="D124" s="321">
        <v>2</v>
      </c>
      <c r="E124" s="331">
        <f t="shared" si="6"/>
        <v>67</v>
      </c>
      <c r="F124" s="308">
        <f t="shared" si="8"/>
        <v>3.076923076923066E-2</v>
      </c>
      <c r="G124" s="301">
        <f>48.3776+23.6224</f>
        <v>72</v>
      </c>
      <c r="H124" s="301">
        <v>2</v>
      </c>
      <c r="I124" s="302">
        <f t="shared" si="7"/>
        <v>74</v>
      </c>
      <c r="J124" s="309">
        <f t="shared" si="9"/>
        <v>2.7777777777777679E-2</v>
      </c>
      <c r="K124" s="329">
        <f>48.3776+23.6224</f>
        <v>72</v>
      </c>
      <c r="L124" s="311">
        <f t="shared" si="12"/>
        <v>72</v>
      </c>
      <c r="M124" s="312">
        <f t="shared" si="14"/>
        <v>2.857142857142847E-2</v>
      </c>
    </row>
    <row r="125" spans="1:13" ht="15">
      <c r="A125" s="326">
        <v>42278</v>
      </c>
      <c r="B125" s="295">
        <f>4.5*100</f>
        <v>450</v>
      </c>
      <c r="C125" s="321">
        <f>47.7733+16.2267</f>
        <v>64</v>
      </c>
      <c r="D125" s="321">
        <v>2</v>
      </c>
      <c r="E125" s="331">
        <f t="shared" si="6"/>
        <v>66</v>
      </c>
      <c r="F125" s="308">
        <f t="shared" si="8"/>
        <v>-1.4925373134328401E-2</v>
      </c>
      <c r="G125" s="301">
        <f>47.1742+23.8258</f>
        <v>71</v>
      </c>
      <c r="H125" s="301">
        <v>2</v>
      </c>
      <c r="I125" s="302">
        <f t="shared" si="7"/>
        <v>73</v>
      </c>
      <c r="J125" s="309">
        <f t="shared" si="9"/>
        <v>-1.3513513513513487E-2</v>
      </c>
      <c r="K125" s="329">
        <f>47.1742+23.8258</f>
        <v>71</v>
      </c>
      <c r="L125" s="311">
        <f t="shared" si="12"/>
        <v>71</v>
      </c>
      <c r="M125" s="312">
        <f t="shared" si="14"/>
        <v>-1.388888888888884E-2</v>
      </c>
    </row>
    <row r="126" spans="1:13" ht="15">
      <c r="A126" s="326">
        <v>42293</v>
      </c>
      <c r="B126" s="295">
        <f>4.5*100</f>
        <v>450</v>
      </c>
      <c r="C126" s="321">
        <f>47.745+16.2552</f>
        <v>64.000199999999992</v>
      </c>
      <c r="D126" s="321">
        <v>2</v>
      </c>
      <c r="E126" s="331">
        <f t="shared" si="6"/>
        <v>66.000199999999992</v>
      </c>
      <c r="F126" s="308">
        <f t="shared" si="8"/>
        <v>3.0303030302825107E-6</v>
      </c>
      <c r="G126" s="301">
        <f>48.1565+23.8435</f>
        <v>72</v>
      </c>
      <c r="H126" s="301">
        <v>2</v>
      </c>
      <c r="I126" s="302">
        <f t="shared" si="7"/>
        <v>74</v>
      </c>
      <c r="J126" s="309">
        <f t="shared" si="9"/>
        <v>1.3698630136986356E-2</v>
      </c>
      <c r="K126" s="329">
        <f>48.1565+23.8435</f>
        <v>72</v>
      </c>
      <c r="L126" s="311">
        <f t="shared" si="12"/>
        <v>72</v>
      </c>
      <c r="M126" s="312">
        <f t="shared" si="14"/>
        <v>1.4084507042253502E-2</v>
      </c>
    </row>
    <row r="127" spans="1:13" ht="15">
      <c r="A127" s="326">
        <v>42309</v>
      </c>
      <c r="B127" s="295">
        <f>4.5*100</f>
        <v>450</v>
      </c>
      <c r="C127" s="321">
        <f>46.7314+16.2686</f>
        <v>63</v>
      </c>
      <c r="D127" s="321">
        <v>2</v>
      </c>
      <c r="E127" s="331">
        <f t="shared" si="6"/>
        <v>65</v>
      </c>
      <c r="F127" s="308">
        <f t="shared" si="8"/>
        <v>-1.5154499531819465E-2</v>
      </c>
      <c r="G127" s="301">
        <f>45.9271+24.0729</f>
        <v>70</v>
      </c>
      <c r="H127" s="301">
        <v>2</v>
      </c>
      <c r="I127" s="302">
        <f t="shared" si="7"/>
        <v>72</v>
      </c>
      <c r="J127" s="309">
        <f t="shared" si="9"/>
        <v>-2.7027027027026973E-2</v>
      </c>
      <c r="K127" s="329">
        <f>45.9271+24.0729</f>
        <v>70</v>
      </c>
      <c r="L127" s="311">
        <f t="shared" si="12"/>
        <v>70</v>
      </c>
      <c r="M127" s="312">
        <f t="shared" si="14"/>
        <v>-2.777777777777779E-2</v>
      </c>
    </row>
    <row r="128" spans="1:13" ht="15">
      <c r="A128" s="326">
        <v>42324</v>
      </c>
      <c r="B128" s="295">
        <f>4.2*100</f>
        <v>420</v>
      </c>
      <c r="C128" s="321">
        <f>46.7801+16.2199</f>
        <v>63</v>
      </c>
      <c r="D128" s="321">
        <v>2</v>
      </c>
      <c r="E128" s="331">
        <f t="shared" si="6"/>
        <v>65</v>
      </c>
      <c r="F128" s="308">
        <f t="shared" si="8"/>
        <v>0</v>
      </c>
      <c r="G128" s="301">
        <f>45.9071+24.0929</f>
        <v>70</v>
      </c>
      <c r="H128" s="301">
        <v>2</v>
      </c>
      <c r="I128" s="302">
        <f t="shared" si="7"/>
        <v>72</v>
      </c>
      <c r="J128" s="309">
        <f t="shared" si="9"/>
        <v>0</v>
      </c>
      <c r="K128" s="329">
        <f>45.9071+24.0929</f>
        <v>70</v>
      </c>
      <c r="L128" s="311">
        <f t="shared" si="12"/>
        <v>70</v>
      </c>
      <c r="M128" s="312">
        <f t="shared" si="14"/>
        <v>0</v>
      </c>
    </row>
    <row r="129" spans="1:13" ht="15">
      <c r="A129" s="326">
        <v>42339</v>
      </c>
      <c r="B129" s="295">
        <f>4.0421*100</f>
        <v>404.21</v>
      </c>
      <c r="C129" s="321">
        <f>44.9288+16.0712</f>
        <v>61</v>
      </c>
      <c r="D129" s="321">
        <v>2</v>
      </c>
      <c r="E129" s="331">
        <f t="shared" si="6"/>
        <v>63</v>
      </c>
      <c r="F129" s="308">
        <f t="shared" si="8"/>
        <v>-3.0769230769230771E-2</v>
      </c>
      <c r="G129" s="301">
        <f>43.78+24.22</f>
        <v>68</v>
      </c>
      <c r="H129" s="301">
        <v>2</v>
      </c>
      <c r="I129" s="302">
        <f t="shared" si="7"/>
        <v>70</v>
      </c>
      <c r="J129" s="309">
        <f t="shared" si="9"/>
        <v>-2.777777777777779E-2</v>
      </c>
      <c r="K129" s="329">
        <f>43.78+24.22</f>
        <v>68</v>
      </c>
      <c r="L129" s="311">
        <f t="shared" si="12"/>
        <v>68</v>
      </c>
      <c r="M129" s="312">
        <f t="shared" si="14"/>
        <v>-2.8571428571428581E-2</v>
      </c>
    </row>
    <row r="130" spans="1:13" ht="15">
      <c r="A130" s="326">
        <v>42354</v>
      </c>
      <c r="B130" s="295">
        <f>4.0421*100</f>
        <v>404.21</v>
      </c>
      <c r="C130" s="321">
        <f>42.245+15.755</f>
        <v>58</v>
      </c>
      <c r="D130" s="321">
        <v>2</v>
      </c>
      <c r="E130" s="331">
        <f t="shared" si="6"/>
        <v>60</v>
      </c>
      <c r="F130" s="308">
        <f t="shared" si="8"/>
        <v>-4.7619047619047672E-2</v>
      </c>
      <c r="G130" s="301">
        <f>40.4711+24.5289</f>
        <v>65</v>
      </c>
      <c r="H130" s="301">
        <v>2</v>
      </c>
      <c r="I130" s="302">
        <f t="shared" si="7"/>
        <v>67</v>
      </c>
      <c r="J130" s="309">
        <f t="shared" si="9"/>
        <v>-4.2857142857142816E-2</v>
      </c>
      <c r="K130" s="329">
        <f>40.4711+24.5289</f>
        <v>65</v>
      </c>
      <c r="L130" s="311">
        <f t="shared" si="12"/>
        <v>65</v>
      </c>
      <c r="M130" s="312">
        <f t="shared" si="14"/>
        <v>-4.4117647058823484E-2</v>
      </c>
    </row>
    <row r="131" spans="1:13" ht="15">
      <c r="A131" s="326">
        <v>42370</v>
      </c>
      <c r="B131" s="295">
        <f>3.85*100</f>
        <v>385</v>
      </c>
      <c r="C131" s="321">
        <f>38.673+16.327</f>
        <v>55</v>
      </c>
      <c r="D131" s="321">
        <v>2</v>
      </c>
      <c r="E131" s="331">
        <f t="shared" si="6"/>
        <v>57</v>
      </c>
      <c r="F131" s="308">
        <f t="shared" si="8"/>
        <v>-5.0000000000000044E-2</v>
      </c>
      <c r="G131" s="301">
        <f>36.3404+24.6596</f>
        <v>61</v>
      </c>
      <c r="H131" s="301">
        <v>2</v>
      </c>
      <c r="I131" s="302">
        <f t="shared" si="7"/>
        <v>63</v>
      </c>
      <c r="J131" s="309">
        <f t="shared" si="9"/>
        <v>-5.9701492537313383E-2</v>
      </c>
      <c r="K131" s="329">
        <f>36.3404+24.6596</f>
        <v>61</v>
      </c>
      <c r="L131" s="311">
        <f t="shared" si="12"/>
        <v>61</v>
      </c>
      <c r="M131" s="312">
        <f t="shared" si="14"/>
        <v>-6.1538461538461542E-2</v>
      </c>
    </row>
    <row r="132" spans="1:13" ht="15">
      <c r="A132" s="326">
        <v>42385</v>
      </c>
      <c r="B132" s="295">
        <f>4*100</f>
        <v>400</v>
      </c>
      <c r="C132" s="321">
        <f>36.94+17.06</f>
        <v>54</v>
      </c>
      <c r="D132" s="321">
        <v>2</v>
      </c>
      <c r="E132" s="331">
        <f t="shared" si="6"/>
        <v>56</v>
      </c>
      <c r="F132" s="308">
        <f t="shared" si="8"/>
        <v>-1.7543859649122862E-2</v>
      </c>
      <c r="G132" s="301">
        <f>35.2794+24.7206</f>
        <v>60</v>
      </c>
      <c r="H132" s="301">
        <v>2</v>
      </c>
      <c r="I132" s="302">
        <f t="shared" si="7"/>
        <v>62</v>
      </c>
      <c r="J132" s="309">
        <f t="shared" si="9"/>
        <v>-1.5873015873015928E-2</v>
      </c>
      <c r="K132" s="329">
        <f>35.2794+24.7206</f>
        <v>60</v>
      </c>
      <c r="L132" s="311">
        <f t="shared" si="12"/>
        <v>60</v>
      </c>
      <c r="M132" s="312">
        <f t="shared" si="14"/>
        <v>-1.6393442622950838E-2</v>
      </c>
    </row>
    <row r="133" spans="1:13" ht="15">
      <c r="A133" s="326">
        <v>42401</v>
      </c>
      <c r="B133" s="295">
        <f>4.3*100</f>
        <v>430</v>
      </c>
      <c r="C133" s="321">
        <f>32.6327+17.3673</f>
        <v>50</v>
      </c>
      <c r="D133" s="321">
        <v>2</v>
      </c>
      <c r="E133" s="331">
        <f t="shared" si="6"/>
        <v>52</v>
      </c>
      <c r="F133" s="308">
        <f t="shared" si="8"/>
        <v>-7.1428571428571397E-2</v>
      </c>
      <c r="G133" s="301">
        <f>31.3815+24.6185</f>
        <v>56</v>
      </c>
      <c r="H133" s="301">
        <v>2</v>
      </c>
      <c r="I133" s="302">
        <f t="shared" si="7"/>
        <v>58</v>
      </c>
      <c r="J133" s="309">
        <f t="shared" si="9"/>
        <v>-6.4516129032258118E-2</v>
      </c>
      <c r="K133" s="329">
        <f>31.3815+24.6185</f>
        <v>56</v>
      </c>
      <c r="L133" s="311">
        <f t="shared" si="12"/>
        <v>56</v>
      </c>
      <c r="M133" s="312">
        <f t="shared" si="14"/>
        <v>-6.6666666666666652E-2</v>
      </c>
    </row>
    <row r="134" spans="1:13" ht="15">
      <c r="A134" s="326">
        <v>42416</v>
      </c>
      <c r="B134" s="295">
        <f>4.3569*100</f>
        <v>435.69000000000005</v>
      </c>
      <c r="C134" s="321">
        <f>35.3005+17.6995</f>
        <v>53</v>
      </c>
      <c r="D134" s="321">
        <v>2</v>
      </c>
      <c r="E134" s="331">
        <f>C134+D134</f>
        <v>55</v>
      </c>
      <c r="F134" s="308">
        <f t="shared" si="8"/>
        <v>5.7692307692307709E-2</v>
      </c>
      <c r="G134" s="301">
        <f>33.431+24.569</f>
        <v>58</v>
      </c>
      <c r="H134" s="301">
        <v>2</v>
      </c>
      <c r="I134" s="302">
        <f t="shared" si="7"/>
        <v>60</v>
      </c>
      <c r="J134" s="309">
        <f t="shared" si="9"/>
        <v>3.4482758620689724E-2</v>
      </c>
      <c r="K134" s="329">
        <f>33.431+24.569</f>
        <v>58</v>
      </c>
      <c r="L134" s="311">
        <f t="shared" si="12"/>
        <v>58</v>
      </c>
      <c r="M134" s="312">
        <f t="shared" si="14"/>
        <v>3.5714285714285809E-2</v>
      </c>
    </row>
    <row r="135" spans="1:13" ht="15">
      <c r="A135" s="326">
        <v>42430</v>
      </c>
      <c r="B135" s="295">
        <f>4.3461*100</f>
        <v>434.61</v>
      </c>
      <c r="C135" s="321">
        <f>35.8294+17.1706</f>
        <v>53</v>
      </c>
      <c r="D135" s="321">
        <v>2</v>
      </c>
      <c r="E135" s="331">
        <f>C135+D135</f>
        <v>55</v>
      </c>
      <c r="F135" s="308">
        <f t="shared" si="8"/>
        <v>0</v>
      </c>
      <c r="G135" s="301">
        <f>34.5791+24.4209</f>
        <v>59</v>
      </c>
      <c r="H135" s="301">
        <v>2</v>
      </c>
      <c r="I135" s="302">
        <f>G135+H135</f>
        <v>61</v>
      </c>
      <c r="J135" s="309">
        <f t="shared" si="9"/>
        <v>1.6666666666666607E-2</v>
      </c>
      <c r="K135" s="329">
        <f>34.5791+24.4209</f>
        <v>59</v>
      </c>
      <c r="L135" s="311">
        <f t="shared" si="12"/>
        <v>59</v>
      </c>
      <c r="M135" s="312">
        <f t="shared" si="14"/>
        <v>1.7241379310344751E-2</v>
      </c>
    </row>
    <row r="136" spans="1:13" ht="15">
      <c r="A136" s="326">
        <v>42445</v>
      </c>
      <c r="B136" s="295">
        <f>4.2967*100</f>
        <v>429.67</v>
      </c>
      <c r="C136" s="321">
        <f>38.3847+17.6153</f>
        <v>56</v>
      </c>
      <c r="D136" s="321">
        <v>2</v>
      </c>
      <c r="E136" s="331">
        <f>C136+D136</f>
        <v>58</v>
      </c>
      <c r="F136" s="308">
        <f>E136/E135-1</f>
        <v>5.4545454545454453E-2</v>
      </c>
      <c r="G136" s="301">
        <f>37.2265+24.7735</f>
        <v>62</v>
      </c>
      <c r="H136" s="301">
        <v>2</v>
      </c>
      <c r="I136" s="302">
        <f>G136+H136</f>
        <v>64</v>
      </c>
      <c r="J136" s="309">
        <f>I136/I135-1</f>
        <v>4.9180327868852514E-2</v>
      </c>
      <c r="K136" s="329">
        <f>37.2265+24.7735</f>
        <v>62</v>
      </c>
      <c r="L136" s="311">
        <f t="shared" si="12"/>
        <v>62</v>
      </c>
      <c r="M136" s="312">
        <f t="shared" si="14"/>
        <v>5.0847457627118731E-2</v>
      </c>
    </row>
    <row r="137" spans="1:13" ht="15">
      <c r="A137" s="326">
        <v>42461</v>
      </c>
      <c r="B137" s="295">
        <f>4.3*100</f>
        <v>430</v>
      </c>
      <c r="C137" s="321">
        <f>40.1083+17.8917</f>
        <v>58</v>
      </c>
      <c r="D137" s="321">
        <v>2</v>
      </c>
      <c r="E137" s="331">
        <f>C137+D137</f>
        <v>60</v>
      </c>
      <c r="F137" s="308">
        <f>E137/E136-1</f>
        <v>3.4482758620689724E-2</v>
      </c>
      <c r="G137" s="301">
        <f>38.8589+25.1411</f>
        <v>64</v>
      </c>
      <c r="H137" s="301">
        <v>2</v>
      </c>
      <c r="I137" s="302">
        <f>G137+H137</f>
        <v>66</v>
      </c>
      <c r="J137" s="309">
        <f>I137/I136-1</f>
        <v>3.125E-2</v>
      </c>
      <c r="K137" s="329">
        <f>38.8589+25.1411</f>
        <v>64</v>
      </c>
      <c r="L137" s="311">
        <f>K137</f>
        <v>64</v>
      </c>
      <c r="M137" s="312">
        <f t="shared" si="14"/>
        <v>3.2258064516129004E-2</v>
      </c>
    </row>
    <row r="138" spans="1:13" ht="15">
      <c r="A138" s="326">
        <v>42476</v>
      </c>
      <c r="B138" s="295">
        <f>4.2617*100</f>
        <v>426.17</v>
      </c>
      <c r="C138" s="321">
        <f>38.8038+18.1962</f>
        <v>57</v>
      </c>
      <c r="D138" s="321">
        <v>2</v>
      </c>
      <c r="E138" s="331">
        <f t="shared" ref="E138:E143" si="15">C138+D138</f>
        <v>59</v>
      </c>
      <c r="F138" s="308">
        <f t="shared" ref="F138:F143" si="16">E138/E137-1</f>
        <v>-1.6666666666666718E-2</v>
      </c>
      <c r="G138" s="301">
        <f>37.1673+24.8327</f>
        <v>62</v>
      </c>
      <c r="H138" s="301">
        <v>2</v>
      </c>
      <c r="I138" s="302">
        <f t="shared" ref="I138:I143" si="17">G138+H138</f>
        <v>64</v>
      </c>
      <c r="J138" s="309">
        <f t="shared" ref="J138:J143" si="18">I138/I137-1</f>
        <v>-3.0303030303030276E-2</v>
      </c>
      <c r="K138" s="329">
        <f>37.1673+24.8327</f>
        <v>62</v>
      </c>
      <c r="L138" s="311">
        <f t="shared" ref="L138:L143" si="19">K138</f>
        <v>62</v>
      </c>
      <c r="M138" s="312">
        <f t="shared" ref="M138:M143" si="20">L138/L137-1</f>
        <v>-3.125E-2</v>
      </c>
    </row>
    <row r="139" spans="1:13" ht="15">
      <c r="A139" s="326">
        <v>42491</v>
      </c>
      <c r="B139" s="295">
        <f>4.2617*100</f>
        <v>426.17</v>
      </c>
      <c r="C139" s="321">
        <f>41.8089+18.1911</f>
        <v>60</v>
      </c>
      <c r="D139" s="321">
        <v>2</v>
      </c>
      <c r="E139" s="331">
        <f t="shared" si="15"/>
        <v>62</v>
      </c>
      <c r="F139" s="308">
        <f t="shared" si="16"/>
        <v>5.0847457627118731E-2</v>
      </c>
      <c r="G139" s="301">
        <f>41.1106+24.8894</f>
        <v>66</v>
      </c>
      <c r="H139" s="301">
        <v>2</v>
      </c>
      <c r="I139" s="302">
        <f t="shared" si="17"/>
        <v>68</v>
      </c>
      <c r="J139" s="309">
        <f t="shared" si="18"/>
        <v>6.25E-2</v>
      </c>
      <c r="K139" s="329">
        <f>41.1106+24.8894</f>
        <v>66</v>
      </c>
      <c r="L139" s="311">
        <f t="shared" si="19"/>
        <v>66</v>
      </c>
      <c r="M139" s="312">
        <f t="shared" si="20"/>
        <v>6.4516129032258007E-2</v>
      </c>
    </row>
    <row r="140" spans="1:13" ht="15">
      <c r="A140" s="326">
        <v>42506</v>
      </c>
      <c r="B140" s="295">
        <f>4.2436*100</f>
        <v>424.35999999999996</v>
      </c>
      <c r="C140" s="321">
        <f>42.7454+17.2546</f>
        <v>60</v>
      </c>
      <c r="D140" s="321">
        <v>2</v>
      </c>
      <c r="E140" s="331">
        <f t="shared" si="15"/>
        <v>62</v>
      </c>
      <c r="F140" s="308">
        <f t="shared" si="16"/>
        <v>0</v>
      </c>
      <c r="G140" s="301">
        <f>42.683+24.317</f>
        <v>67</v>
      </c>
      <c r="H140" s="301">
        <v>2</v>
      </c>
      <c r="I140" s="302">
        <f t="shared" si="17"/>
        <v>69</v>
      </c>
      <c r="J140" s="309">
        <f t="shared" si="18"/>
        <v>1.4705882352941124E-2</v>
      </c>
      <c r="K140" s="329">
        <f>42.683+24.317</f>
        <v>67</v>
      </c>
      <c r="L140" s="311">
        <f t="shared" si="19"/>
        <v>67</v>
      </c>
      <c r="M140" s="312">
        <f t="shared" si="20"/>
        <v>1.5151515151515138E-2</v>
      </c>
    </row>
    <row r="141" spans="1:13" ht="15">
      <c r="A141" s="326">
        <v>42522</v>
      </c>
      <c r="B141" s="295">
        <f>4.1*100</f>
        <v>409.99999999999994</v>
      </c>
      <c r="C141" s="321">
        <f>45.755+17.245</f>
        <v>63</v>
      </c>
      <c r="D141" s="321">
        <v>2</v>
      </c>
      <c r="E141" s="331">
        <f t="shared" si="15"/>
        <v>65</v>
      </c>
      <c r="F141" s="308">
        <f t="shared" si="16"/>
        <v>4.8387096774193505E-2</v>
      </c>
      <c r="G141" s="301">
        <f>45.7139+24.2861</f>
        <v>70</v>
      </c>
      <c r="H141" s="301">
        <v>2</v>
      </c>
      <c r="I141" s="302">
        <f t="shared" si="17"/>
        <v>72</v>
      </c>
      <c r="J141" s="309">
        <f t="shared" si="18"/>
        <v>4.3478260869565188E-2</v>
      </c>
      <c r="K141" s="329">
        <f>45.7139+24.2861</f>
        <v>70</v>
      </c>
      <c r="L141" s="311">
        <f t="shared" si="19"/>
        <v>70</v>
      </c>
      <c r="M141" s="312">
        <f t="shared" si="20"/>
        <v>4.4776119402984982E-2</v>
      </c>
    </row>
    <row r="142" spans="1:13" ht="15">
      <c r="A142" s="326">
        <v>42537</v>
      </c>
      <c r="B142" s="295">
        <f>4.1*100</f>
        <v>409.99999999999994</v>
      </c>
      <c r="C142" s="321">
        <f>47.1707+16.8293</f>
        <v>64</v>
      </c>
      <c r="D142" s="321">
        <v>2</v>
      </c>
      <c r="E142" s="331">
        <f t="shared" si="15"/>
        <v>66</v>
      </c>
      <c r="F142" s="308">
        <f t="shared" si="16"/>
        <v>1.538461538461533E-2</v>
      </c>
      <c r="G142" s="301">
        <f>47.0897+23.9103</f>
        <v>71</v>
      </c>
      <c r="H142" s="301">
        <v>2</v>
      </c>
      <c r="I142" s="302">
        <f t="shared" si="17"/>
        <v>73</v>
      </c>
      <c r="J142" s="309">
        <f t="shared" si="18"/>
        <v>1.388888888888884E-2</v>
      </c>
      <c r="K142" s="329">
        <f>47.0897+23.9103</f>
        <v>71</v>
      </c>
      <c r="L142" s="311">
        <f t="shared" si="19"/>
        <v>71</v>
      </c>
      <c r="M142" s="312">
        <f t="shared" si="20"/>
        <v>1.4285714285714235E-2</v>
      </c>
    </row>
    <row r="143" spans="1:13" ht="15">
      <c r="A143" s="326">
        <v>42552</v>
      </c>
      <c r="B143" s="295">
        <f>4.1*100</f>
        <v>409.99999999999994</v>
      </c>
      <c r="C143" s="321">
        <f>46.2236+16.7764</f>
        <v>63</v>
      </c>
      <c r="D143" s="321">
        <v>2</v>
      </c>
      <c r="E143" s="331">
        <f t="shared" si="15"/>
        <v>65</v>
      </c>
      <c r="F143" s="308">
        <f t="shared" si="16"/>
        <v>-1.5151515151515138E-2</v>
      </c>
      <c r="G143" s="301">
        <f>46.3377+23.6623</f>
        <v>70</v>
      </c>
      <c r="H143" s="301">
        <v>2</v>
      </c>
      <c r="I143" s="302">
        <f t="shared" si="17"/>
        <v>72</v>
      </c>
      <c r="J143" s="309">
        <f t="shared" si="18"/>
        <v>-1.3698630136986356E-2</v>
      </c>
      <c r="K143" s="329">
        <f>46.3377+23.6623</f>
        <v>70</v>
      </c>
      <c r="L143" s="311">
        <f t="shared" si="19"/>
        <v>70</v>
      </c>
      <c r="M143" s="312">
        <f t="shared" si="20"/>
        <v>-1.4084507042253502E-2</v>
      </c>
    </row>
    <row r="144" spans="1:13" ht="15">
      <c r="A144" s="326">
        <v>42567</v>
      </c>
      <c r="B144" s="332">
        <f>4.1*100</f>
        <v>409.99999999999994</v>
      </c>
      <c r="C144" s="321">
        <f>45.3593+16.6407</f>
        <v>62</v>
      </c>
      <c r="D144" s="321">
        <v>2</v>
      </c>
      <c r="E144" s="331">
        <f t="shared" ref="E144:E154" si="21">C144+D144</f>
        <v>64</v>
      </c>
      <c r="F144" s="308">
        <f t="shared" ref="F144:F154" si="22">E144/E143-1</f>
        <v>-1.538461538461533E-2</v>
      </c>
      <c r="G144" s="301">
        <f>44.6519+23.3481</f>
        <v>68</v>
      </c>
      <c r="H144" s="301">
        <v>2</v>
      </c>
      <c r="I144" s="302">
        <f t="shared" ref="I144:I154" si="23">G144+H144</f>
        <v>70</v>
      </c>
      <c r="J144" s="309">
        <f t="shared" ref="J144:J154" si="24">I144/I143-1</f>
        <v>-2.777777777777779E-2</v>
      </c>
      <c r="K144" s="329">
        <f>44.6519+23.3481</f>
        <v>68</v>
      </c>
      <c r="L144" s="311">
        <f t="shared" ref="L144:L154" si="25">K144</f>
        <v>68</v>
      </c>
      <c r="M144" s="312">
        <f t="shared" ref="M144:M154" si="26">L144/L143-1</f>
        <v>-2.8571428571428581E-2</v>
      </c>
    </row>
    <row r="145" spans="1:13" ht="15">
      <c r="A145" s="326">
        <v>42583</v>
      </c>
      <c r="B145" s="332">
        <f t="shared" ref="B145:B150" si="27">4.2*100</f>
        <v>420</v>
      </c>
      <c r="C145" s="321">
        <f>43.7417+16.2583</f>
        <v>60</v>
      </c>
      <c r="D145" s="321">
        <v>2</v>
      </c>
      <c r="E145" s="331">
        <f t="shared" si="21"/>
        <v>62</v>
      </c>
      <c r="F145" s="308">
        <f t="shared" si="22"/>
        <v>-3.125E-2</v>
      </c>
      <c r="G145" s="301">
        <f>42.7583+23.2417</f>
        <v>66</v>
      </c>
      <c r="H145" s="301">
        <v>2</v>
      </c>
      <c r="I145" s="302">
        <f t="shared" si="23"/>
        <v>68</v>
      </c>
      <c r="J145" s="309">
        <f t="shared" si="24"/>
        <v>-2.8571428571428581E-2</v>
      </c>
      <c r="K145" s="329">
        <f>42.7583+23.2417</f>
        <v>66</v>
      </c>
      <c r="L145" s="311">
        <f t="shared" si="25"/>
        <v>66</v>
      </c>
      <c r="M145" s="312">
        <f t="shared" si="26"/>
        <v>-2.9411764705882359E-2</v>
      </c>
    </row>
    <row r="146" spans="1:13" ht="15">
      <c r="A146" s="326">
        <v>42585</v>
      </c>
      <c r="B146" s="332">
        <f t="shared" si="27"/>
        <v>420</v>
      </c>
      <c r="C146" s="321">
        <f>43.7417+0.2583</f>
        <v>44</v>
      </c>
      <c r="D146" s="321">
        <v>2</v>
      </c>
      <c r="E146" s="331">
        <f t="shared" si="21"/>
        <v>46</v>
      </c>
      <c r="F146" s="308">
        <f t="shared" si="22"/>
        <v>-0.25806451612903225</v>
      </c>
      <c r="G146" s="301">
        <f>42.7583+23.2417</f>
        <v>66</v>
      </c>
      <c r="H146" s="301">
        <v>2</v>
      </c>
      <c r="I146" s="302">
        <f t="shared" si="23"/>
        <v>68</v>
      </c>
      <c r="J146" s="309">
        <f t="shared" si="24"/>
        <v>0</v>
      </c>
      <c r="K146" s="329">
        <f>42.7583+23.2417</f>
        <v>66</v>
      </c>
      <c r="L146" s="311">
        <f t="shared" si="25"/>
        <v>66</v>
      </c>
      <c r="M146" s="312">
        <f t="shared" si="26"/>
        <v>0</v>
      </c>
    </row>
    <row r="147" spans="1:13" ht="15">
      <c r="A147" s="326">
        <v>42598</v>
      </c>
      <c r="B147" s="332">
        <f t="shared" si="27"/>
        <v>420</v>
      </c>
      <c r="C147" s="321">
        <f>41.2552+0.7448</f>
        <v>42</v>
      </c>
      <c r="D147" s="321">
        <v>2</v>
      </c>
      <c r="E147" s="331">
        <f t="shared" si="21"/>
        <v>44</v>
      </c>
      <c r="F147" s="308">
        <f t="shared" si="22"/>
        <v>-4.3478260869565188E-2</v>
      </c>
      <c r="G147" s="301">
        <f>40.7015+23.2985</f>
        <v>64</v>
      </c>
      <c r="H147" s="301">
        <v>2</v>
      </c>
      <c r="I147" s="302">
        <f t="shared" si="23"/>
        <v>66</v>
      </c>
      <c r="J147" s="309">
        <f t="shared" si="24"/>
        <v>-2.9411764705882359E-2</v>
      </c>
      <c r="K147" s="329">
        <f>40.7015+23.2985</f>
        <v>64</v>
      </c>
      <c r="L147" s="311">
        <f t="shared" si="25"/>
        <v>64</v>
      </c>
      <c r="M147" s="312">
        <f t="shared" si="26"/>
        <v>-3.0303030303030276E-2</v>
      </c>
    </row>
    <row r="148" spans="1:13" ht="15">
      <c r="A148" s="326">
        <v>42614</v>
      </c>
      <c r="B148" s="332">
        <f t="shared" si="27"/>
        <v>420</v>
      </c>
      <c r="C148" s="321">
        <f>45.7403+0.2597</f>
        <v>46</v>
      </c>
      <c r="D148" s="321">
        <v>2</v>
      </c>
      <c r="E148" s="331">
        <f t="shared" si="21"/>
        <v>48</v>
      </c>
      <c r="F148" s="308">
        <f t="shared" si="22"/>
        <v>9.0909090909090828E-2</v>
      </c>
      <c r="G148" s="301">
        <f>45.4047+23.5953</f>
        <v>69</v>
      </c>
      <c r="H148" s="301">
        <v>2</v>
      </c>
      <c r="I148" s="302">
        <f t="shared" si="23"/>
        <v>71</v>
      </c>
      <c r="J148" s="309">
        <f t="shared" si="24"/>
        <v>7.575757575757569E-2</v>
      </c>
      <c r="K148" s="329">
        <f>45.4047+23.5953</f>
        <v>69</v>
      </c>
      <c r="L148" s="311">
        <f t="shared" si="25"/>
        <v>69</v>
      </c>
      <c r="M148" s="312">
        <f t="shared" si="26"/>
        <v>7.8125E-2</v>
      </c>
    </row>
    <row r="149" spans="1:13" ht="15">
      <c r="A149" s="326">
        <v>42629</v>
      </c>
      <c r="B149" s="332">
        <f t="shared" si="27"/>
        <v>420</v>
      </c>
      <c r="C149" s="321">
        <f>44.5125+0.4875</f>
        <v>45</v>
      </c>
      <c r="D149" s="321">
        <v>2</v>
      </c>
      <c r="E149" s="331">
        <f t="shared" si="21"/>
        <v>47</v>
      </c>
      <c r="F149" s="308">
        <f t="shared" si="22"/>
        <v>-2.083333333333337E-2</v>
      </c>
      <c r="G149" s="301">
        <f>44.051+23.949</f>
        <v>68</v>
      </c>
      <c r="H149" s="301">
        <v>2</v>
      </c>
      <c r="I149" s="302">
        <f t="shared" si="23"/>
        <v>70</v>
      </c>
      <c r="J149" s="309">
        <f t="shared" si="24"/>
        <v>-1.4084507042253502E-2</v>
      </c>
      <c r="K149" s="329">
        <f>44.051+23.949</f>
        <v>68</v>
      </c>
      <c r="L149" s="311">
        <f t="shared" si="25"/>
        <v>68</v>
      </c>
      <c r="M149" s="312">
        <f t="shared" si="26"/>
        <v>-1.4492753623188359E-2</v>
      </c>
    </row>
    <row r="150" spans="1:13" ht="15">
      <c r="A150" s="326">
        <v>42644</v>
      </c>
      <c r="B150" s="332">
        <f t="shared" si="27"/>
        <v>420</v>
      </c>
      <c r="C150" s="321">
        <f>44.458+0.5411</f>
        <v>44.999099999999999</v>
      </c>
      <c r="D150" s="321">
        <v>2</v>
      </c>
      <c r="E150" s="331">
        <f t="shared" si="21"/>
        <v>46.999099999999999</v>
      </c>
      <c r="F150" s="308">
        <f t="shared" si="22"/>
        <v>-1.9148936170276798E-5</v>
      </c>
      <c r="G150" s="301">
        <f>44.166+23.834</f>
        <v>68</v>
      </c>
      <c r="H150" s="301">
        <v>2</v>
      </c>
      <c r="I150" s="302">
        <f t="shared" si="23"/>
        <v>70</v>
      </c>
      <c r="J150" s="309">
        <f t="shared" si="24"/>
        <v>0</v>
      </c>
      <c r="K150" s="329">
        <f>44.166+23.834</f>
        <v>68</v>
      </c>
      <c r="L150" s="311">
        <f t="shared" si="25"/>
        <v>68</v>
      </c>
      <c r="M150" s="312">
        <f t="shared" si="26"/>
        <v>0</v>
      </c>
    </row>
    <row r="151" spans="1:13" ht="15">
      <c r="A151" s="326">
        <v>42659</v>
      </c>
      <c r="B151" s="332">
        <f>4.2*100</f>
        <v>420</v>
      </c>
      <c r="C151" s="321">
        <f>47.0557+0.9443</f>
        <v>48</v>
      </c>
      <c r="D151" s="321">
        <v>2</v>
      </c>
      <c r="E151" s="331">
        <f t="shared" si="21"/>
        <v>50</v>
      </c>
      <c r="F151" s="308">
        <f t="shared" si="22"/>
        <v>6.3850158832828852E-2</v>
      </c>
      <c r="G151" s="301">
        <f>46.7894+23.2106</f>
        <v>70</v>
      </c>
      <c r="H151" s="301">
        <v>2</v>
      </c>
      <c r="I151" s="302">
        <f t="shared" si="23"/>
        <v>72</v>
      </c>
      <c r="J151" s="309">
        <f t="shared" si="24"/>
        <v>2.857142857142847E-2</v>
      </c>
      <c r="K151" s="329">
        <f>46.7894+23.2106</f>
        <v>70</v>
      </c>
      <c r="L151" s="311">
        <f t="shared" si="25"/>
        <v>70</v>
      </c>
      <c r="M151" s="312">
        <f t="shared" si="26"/>
        <v>2.9411764705882248E-2</v>
      </c>
    </row>
    <row r="152" spans="1:13" ht="15">
      <c r="A152" s="326">
        <v>42675</v>
      </c>
      <c r="B152" s="332">
        <f>4.2*100</f>
        <v>420</v>
      </c>
      <c r="C152" s="321">
        <f>48.175+0.825</f>
        <v>49</v>
      </c>
      <c r="D152" s="321">
        <v>2</v>
      </c>
      <c r="E152" s="331">
        <f t="shared" si="21"/>
        <v>51</v>
      </c>
      <c r="F152" s="308">
        <f t="shared" si="22"/>
        <v>2.0000000000000018E-2</v>
      </c>
      <c r="G152" s="301">
        <f>47.9244+23.0756</f>
        <v>71</v>
      </c>
      <c r="H152" s="301">
        <v>2</v>
      </c>
      <c r="I152" s="302">
        <f t="shared" si="23"/>
        <v>73</v>
      </c>
      <c r="J152" s="309">
        <f t="shared" si="24"/>
        <v>1.388888888888884E-2</v>
      </c>
      <c r="K152" s="329">
        <f>47.9244+23.0756</f>
        <v>71</v>
      </c>
      <c r="L152" s="311">
        <f t="shared" si="25"/>
        <v>71</v>
      </c>
      <c r="M152" s="312">
        <f t="shared" si="26"/>
        <v>1.4285714285714235E-2</v>
      </c>
    </row>
    <row r="153" spans="1:13" ht="15">
      <c r="A153" s="326">
        <v>42690</v>
      </c>
      <c r="B153" s="332">
        <f>4.2*100</f>
        <v>420</v>
      </c>
      <c r="C153" s="321">
        <f>45.6634+0.3366</f>
        <v>46</v>
      </c>
      <c r="D153" s="321">
        <v>2</v>
      </c>
      <c r="E153" s="331">
        <f t="shared" si="21"/>
        <v>48</v>
      </c>
      <c r="F153" s="308">
        <f t="shared" si="22"/>
        <v>-5.8823529411764719E-2</v>
      </c>
      <c r="G153" s="301">
        <f>44.8015+0.1985</f>
        <v>45</v>
      </c>
      <c r="H153" s="301">
        <v>2</v>
      </c>
      <c r="I153" s="302">
        <f t="shared" si="23"/>
        <v>47</v>
      </c>
      <c r="J153" s="309">
        <f t="shared" si="24"/>
        <v>-0.35616438356164382</v>
      </c>
      <c r="K153" s="329">
        <f>44.8015+0.1985</f>
        <v>45</v>
      </c>
      <c r="L153" s="311">
        <f t="shared" si="25"/>
        <v>45</v>
      </c>
      <c r="M153" s="312">
        <f t="shared" si="26"/>
        <v>-0.36619718309859151</v>
      </c>
    </row>
    <row r="154" spans="1:13" ht="15">
      <c r="A154" s="326">
        <v>42705</v>
      </c>
      <c r="B154" s="332">
        <f>4.3*100</f>
        <v>430</v>
      </c>
      <c r="C154" s="321">
        <f>45.8448+0.1552</f>
        <v>46</v>
      </c>
      <c r="D154" s="321">
        <v>2</v>
      </c>
      <c r="E154" s="331">
        <f t="shared" si="21"/>
        <v>48</v>
      </c>
      <c r="F154" s="308">
        <f t="shared" si="22"/>
        <v>0</v>
      </c>
      <c r="G154" s="301">
        <f>44.9878+0.0122</f>
        <v>45</v>
      </c>
      <c r="H154" s="301">
        <v>2</v>
      </c>
      <c r="I154" s="302">
        <f t="shared" si="23"/>
        <v>47</v>
      </c>
      <c r="J154" s="309">
        <f t="shared" si="24"/>
        <v>0</v>
      </c>
      <c r="K154" s="329">
        <f>44.9878+0.0122</f>
        <v>45</v>
      </c>
      <c r="L154" s="311">
        <f t="shared" si="25"/>
        <v>45</v>
      </c>
      <c r="M154" s="312">
        <f t="shared" si="26"/>
        <v>0</v>
      </c>
    </row>
    <row r="155" spans="1:13" ht="15">
      <c r="A155" s="326">
        <v>42720</v>
      </c>
      <c r="B155" s="332">
        <f>4.3*100</f>
        <v>430</v>
      </c>
      <c r="C155" s="321">
        <f>48.7446+0.2554</f>
        <v>49</v>
      </c>
      <c r="D155" s="321">
        <v>2</v>
      </c>
      <c r="E155" s="331">
        <f t="shared" ref="E155:E189" si="28">C155+D155</f>
        <v>51</v>
      </c>
      <c r="F155" s="308">
        <f t="shared" ref="F155:F188" si="29">E155/E154-1</f>
        <v>6.25E-2</v>
      </c>
      <c r="G155" s="301">
        <f>47.7319+0.2681</f>
        <v>48</v>
      </c>
      <c r="H155" s="301">
        <v>2</v>
      </c>
      <c r="I155" s="302">
        <f t="shared" ref="I155:I187" si="30">G155+H155</f>
        <v>50</v>
      </c>
      <c r="J155" s="309">
        <f t="shared" ref="J155:J190" si="31">I155/I154-1</f>
        <v>6.3829787234042534E-2</v>
      </c>
      <c r="K155" s="329">
        <f>47.7319+0.2681</f>
        <v>48</v>
      </c>
      <c r="L155" s="311">
        <f t="shared" ref="L155:L190" si="32">K155</f>
        <v>48</v>
      </c>
      <c r="M155" s="312">
        <f t="shared" ref="M155:M190" si="33">L155/L154-1</f>
        <v>6.6666666666666652E-2</v>
      </c>
    </row>
    <row r="156" spans="1:13" ht="15">
      <c r="A156" s="326">
        <v>42736</v>
      </c>
      <c r="B156" s="332">
        <f>4.4*100</f>
        <v>440.00000000000006</v>
      </c>
      <c r="C156" s="321">
        <f>50.27+0.73</f>
        <v>51</v>
      </c>
      <c r="D156" s="321">
        <v>2</v>
      </c>
      <c r="E156" s="331">
        <f t="shared" si="28"/>
        <v>53</v>
      </c>
      <c r="F156" s="308">
        <f t="shared" si="29"/>
        <v>3.9215686274509887E-2</v>
      </c>
      <c r="G156" s="301">
        <f>49.5761+0.4239</f>
        <v>50</v>
      </c>
      <c r="H156" s="301">
        <v>2</v>
      </c>
      <c r="I156" s="302">
        <f t="shared" si="30"/>
        <v>52</v>
      </c>
      <c r="J156" s="309">
        <f t="shared" si="31"/>
        <v>4.0000000000000036E-2</v>
      </c>
      <c r="K156" s="329">
        <f>49.5761+0.4239</f>
        <v>50</v>
      </c>
      <c r="L156" s="311">
        <f t="shared" si="32"/>
        <v>50</v>
      </c>
      <c r="M156" s="312">
        <f t="shared" si="33"/>
        <v>4.1666666666666741E-2</v>
      </c>
    </row>
    <row r="157" spans="1:13" ht="15">
      <c r="A157" s="326">
        <v>42751</v>
      </c>
      <c r="B157" s="332">
        <f>4.4*100</f>
        <v>440.00000000000006</v>
      </c>
      <c r="C157" s="321">
        <f>51.1124+0.8876</f>
        <v>52</v>
      </c>
      <c r="D157" s="321">
        <v>2</v>
      </c>
      <c r="E157" s="331">
        <f t="shared" si="28"/>
        <v>54</v>
      </c>
      <c r="F157" s="308">
        <f t="shared" si="29"/>
        <v>1.8867924528301883E-2</v>
      </c>
      <c r="G157" s="301">
        <f>49.9881+0.0119</f>
        <v>50</v>
      </c>
      <c r="H157" s="301">
        <v>2</v>
      </c>
      <c r="I157" s="302">
        <f t="shared" si="30"/>
        <v>52</v>
      </c>
      <c r="J157" s="309">
        <f t="shared" si="31"/>
        <v>0</v>
      </c>
      <c r="K157" s="329">
        <f>49.9881+0.0119</f>
        <v>50</v>
      </c>
      <c r="L157" s="311">
        <f t="shared" si="32"/>
        <v>50</v>
      </c>
      <c r="M157" s="312">
        <f t="shared" si="33"/>
        <v>0</v>
      </c>
    </row>
    <row r="158" spans="1:13" ht="15">
      <c r="A158" s="326">
        <v>42756</v>
      </c>
      <c r="B158" s="332">
        <f>4.4*100</f>
        <v>440.00000000000006</v>
      </c>
      <c r="C158" s="321">
        <f>51.1124+0.8876</f>
        <v>52</v>
      </c>
      <c r="D158" s="321">
        <v>2</v>
      </c>
      <c r="E158" s="331">
        <f t="shared" si="28"/>
        <v>54</v>
      </c>
      <c r="F158" s="308">
        <f t="shared" si="29"/>
        <v>0</v>
      </c>
      <c r="G158" s="301">
        <f>49.9881+0.0119</f>
        <v>50</v>
      </c>
      <c r="H158" s="301">
        <v>2</v>
      </c>
      <c r="I158" s="302">
        <f t="shared" si="30"/>
        <v>52</v>
      </c>
      <c r="J158" s="309">
        <f t="shared" si="31"/>
        <v>0</v>
      </c>
      <c r="K158" s="329">
        <f>49.9881+0.0119</f>
        <v>50</v>
      </c>
      <c r="L158" s="311">
        <f t="shared" si="32"/>
        <v>50</v>
      </c>
      <c r="M158" s="312">
        <f t="shared" si="33"/>
        <v>0</v>
      </c>
    </row>
    <row r="159" spans="1:13" ht="15">
      <c r="A159" s="326">
        <v>42767</v>
      </c>
      <c r="B159" s="332">
        <f>4.5*100</f>
        <v>450</v>
      </c>
      <c r="C159" s="321">
        <f>50.8515+0.1485</f>
        <v>51</v>
      </c>
      <c r="D159" s="321">
        <v>2</v>
      </c>
      <c r="E159" s="331">
        <f t="shared" si="28"/>
        <v>53</v>
      </c>
      <c r="F159" s="308">
        <f t="shared" si="29"/>
        <v>-1.851851851851849E-2</v>
      </c>
      <c r="G159" s="301">
        <f>49.7065+0.2935</f>
        <v>50</v>
      </c>
      <c r="H159" s="301">
        <v>2</v>
      </c>
      <c r="I159" s="302">
        <f t="shared" si="30"/>
        <v>52</v>
      </c>
      <c r="J159" s="309">
        <f t="shared" si="31"/>
        <v>0</v>
      </c>
      <c r="K159" s="329">
        <f>49.7065+0.2935</f>
        <v>50</v>
      </c>
      <c r="L159" s="311">
        <f t="shared" si="32"/>
        <v>50</v>
      </c>
      <c r="M159" s="312">
        <f t="shared" si="33"/>
        <v>0</v>
      </c>
    </row>
    <row r="160" spans="1:13" ht="15">
      <c r="A160" s="326">
        <v>42782</v>
      </c>
      <c r="B160" s="332">
        <f>4.5*100</f>
        <v>450</v>
      </c>
      <c r="C160" s="321">
        <v>51.076799999999999</v>
      </c>
      <c r="D160" s="321">
        <v>2</v>
      </c>
      <c r="E160" s="331">
        <f t="shared" si="28"/>
        <v>53.076799999999999</v>
      </c>
      <c r="F160" s="308">
        <f t="shared" si="29"/>
        <v>1.4490566037734798E-3</v>
      </c>
      <c r="G160" s="301">
        <v>50.388300000000001</v>
      </c>
      <c r="H160" s="301">
        <v>2</v>
      </c>
      <c r="I160" s="302">
        <f t="shared" si="30"/>
        <v>52.388300000000001</v>
      </c>
      <c r="J160" s="309">
        <f t="shared" si="31"/>
        <v>7.4673076923077453E-3</v>
      </c>
      <c r="K160" s="329">
        <v>50.388300000000001</v>
      </c>
      <c r="L160" s="311">
        <f t="shared" si="32"/>
        <v>50.388300000000001</v>
      </c>
      <c r="M160" s="312">
        <f t="shared" si="33"/>
        <v>7.7659999999999396E-3</v>
      </c>
    </row>
    <row r="161" spans="1:13" ht="15">
      <c r="A161" s="326">
        <v>42795</v>
      </c>
      <c r="B161" s="332">
        <f>4.6*100</f>
        <v>459.99999999999994</v>
      </c>
      <c r="C161" s="321">
        <v>51.380400000000002</v>
      </c>
      <c r="D161" s="321">
        <v>2</v>
      </c>
      <c r="E161" s="331">
        <f t="shared" si="28"/>
        <v>53.380400000000002</v>
      </c>
      <c r="F161" s="308">
        <f t="shared" si="29"/>
        <v>5.7200132637988954E-3</v>
      </c>
      <c r="G161" s="301">
        <v>50.490900000000003</v>
      </c>
      <c r="H161" s="301">
        <v>2</v>
      </c>
      <c r="I161" s="302">
        <f t="shared" si="30"/>
        <v>52.490900000000003</v>
      </c>
      <c r="J161" s="309">
        <f t="shared" si="31"/>
        <v>1.9584525552460708E-3</v>
      </c>
      <c r="K161" s="329">
        <v>50.490900000000003</v>
      </c>
      <c r="L161" s="311">
        <f t="shared" si="32"/>
        <v>50.490900000000003</v>
      </c>
      <c r="M161" s="312">
        <f t="shared" si="33"/>
        <v>2.0361869719756065E-3</v>
      </c>
    </row>
    <row r="162" spans="1:13" ht="15">
      <c r="A162" s="326">
        <v>42810</v>
      </c>
      <c r="B162" s="332">
        <f>4.8584*100</f>
        <v>485.84</v>
      </c>
      <c r="C162" s="321">
        <v>50.124899999999997</v>
      </c>
      <c r="D162" s="321">
        <v>2</v>
      </c>
      <c r="E162" s="331">
        <f t="shared" si="28"/>
        <v>52.124899999999997</v>
      </c>
      <c r="F162" s="308">
        <f t="shared" si="29"/>
        <v>-2.3519868715858316E-2</v>
      </c>
      <c r="G162" s="301">
        <v>49.402900000000002</v>
      </c>
      <c r="H162" s="301">
        <v>2</v>
      </c>
      <c r="I162" s="302">
        <f t="shared" si="30"/>
        <v>51.402900000000002</v>
      </c>
      <c r="J162" s="309">
        <f t="shared" si="31"/>
        <v>-2.0727402273536977E-2</v>
      </c>
      <c r="K162" s="329">
        <v>49.402900000000002</v>
      </c>
      <c r="L162" s="311">
        <f t="shared" si="32"/>
        <v>49.402900000000002</v>
      </c>
      <c r="M162" s="312">
        <f t="shared" si="33"/>
        <v>-2.1548437441202273E-2</v>
      </c>
    </row>
    <row r="163" spans="1:13" ht="15">
      <c r="A163" s="326">
        <v>42826</v>
      </c>
      <c r="B163" s="332">
        <f>4.6396*100</f>
        <v>463.96</v>
      </c>
      <c r="C163" s="321">
        <v>47.650300000000001</v>
      </c>
      <c r="D163" s="321">
        <v>2</v>
      </c>
      <c r="E163" s="331">
        <f t="shared" si="28"/>
        <v>49.650300000000001</v>
      </c>
      <c r="F163" s="308">
        <f t="shared" si="29"/>
        <v>-4.7474431605624146E-2</v>
      </c>
      <c r="G163" s="301">
        <v>47.0137</v>
      </c>
      <c r="H163" s="301">
        <v>2</v>
      </c>
      <c r="I163" s="302">
        <f t="shared" si="30"/>
        <v>49.0137</v>
      </c>
      <c r="J163" s="309">
        <f t="shared" si="31"/>
        <v>-4.6479867867377123E-2</v>
      </c>
      <c r="K163" s="329">
        <v>47.0137</v>
      </c>
      <c r="L163" s="311">
        <f t="shared" si="32"/>
        <v>47.0137</v>
      </c>
      <c r="M163" s="312">
        <f t="shared" si="33"/>
        <v>-4.8361533432247916E-2</v>
      </c>
    </row>
    <row r="164" spans="1:13" ht="15">
      <c r="A164" s="326">
        <v>42841</v>
      </c>
      <c r="B164" s="332">
        <f>4.5065*100</f>
        <v>450.65</v>
      </c>
      <c r="C164" s="321">
        <v>49.816299999999998</v>
      </c>
      <c r="D164" s="321">
        <v>2</v>
      </c>
      <c r="E164" s="331">
        <f t="shared" si="28"/>
        <v>51.816299999999998</v>
      </c>
      <c r="F164" s="308">
        <f t="shared" si="29"/>
        <v>4.3625114047649127E-2</v>
      </c>
      <c r="G164" s="301">
        <v>48.799500000000002</v>
      </c>
      <c r="H164" s="301">
        <v>2</v>
      </c>
      <c r="I164" s="302">
        <f t="shared" si="30"/>
        <v>50.799500000000002</v>
      </c>
      <c r="J164" s="309">
        <f t="shared" si="31"/>
        <v>3.6434711111383189E-2</v>
      </c>
      <c r="K164" s="329">
        <v>48.799500000000002</v>
      </c>
      <c r="L164" s="311">
        <f t="shared" si="32"/>
        <v>48.799500000000002</v>
      </c>
      <c r="M164" s="312">
        <f t="shared" si="33"/>
        <v>3.7984672552894283E-2</v>
      </c>
    </row>
    <row r="165" spans="1:13" ht="15">
      <c r="A165" s="326">
        <v>42856</v>
      </c>
      <c r="B165" s="332">
        <f>4.4238*100</f>
        <v>442.38</v>
      </c>
      <c r="C165" s="321">
        <v>50.049700000000001</v>
      </c>
      <c r="D165" s="321">
        <v>2</v>
      </c>
      <c r="E165" s="331">
        <f t="shared" si="28"/>
        <v>52.049700000000001</v>
      </c>
      <c r="F165" s="308">
        <f t="shared" si="29"/>
        <v>4.5043741062176235E-3</v>
      </c>
      <c r="G165" s="301">
        <v>49.207900000000002</v>
      </c>
      <c r="H165" s="301">
        <v>2</v>
      </c>
      <c r="I165" s="302">
        <f t="shared" si="30"/>
        <v>51.207900000000002</v>
      </c>
      <c r="J165" s="309">
        <f t="shared" si="31"/>
        <v>8.0394492071771406E-3</v>
      </c>
      <c r="K165" s="329">
        <v>49.207900000000002</v>
      </c>
      <c r="L165" s="311">
        <f t="shared" si="32"/>
        <v>49.207900000000002</v>
      </c>
      <c r="M165" s="312">
        <f t="shared" si="33"/>
        <v>8.3689382063341089E-3</v>
      </c>
    </row>
    <row r="166" spans="1:13" ht="15">
      <c r="A166" s="326">
        <v>42871</v>
      </c>
      <c r="B166" s="332">
        <f>4.4448*100</f>
        <v>444.47999999999996</v>
      </c>
      <c r="C166" s="321">
        <v>46.882599999999996</v>
      </c>
      <c r="D166" s="321">
        <v>2</v>
      </c>
      <c r="E166" s="331">
        <f t="shared" si="28"/>
        <v>48.882599999999996</v>
      </c>
      <c r="F166" s="308">
        <f t="shared" si="29"/>
        <v>-6.0847612954541663E-2</v>
      </c>
      <c r="G166" s="301">
        <v>46.033499999999997</v>
      </c>
      <c r="H166" s="301">
        <v>2</v>
      </c>
      <c r="I166" s="302">
        <f t="shared" si="30"/>
        <v>48.033499999999997</v>
      </c>
      <c r="J166" s="309">
        <f t="shared" si="31"/>
        <v>-6.1990435069589012E-2</v>
      </c>
      <c r="K166" s="329">
        <v>46.033499999999997</v>
      </c>
      <c r="L166" s="311">
        <f t="shared" si="32"/>
        <v>46.033499999999997</v>
      </c>
      <c r="M166" s="312">
        <f t="shared" si="33"/>
        <v>-6.4509966895559545E-2</v>
      </c>
    </row>
    <row r="167" spans="1:13" ht="15">
      <c r="A167" s="326">
        <v>42887</v>
      </c>
      <c r="B167" s="332">
        <f>4.528*100</f>
        <v>452.79999999999995</v>
      </c>
      <c r="C167" s="321">
        <v>49.017699999999998</v>
      </c>
      <c r="D167" s="321">
        <v>2</v>
      </c>
      <c r="E167" s="331">
        <f t="shared" si="28"/>
        <v>51.017699999999998</v>
      </c>
      <c r="F167" s="308">
        <f t="shared" si="29"/>
        <v>4.3678118594346449E-2</v>
      </c>
      <c r="G167" s="301">
        <v>48.202800000000003</v>
      </c>
      <c r="H167" s="301">
        <v>2</v>
      </c>
      <c r="I167" s="302">
        <f t="shared" si="30"/>
        <v>50.202800000000003</v>
      </c>
      <c r="J167" s="309">
        <f t="shared" si="31"/>
        <v>4.5162230526611724E-2</v>
      </c>
      <c r="K167" s="329">
        <v>48.202800000000003</v>
      </c>
      <c r="L167" s="311">
        <f t="shared" si="32"/>
        <v>48.202800000000003</v>
      </c>
      <c r="M167" s="312">
        <f t="shared" si="33"/>
        <v>4.7124376812538893E-2</v>
      </c>
    </row>
    <row r="168" spans="1:13" ht="15">
      <c r="A168" s="326">
        <v>42902</v>
      </c>
      <c r="B168" s="332">
        <f>4.5189*100</f>
        <v>451.89000000000004</v>
      </c>
      <c r="C168" s="321">
        <v>46.588099999999997</v>
      </c>
      <c r="D168" s="321">
        <v>2</v>
      </c>
      <c r="E168" s="331">
        <f t="shared" si="28"/>
        <v>48.588099999999997</v>
      </c>
      <c r="F168" s="308">
        <f t="shared" si="29"/>
        <v>-4.7622687812269082E-2</v>
      </c>
      <c r="G168" s="301">
        <v>45.419400000000003</v>
      </c>
      <c r="H168" s="301">
        <v>2</v>
      </c>
      <c r="I168" s="302">
        <f t="shared" si="30"/>
        <v>47.419400000000003</v>
      </c>
      <c r="J168" s="309">
        <f t="shared" si="31"/>
        <v>-5.5443122694351699E-2</v>
      </c>
      <c r="K168" s="329">
        <v>45.419400000000003</v>
      </c>
      <c r="L168" s="311">
        <f t="shared" si="32"/>
        <v>45.419400000000003</v>
      </c>
      <c r="M168" s="312">
        <f t="shared" si="33"/>
        <v>-5.7743533570663974E-2</v>
      </c>
    </row>
    <row r="169" spans="1:13" ht="15">
      <c r="A169" s="326">
        <v>42917</v>
      </c>
      <c r="B169" s="332">
        <f>4.6458*100</f>
        <v>464.58000000000004</v>
      </c>
      <c r="C169" s="321">
        <v>45.273200000000003</v>
      </c>
      <c r="D169" s="321">
        <v>2</v>
      </c>
      <c r="E169" s="331">
        <f t="shared" si="28"/>
        <v>47.273200000000003</v>
      </c>
      <c r="F169" s="308">
        <f t="shared" si="29"/>
        <v>-2.706218189227394E-2</v>
      </c>
      <c r="G169" s="301">
        <v>44.820900000000002</v>
      </c>
      <c r="H169" s="301">
        <v>2</v>
      </c>
      <c r="I169" s="302">
        <f t="shared" si="30"/>
        <v>46.820900000000002</v>
      </c>
      <c r="J169" s="309">
        <f t="shared" si="31"/>
        <v>-1.2621416551031883E-2</v>
      </c>
      <c r="K169" s="329">
        <v>44.820900000000002</v>
      </c>
      <c r="L169" s="311">
        <f t="shared" si="32"/>
        <v>44.820900000000002</v>
      </c>
      <c r="M169" s="312">
        <f t="shared" si="33"/>
        <v>-1.3177188602227274E-2</v>
      </c>
    </row>
    <row r="170" spans="1:13" ht="15">
      <c r="A170" s="326">
        <v>42932</v>
      </c>
      <c r="B170" s="332">
        <f>4.6382*100</f>
        <v>463.82000000000005</v>
      </c>
      <c r="C170" s="321">
        <v>46.976900000000001</v>
      </c>
      <c r="D170" s="321">
        <v>2</v>
      </c>
      <c r="E170" s="331">
        <f t="shared" si="28"/>
        <v>48.976900000000001</v>
      </c>
      <c r="F170" s="308">
        <f t="shared" si="29"/>
        <v>3.6039447297834704E-2</v>
      </c>
      <c r="G170" s="301">
        <v>45.314500000000002</v>
      </c>
      <c r="H170" s="301">
        <v>2</v>
      </c>
      <c r="I170" s="302">
        <f t="shared" si="30"/>
        <v>47.314500000000002</v>
      </c>
      <c r="J170" s="309">
        <f t="shared" si="31"/>
        <v>1.0542300553812556E-2</v>
      </c>
      <c r="K170" s="329">
        <v>45.314500000000002</v>
      </c>
      <c r="L170" s="311">
        <f t="shared" si="32"/>
        <v>45.314500000000002</v>
      </c>
      <c r="M170" s="312">
        <f t="shared" si="33"/>
        <v>1.1012719512548896E-2</v>
      </c>
    </row>
    <row r="171" spans="1:13" ht="15">
      <c r="A171" s="326">
        <v>42948</v>
      </c>
      <c r="B171" s="332">
        <f>4.6646*100</f>
        <v>466.46000000000004</v>
      </c>
      <c r="C171" s="321">
        <v>47.980800000000002</v>
      </c>
      <c r="D171" s="321">
        <v>2</v>
      </c>
      <c r="E171" s="331">
        <f t="shared" si="28"/>
        <v>49.980800000000002</v>
      </c>
      <c r="F171" s="308">
        <f t="shared" si="29"/>
        <v>2.0497418170607018E-2</v>
      </c>
      <c r="G171" s="301">
        <v>47.711199999999998</v>
      </c>
      <c r="H171" s="301">
        <v>2</v>
      </c>
      <c r="I171" s="302">
        <f t="shared" si="30"/>
        <v>49.711199999999998</v>
      </c>
      <c r="J171" s="309">
        <f t="shared" si="31"/>
        <v>5.0654661890118247E-2</v>
      </c>
      <c r="K171" s="329">
        <v>47.711199999999998</v>
      </c>
      <c r="L171" s="311">
        <f t="shared" si="32"/>
        <v>47.711199999999998</v>
      </c>
      <c r="M171" s="312">
        <f t="shared" si="33"/>
        <v>5.2890355184322724E-2</v>
      </c>
    </row>
    <row r="172" spans="1:13" ht="15">
      <c r="A172" s="326">
        <v>42963</v>
      </c>
      <c r="B172" s="332">
        <f>4.6837*100</f>
        <v>468.37</v>
      </c>
      <c r="C172" s="321">
        <v>50.640799999999999</v>
      </c>
      <c r="D172" s="321">
        <v>2</v>
      </c>
      <c r="E172" s="331">
        <f t="shared" si="28"/>
        <v>52.640799999999999</v>
      </c>
      <c r="F172" s="308">
        <f t="shared" si="29"/>
        <v>5.3220436647672731E-2</v>
      </c>
      <c r="G172" s="301">
        <v>50.450699999999998</v>
      </c>
      <c r="H172" s="301">
        <v>2</v>
      </c>
      <c r="I172" s="302">
        <f t="shared" si="30"/>
        <v>52.450699999999998</v>
      </c>
      <c r="J172" s="309">
        <f t="shared" si="31"/>
        <v>5.5108305572989513E-2</v>
      </c>
      <c r="K172" s="329">
        <v>50.450699999999998</v>
      </c>
      <c r="L172" s="311">
        <f t="shared" si="32"/>
        <v>50.450699999999998</v>
      </c>
      <c r="M172" s="312">
        <f t="shared" si="33"/>
        <v>5.7418383943392826E-2</v>
      </c>
    </row>
    <row r="173" spans="1:13" ht="15">
      <c r="A173" s="326">
        <v>42979</v>
      </c>
      <c r="B173" s="332">
        <f>4.7202*100</f>
        <v>472.02000000000004</v>
      </c>
      <c r="C173" s="321">
        <v>50.104799999999997</v>
      </c>
      <c r="D173" s="321">
        <v>2</v>
      </c>
      <c r="E173" s="331">
        <f t="shared" si="28"/>
        <v>52.104799999999997</v>
      </c>
      <c r="F173" s="308">
        <f t="shared" si="29"/>
        <v>-1.0182216075743544E-2</v>
      </c>
      <c r="G173" s="301">
        <v>49.495899999999999</v>
      </c>
      <c r="H173" s="301">
        <v>2</v>
      </c>
      <c r="I173" s="302">
        <f t="shared" si="30"/>
        <v>51.495899999999999</v>
      </c>
      <c r="J173" s="309">
        <f t="shared" si="31"/>
        <v>-1.8203760864964558E-2</v>
      </c>
      <c r="K173" s="329">
        <v>49.495899999999999</v>
      </c>
      <c r="L173" s="311">
        <f t="shared" si="32"/>
        <v>49.495899999999999</v>
      </c>
      <c r="M173" s="312">
        <f t="shared" si="33"/>
        <v>-1.8925406386829047E-2</v>
      </c>
    </row>
    <row r="174" spans="1:13" ht="15">
      <c r="A174" s="326">
        <v>42994</v>
      </c>
      <c r="B174" s="332">
        <f>4.74*100</f>
        <v>474</v>
      </c>
      <c r="C174" s="321">
        <v>52.488700000000001</v>
      </c>
      <c r="D174" s="321">
        <v>2</v>
      </c>
      <c r="E174" s="331">
        <f t="shared" si="28"/>
        <v>54.488700000000001</v>
      </c>
      <c r="F174" s="308">
        <f t="shared" si="29"/>
        <v>4.5752022846263785E-2</v>
      </c>
      <c r="G174" s="301">
        <v>52.662500000000001</v>
      </c>
      <c r="H174" s="301">
        <v>2</v>
      </c>
      <c r="I174" s="302">
        <f t="shared" si="30"/>
        <v>54.662500000000001</v>
      </c>
      <c r="J174" s="309">
        <f t="shared" si="31"/>
        <v>6.1492274142213255E-2</v>
      </c>
      <c r="K174" s="329">
        <v>52.662500000000001</v>
      </c>
      <c r="L174" s="311">
        <f t="shared" si="32"/>
        <v>52.662500000000001</v>
      </c>
      <c r="M174" s="312">
        <f t="shared" si="33"/>
        <v>6.3977016278115917E-2</v>
      </c>
    </row>
    <row r="175" spans="1:13" ht="15">
      <c r="A175" s="326">
        <v>43009</v>
      </c>
      <c r="B175" s="332">
        <f>4.711*100</f>
        <v>471.1</v>
      </c>
      <c r="C175" s="321">
        <v>53.764299999999999</v>
      </c>
      <c r="D175" s="321">
        <v>2</v>
      </c>
      <c r="E175" s="331">
        <f t="shared" si="28"/>
        <v>55.764299999999999</v>
      </c>
      <c r="F175" s="308">
        <f t="shared" si="29"/>
        <v>2.3410358477996329E-2</v>
      </c>
      <c r="G175" s="301">
        <v>54.592199999999998</v>
      </c>
      <c r="H175" s="301">
        <v>2</v>
      </c>
      <c r="I175" s="302">
        <f t="shared" si="30"/>
        <v>56.592199999999998</v>
      </c>
      <c r="J175" s="309">
        <f t="shared" si="31"/>
        <v>3.5302080951292059E-2</v>
      </c>
      <c r="K175" s="329">
        <v>54.592199999999998</v>
      </c>
      <c r="L175" s="311">
        <f t="shared" si="32"/>
        <v>54.592199999999998</v>
      </c>
      <c r="M175" s="312">
        <f t="shared" si="33"/>
        <v>3.6642772371231924E-2</v>
      </c>
    </row>
    <row r="176" spans="1:13" ht="15">
      <c r="A176" s="326">
        <v>43024</v>
      </c>
      <c r="B176" s="332">
        <f>4.7022*100</f>
        <v>470.22</v>
      </c>
      <c r="C176" s="321">
        <v>53.619599999999998</v>
      </c>
      <c r="D176" s="321">
        <v>2</v>
      </c>
      <c r="E176" s="331">
        <f t="shared" si="28"/>
        <v>55.619599999999998</v>
      </c>
      <c r="F176" s="308">
        <f t="shared" si="29"/>
        <v>-2.5948501101960009E-3</v>
      </c>
      <c r="G176" s="301">
        <v>54.423200000000001</v>
      </c>
      <c r="H176" s="301">
        <v>2</v>
      </c>
      <c r="I176" s="302">
        <f t="shared" si="30"/>
        <v>56.423200000000001</v>
      </c>
      <c r="J176" s="309">
        <f t="shared" si="31"/>
        <v>-2.9862772608238997E-3</v>
      </c>
      <c r="K176" s="329">
        <v>54.423200000000001</v>
      </c>
      <c r="L176" s="311">
        <f t="shared" si="32"/>
        <v>54.423200000000001</v>
      </c>
      <c r="M176" s="312">
        <f t="shared" si="33"/>
        <v>-3.0956803352859552E-3</v>
      </c>
    </row>
    <row r="177" spans="1:16384" ht="15">
      <c r="A177" s="326">
        <v>43040</v>
      </c>
      <c r="B177" s="332">
        <f>4.6176*100</f>
        <v>461.76000000000005</v>
      </c>
      <c r="C177" s="321">
        <v>53.779000000000003</v>
      </c>
      <c r="D177" s="321">
        <v>2</v>
      </c>
      <c r="E177" s="331">
        <f t="shared" si="28"/>
        <v>55.779000000000003</v>
      </c>
      <c r="F177" s="308">
        <f t="shared" si="29"/>
        <v>2.8658961948666573E-3</v>
      </c>
      <c r="G177" s="301">
        <v>54.711300000000001</v>
      </c>
      <c r="H177" s="301">
        <v>2</v>
      </c>
      <c r="I177" s="302">
        <f t="shared" si="30"/>
        <v>56.711300000000001</v>
      </c>
      <c r="J177" s="309">
        <f t="shared" si="31"/>
        <v>5.1060556650455169E-3</v>
      </c>
      <c r="K177" s="329">
        <v>54.711300000000001</v>
      </c>
      <c r="L177" s="311">
        <f t="shared" si="32"/>
        <v>54.711300000000001</v>
      </c>
      <c r="M177" s="312">
        <f t="shared" si="33"/>
        <v>5.2936982757354478E-3</v>
      </c>
    </row>
    <row r="178" spans="1:16384" ht="15">
      <c r="A178" s="326">
        <v>43055</v>
      </c>
      <c r="B178" s="332">
        <f>4.7052*100</f>
        <v>470.52</v>
      </c>
      <c r="C178" s="321">
        <v>57.0398</v>
      </c>
      <c r="D178" s="321">
        <v>2</v>
      </c>
      <c r="E178" s="331">
        <f t="shared" si="28"/>
        <v>59.0398</v>
      </c>
      <c r="F178" s="308">
        <f t="shared" si="29"/>
        <v>5.845927678875551E-2</v>
      </c>
      <c r="G178" s="301">
        <v>56.527999999999999</v>
      </c>
      <c r="H178" s="301">
        <v>2</v>
      </c>
      <c r="I178" s="302">
        <f t="shared" si="30"/>
        <v>58.527999999999999</v>
      </c>
      <c r="J178" s="309">
        <f t="shared" si="31"/>
        <v>3.2034180136939261E-2</v>
      </c>
      <c r="K178" s="329">
        <v>56.527999999999999</v>
      </c>
      <c r="L178" s="311">
        <f t="shared" si="32"/>
        <v>56.527999999999999</v>
      </c>
      <c r="M178" s="312">
        <f t="shared" si="33"/>
        <v>3.3205206237102658E-2</v>
      </c>
    </row>
    <row r="179" spans="1:16384" ht="15">
      <c r="A179" s="326">
        <v>43070</v>
      </c>
      <c r="B179" s="332">
        <f>4.8055*100</f>
        <v>480.55</v>
      </c>
      <c r="C179" s="321">
        <v>57.869199999999999</v>
      </c>
      <c r="D179" s="321">
        <v>2</v>
      </c>
      <c r="E179" s="331">
        <f t="shared" si="28"/>
        <v>59.869199999999999</v>
      </c>
      <c r="F179" s="308">
        <f t="shared" si="29"/>
        <v>1.4048150569615725E-2</v>
      </c>
      <c r="G179" s="301">
        <v>56.860100000000003</v>
      </c>
      <c r="H179" s="301">
        <v>2</v>
      </c>
      <c r="I179" s="302">
        <f t="shared" si="30"/>
        <v>58.860100000000003</v>
      </c>
      <c r="J179" s="309">
        <f t="shared" si="31"/>
        <v>5.67420721705858E-3</v>
      </c>
      <c r="K179" s="329">
        <v>56.860100000000003</v>
      </c>
      <c r="L179" s="311">
        <f t="shared" si="32"/>
        <v>56.860100000000003</v>
      </c>
      <c r="M179" s="312">
        <f t="shared" si="33"/>
        <v>5.874964619303702E-3</v>
      </c>
    </row>
    <row r="180" spans="1:16384" ht="15">
      <c r="A180" s="326">
        <v>43085</v>
      </c>
      <c r="B180" s="332">
        <f>4.7441*100</f>
        <v>474.41</v>
      </c>
      <c r="C180" s="321">
        <v>57.695700000000002</v>
      </c>
      <c r="D180" s="321">
        <v>2</v>
      </c>
      <c r="E180" s="331">
        <f t="shared" si="28"/>
        <v>59.695700000000002</v>
      </c>
      <c r="F180" s="308">
        <f t="shared" si="29"/>
        <v>-2.8979842723804161E-3</v>
      </c>
      <c r="G180" s="301">
        <v>56.787300000000002</v>
      </c>
      <c r="H180" s="301">
        <v>2</v>
      </c>
      <c r="I180" s="302">
        <f t="shared" si="30"/>
        <v>58.787300000000002</v>
      </c>
      <c r="J180" s="309">
        <f t="shared" si="31"/>
        <v>-1.2368310621286849E-3</v>
      </c>
      <c r="K180" s="329">
        <v>56.787300000000002</v>
      </c>
      <c r="L180" s="311">
        <f t="shared" si="32"/>
        <v>56.787300000000002</v>
      </c>
      <c r="M180" s="312">
        <f t="shared" si="33"/>
        <v>-1.280335419740708E-3</v>
      </c>
    </row>
    <row r="181" spans="1:16384" ht="15">
      <c r="A181" s="326">
        <v>43101</v>
      </c>
      <c r="B181" s="332">
        <f>4.7359*100</f>
        <v>473.59</v>
      </c>
      <c r="C181" s="321">
        <v>58.150599999999997</v>
      </c>
      <c r="D181" s="321">
        <v>2</v>
      </c>
      <c r="E181" s="331">
        <f t="shared" si="28"/>
        <v>60.150599999999997</v>
      </c>
      <c r="F181" s="308">
        <f t="shared" si="29"/>
        <v>7.6203143610007462E-3</v>
      </c>
      <c r="G181" s="301">
        <v>57.535800000000002</v>
      </c>
      <c r="H181" s="301">
        <v>2</v>
      </c>
      <c r="I181" s="302">
        <f t="shared" si="30"/>
        <v>59.535800000000002</v>
      </c>
      <c r="J181" s="309">
        <f t="shared" si="31"/>
        <v>1.2732341849345019E-2</v>
      </c>
      <c r="K181" s="329">
        <v>57.535800000000002</v>
      </c>
      <c r="L181" s="311">
        <f t="shared" si="32"/>
        <v>57.535800000000002</v>
      </c>
      <c r="M181" s="312">
        <f t="shared" si="33"/>
        <v>1.3180764008854151E-2</v>
      </c>
    </row>
    <row r="182" spans="1:16384" ht="15">
      <c r="A182" s="326">
        <v>43116</v>
      </c>
      <c r="B182" s="332">
        <f>4.7597*100</f>
        <v>475.96999999999997</v>
      </c>
      <c r="C182" s="321">
        <v>60.99</v>
      </c>
      <c r="D182" s="321">
        <v>2</v>
      </c>
      <c r="E182" s="331">
        <f t="shared" si="28"/>
        <v>62.99</v>
      </c>
      <c r="F182" s="308">
        <f t="shared" si="29"/>
        <v>4.7204849161937013E-2</v>
      </c>
      <c r="G182" s="301">
        <v>60.43</v>
      </c>
      <c r="H182" s="301"/>
      <c r="I182" s="302">
        <f t="shared" si="30"/>
        <v>60.43</v>
      </c>
      <c r="J182" s="309">
        <f t="shared" si="31"/>
        <v>1.501953446497728E-2</v>
      </c>
      <c r="K182" s="329">
        <v>60.43</v>
      </c>
      <c r="L182" s="311">
        <f t="shared" si="32"/>
        <v>60.43</v>
      </c>
      <c r="M182" s="312">
        <f t="shared" si="33"/>
        <v>5.0302594210908547E-2</v>
      </c>
    </row>
    <row r="183" spans="1:16384" ht="15">
      <c r="A183" s="326">
        <v>43132</v>
      </c>
      <c r="B183" s="332">
        <f>4.7712*100</f>
        <v>477.12</v>
      </c>
      <c r="C183" s="321">
        <v>62.0961</v>
      </c>
      <c r="D183" s="321">
        <v>2</v>
      </c>
      <c r="E183" s="331">
        <f t="shared" si="28"/>
        <v>64.096100000000007</v>
      </c>
      <c r="F183" s="308">
        <f t="shared" si="29"/>
        <v>1.7559930147642566E-2</v>
      </c>
      <c r="G183" s="301">
        <v>61.442500000000003</v>
      </c>
      <c r="H183" s="301"/>
      <c r="I183" s="302">
        <f t="shared" si="30"/>
        <v>61.442500000000003</v>
      </c>
      <c r="J183" s="309">
        <f t="shared" si="31"/>
        <v>1.6754923051464532E-2</v>
      </c>
      <c r="K183" s="329">
        <v>61.442500000000003</v>
      </c>
      <c r="L183" s="311">
        <f t="shared" si="32"/>
        <v>61.442500000000003</v>
      </c>
      <c r="M183" s="312">
        <f t="shared" si="33"/>
        <v>1.6754923051464532E-2</v>
      </c>
    </row>
    <row r="184" spans="1:16384" ht="15">
      <c r="A184" s="326">
        <v>43147</v>
      </c>
      <c r="B184" s="332">
        <f>4.7106*100</f>
        <v>471.06000000000006</v>
      </c>
      <c r="C184" s="321">
        <v>61.331200000000003</v>
      </c>
      <c r="D184" s="321">
        <v>2</v>
      </c>
      <c r="E184" s="331">
        <f t="shared" si="28"/>
        <v>63.331200000000003</v>
      </c>
      <c r="F184" s="308">
        <f t="shared" si="29"/>
        <v>-1.1933643388599369E-2</v>
      </c>
      <c r="G184" s="301">
        <v>59.752099999999999</v>
      </c>
      <c r="H184" s="301"/>
      <c r="I184" s="302">
        <f t="shared" si="30"/>
        <v>59.752099999999999</v>
      </c>
      <c r="J184" s="309">
        <f t="shared" si="31"/>
        <v>-2.7511901371200742E-2</v>
      </c>
      <c r="K184" s="329">
        <v>59.752099999999999</v>
      </c>
      <c r="L184" s="311">
        <f t="shared" si="32"/>
        <v>59.752099999999999</v>
      </c>
      <c r="M184" s="312">
        <f t="shared" si="33"/>
        <v>-2.7511901371200742E-2</v>
      </c>
    </row>
    <row r="185" spans="1:16384" ht="15">
      <c r="A185" s="326">
        <v>43160</v>
      </c>
      <c r="B185" s="332">
        <f>4.7019*100</f>
        <v>470.19</v>
      </c>
      <c r="C185" s="321">
        <v>60.306199999999997</v>
      </c>
      <c r="D185" s="321">
        <v>2</v>
      </c>
      <c r="E185" s="331">
        <f t="shared" si="28"/>
        <v>62.306199999999997</v>
      </c>
      <c r="F185" s="308">
        <f t="shared" si="29"/>
        <v>-1.6184755697034148E-2</v>
      </c>
      <c r="G185" s="301">
        <v>57.4268</v>
      </c>
      <c r="H185" s="301"/>
      <c r="I185" s="302">
        <f t="shared" si="30"/>
        <v>57.4268</v>
      </c>
      <c r="J185" s="309">
        <f t="shared" si="31"/>
        <v>-3.891578706020371E-2</v>
      </c>
      <c r="K185" s="329">
        <v>57.4268</v>
      </c>
      <c r="L185" s="311">
        <f t="shared" si="32"/>
        <v>57.4268</v>
      </c>
      <c r="M185" s="312">
        <f t="shared" si="33"/>
        <v>-3.891578706020371E-2</v>
      </c>
    </row>
    <row r="186" spans="1:16384" ht="15">
      <c r="A186" s="326">
        <v>43175</v>
      </c>
      <c r="B186" s="332">
        <f>4.677*100</f>
        <v>467.69999999999993</v>
      </c>
      <c r="C186" s="321">
        <v>60.479199999999999</v>
      </c>
      <c r="D186" s="321">
        <v>2</v>
      </c>
      <c r="E186" s="331">
        <f t="shared" si="28"/>
        <v>62.479199999999999</v>
      </c>
      <c r="F186" s="308">
        <f t="shared" si="29"/>
        <v>2.776609711393041E-3</v>
      </c>
      <c r="G186" s="301">
        <v>57.779899999999998</v>
      </c>
      <c r="H186" s="301"/>
      <c r="I186" s="302">
        <f t="shared" si="30"/>
        <v>57.779899999999998</v>
      </c>
      <c r="J186" s="309">
        <f t="shared" si="31"/>
        <v>6.1486971239907984E-3</v>
      </c>
      <c r="K186" s="329">
        <v>57.779899999999998</v>
      </c>
      <c r="L186" s="311">
        <f t="shared" si="32"/>
        <v>57.779899999999998</v>
      </c>
      <c r="M186" s="312">
        <f t="shared" si="33"/>
        <v>6.1486971239907984E-3</v>
      </c>
    </row>
    <row r="187" spans="1:16384" ht="15">
      <c r="A187" s="326">
        <v>43191</v>
      </c>
      <c r="B187" s="332">
        <f>4.6624*100</f>
        <v>466.24</v>
      </c>
      <c r="C187" s="321">
        <v>60.322699999999998</v>
      </c>
      <c r="D187" s="321">
        <v>2</v>
      </c>
      <c r="E187" s="331">
        <f t="shared" si="28"/>
        <v>62.322699999999998</v>
      </c>
      <c r="F187" s="308">
        <f t="shared" si="29"/>
        <v>-2.5048336086249678E-3</v>
      </c>
      <c r="G187" s="301">
        <v>59.141800000000003</v>
      </c>
      <c r="H187" s="301"/>
      <c r="I187" s="302">
        <f t="shared" si="30"/>
        <v>59.141800000000003</v>
      </c>
      <c r="J187" s="309">
        <f t="shared" si="31"/>
        <v>2.3570480391970294E-2</v>
      </c>
      <c r="K187" s="329">
        <v>59.141800000000003</v>
      </c>
      <c r="L187" s="311">
        <f t="shared" si="32"/>
        <v>59.141800000000003</v>
      </c>
      <c r="M187" s="312">
        <f t="shared" si="33"/>
        <v>2.3570480391970294E-2</v>
      </c>
    </row>
    <row r="188" spans="1:16384" ht="15">
      <c r="A188" s="326">
        <v>43206</v>
      </c>
      <c r="B188" s="332">
        <f>4.686*100</f>
        <v>468.6</v>
      </c>
      <c r="C188" s="321">
        <v>62.8003</v>
      </c>
      <c r="D188" s="321">
        <v>2</v>
      </c>
      <c r="E188" s="331">
        <f t="shared" si="28"/>
        <v>64.800299999999993</v>
      </c>
      <c r="F188" s="308">
        <f t="shared" si="29"/>
        <v>3.9754375211600301E-2</v>
      </c>
      <c r="G188" s="301">
        <v>61.575200000000002</v>
      </c>
      <c r="H188" s="301"/>
      <c r="I188" s="302">
        <f t="shared" ref="I188:I194" si="34">G188+H188</f>
        <v>61.575200000000002</v>
      </c>
      <c r="J188" s="309">
        <f t="shared" si="31"/>
        <v>4.114517988968891E-2</v>
      </c>
      <c r="K188" s="329">
        <v>61.575200000000002</v>
      </c>
      <c r="L188" s="311">
        <f t="shared" si="32"/>
        <v>61.575200000000002</v>
      </c>
      <c r="M188" s="312">
        <f t="shared" si="33"/>
        <v>4.114517988968891E-2</v>
      </c>
    </row>
    <row r="189" spans="1:16384" ht="15">
      <c r="A189" s="326">
        <v>43221</v>
      </c>
      <c r="B189" s="332">
        <f>4.7086*100</f>
        <v>470.85999999999996</v>
      </c>
      <c r="C189" s="321">
        <v>63.944800000000001</v>
      </c>
      <c r="D189" s="321">
        <v>2</v>
      </c>
      <c r="E189" s="331">
        <f t="shared" si="28"/>
        <v>65.944800000000001</v>
      </c>
      <c r="F189" s="308">
        <f t="shared" ref="F189:F194" si="35">E189/E188-1</f>
        <v>1.7661955268725826E-2</v>
      </c>
      <c r="G189" s="301">
        <v>63.944800000000001</v>
      </c>
      <c r="H189" s="301"/>
      <c r="I189" s="302">
        <f t="shared" si="34"/>
        <v>63.944800000000001</v>
      </c>
      <c r="J189" s="309">
        <f t="shared" si="31"/>
        <v>3.8483025633696766E-2</v>
      </c>
      <c r="K189" s="329">
        <v>63.944800000000001</v>
      </c>
      <c r="L189" s="311">
        <f t="shared" si="32"/>
        <v>63.944800000000001</v>
      </c>
      <c r="M189" s="312">
        <f t="shared" si="33"/>
        <v>3.8483025633696766E-2</v>
      </c>
    </row>
    <row r="190" spans="1:16384" ht="15">
      <c r="A190" s="326">
        <v>43236</v>
      </c>
      <c r="B190" s="332">
        <f>4.7176*100</f>
        <v>471.76</v>
      </c>
      <c r="C190" s="321">
        <v>66.258300000000006</v>
      </c>
      <c r="D190" s="321">
        <v>2</v>
      </c>
      <c r="E190" s="331">
        <f t="shared" ref="E190:E196" si="36">C190+D190</f>
        <v>68.258300000000006</v>
      </c>
      <c r="F190" s="308">
        <f t="shared" si="35"/>
        <v>3.5082371923184308E-2</v>
      </c>
      <c r="G190" s="301">
        <v>64.967799999999997</v>
      </c>
      <c r="H190" s="301"/>
      <c r="I190" s="302">
        <f t="shared" si="34"/>
        <v>64.967799999999997</v>
      </c>
      <c r="J190" s="309">
        <f t="shared" si="31"/>
        <v>1.5998173424578654E-2</v>
      </c>
      <c r="K190" s="329">
        <v>64.967799999999997</v>
      </c>
      <c r="L190" s="311">
        <f t="shared" si="32"/>
        <v>64.967799999999997</v>
      </c>
      <c r="M190" s="312">
        <f t="shared" si="33"/>
        <v>1.5998173424578654E-2</v>
      </c>
    </row>
    <row r="191" spans="1:16384" ht="15">
      <c r="A191" s="326">
        <v>43252</v>
      </c>
      <c r="B191" s="332">
        <f>4.7236*100</f>
        <v>472.36</v>
      </c>
      <c r="C191" s="321">
        <v>68.823599999999999</v>
      </c>
      <c r="D191" s="321">
        <v>2</v>
      </c>
      <c r="E191" s="331">
        <f t="shared" si="36"/>
        <v>70.823599999999999</v>
      </c>
      <c r="F191" s="308">
        <f t="shared" si="35"/>
        <v>3.758224274557076E-2</v>
      </c>
      <c r="G191" s="301">
        <v>68.221100000000007</v>
      </c>
      <c r="H191" s="301"/>
      <c r="I191" s="302">
        <f t="shared" si="34"/>
        <v>68.221100000000007</v>
      </c>
      <c r="J191" s="309">
        <f t="shared" ref="J191:J196" si="37">I191/I190-1</f>
        <v>5.0075575900677016E-2</v>
      </c>
      <c r="K191" s="329">
        <f>C191</f>
        <v>68.823599999999999</v>
      </c>
      <c r="L191" s="311">
        <f t="shared" ref="L191:L196" si="38">K191</f>
        <v>68.823599999999999</v>
      </c>
      <c r="M191" s="312">
        <f t="shared" ref="M191:M196" si="39">L191/L190-1</f>
        <v>5.9349400780078776E-2</v>
      </c>
    </row>
    <row r="192" spans="1:16384" ht="15">
      <c r="A192" s="326">
        <v>43267</v>
      </c>
      <c r="B192" s="332">
        <f>4.937*100</f>
        <v>493.70000000000005</v>
      </c>
      <c r="C192" s="321">
        <v>66.4739</v>
      </c>
      <c r="D192" s="321">
        <v>2</v>
      </c>
      <c r="E192" s="331">
        <f t="shared" si="36"/>
        <v>68.4739</v>
      </c>
      <c r="F192" s="308">
        <f t="shared" si="35"/>
        <v>-3.3176794175952651E-2</v>
      </c>
      <c r="G192" s="301">
        <v>66.376900000000006</v>
      </c>
      <c r="H192" s="301"/>
      <c r="I192" s="302">
        <f t="shared" si="34"/>
        <v>66.376900000000006</v>
      </c>
      <c r="J192" s="309">
        <f t="shared" si="37"/>
        <v>-2.7032692231582334E-2</v>
      </c>
      <c r="K192" s="329">
        <v>66.376900000000006</v>
      </c>
      <c r="L192" s="311">
        <f t="shared" si="38"/>
        <v>66.376900000000006</v>
      </c>
      <c r="M192" s="312">
        <f t="shared" si="39"/>
        <v>-3.5550305418490025E-2</v>
      </c>
      <c r="N192" s="326"/>
      <c r="P192" s="321"/>
      <c r="Q192" s="321"/>
      <c r="R192" s="331"/>
      <c r="S192" s="308"/>
      <c r="T192" s="301"/>
      <c r="U192" s="301"/>
      <c r="V192" s="302"/>
      <c r="W192" s="309"/>
      <c r="X192" s="329"/>
      <c r="Y192" s="311"/>
      <c r="Z192" s="312"/>
      <c r="AA192" s="326"/>
      <c r="AB192" s="332"/>
      <c r="AC192" s="321"/>
      <c r="AD192" s="321"/>
      <c r="AE192" s="331"/>
      <c r="AF192" s="308"/>
      <c r="AG192" s="301"/>
      <c r="AH192" s="301"/>
      <c r="AI192" s="302"/>
      <c r="AJ192" s="309"/>
      <c r="AK192" s="329"/>
      <c r="AL192" s="311"/>
      <c r="AM192" s="312"/>
      <c r="AN192" s="326"/>
      <c r="AO192" s="332"/>
      <c r="AP192" s="321"/>
      <c r="AQ192" s="321"/>
      <c r="AR192" s="331"/>
      <c r="AS192" s="308"/>
      <c r="AT192" s="301"/>
      <c r="AU192" s="301"/>
      <c r="AV192" s="302"/>
      <c r="AW192" s="309"/>
      <c r="AX192" s="329"/>
      <c r="AY192" s="311"/>
      <c r="AZ192" s="312"/>
      <c r="BA192" s="326"/>
      <c r="BB192" s="332"/>
      <c r="BC192" s="321"/>
      <c r="BD192" s="321"/>
      <c r="BE192" s="331"/>
      <c r="BF192" s="308"/>
      <c r="BG192" s="301"/>
      <c r="BH192" s="301"/>
      <c r="BI192" s="302"/>
      <c r="BJ192" s="309"/>
      <c r="BK192" s="329"/>
      <c r="BL192" s="311"/>
      <c r="BM192" s="312"/>
      <c r="BN192" s="326"/>
      <c r="BO192" s="332"/>
      <c r="BP192" s="321"/>
      <c r="BQ192" s="321"/>
      <c r="BR192" s="331"/>
      <c r="BS192" s="308"/>
      <c r="BT192" s="301"/>
      <c r="BU192" s="301"/>
      <c r="BV192" s="302"/>
      <c r="BW192" s="309"/>
      <c r="BX192" s="329"/>
      <c r="BY192" s="311"/>
      <c r="BZ192" s="312"/>
      <c r="CA192" s="326"/>
      <c r="CB192" s="332"/>
      <c r="CC192" s="321"/>
      <c r="CD192" s="321"/>
      <c r="CE192" s="331"/>
      <c r="CF192" s="308"/>
      <c r="CG192" s="301"/>
      <c r="CH192" s="301"/>
      <c r="CI192" s="302"/>
      <c r="CJ192" s="309"/>
      <c r="CK192" s="329"/>
      <c r="CL192" s="311"/>
      <c r="CM192" s="312"/>
      <c r="CN192" s="326"/>
      <c r="CO192" s="332"/>
      <c r="CP192" s="321"/>
      <c r="CQ192" s="321"/>
      <c r="CR192" s="331"/>
      <c r="CS192" s="308"/>
      <c r="CT192" s="301"/>
      <c r="CU192" s="301"/>
      <c r="CV192" s="302"/>
      <c r="CW192" s="309"/>
      <c r="CX192" s="329"/>
      <c r="CY192" s="311"/>
      <c r="CZ192" s="312"/>
      <c r="DA192" s="326"/>
      <c r="DB192" s="332"/>
      <c r="DC192" s="321"/>
      <c r="DD192" s="321"/>
      <c r="DE192" s="331"/>
      <c r="DF192" s="308"/>
      <c r="DG192" s="301"/>
      <c r="DH192" s="301"/>
      <c r="DI192" s="302"/>
      <c r="DJ192" s="309"/>
      <c r="DK192" s="329"/>
      <c r="DL192" s="311"/>
      <c r="DM192" s="312"/>
      <c r="DN192" s="326"/>
      <c r="DO192" s="332"/>
      <c r="DP192" s="321"/>
      <c r="DQ192" s="321"/>
      <c r="DR192" s="331"/>
      <c r="DS192" s="308"/>
      <c r="DT192" s="301"/>
      <c r="DU192" s="301"/>
      <c r="DV192" s="302"/>
      <c r="DW192" s="309"/>
      <c r="DX192" s="329"/>
      <c r="DY192" s="311"/>
      <c r="DZ192" s="312"/>
      <c r="EA192" s="326"/>
      <c r="EB192" s="332"/>
      <c r="EC192" s="321"/>
      <c r="ED192" s="321"/>
      <c r="EE192" s="331"/>
      <c r="EF192" s="308"/>
      <c r="EG192" s="301"/>
      <c r="EH192" s="301"/>
      <c r="EI192" s="302"/>
      <c r="EJ192" s="309"/>
      <c r="EK192" s="329"/>
      <c r="EL192" s="311"/>
      <c r="EM192" s="312"/>
      <c r="EN192" s="326"/>
      <c r="EO192" s="332"/>
      <c r="EP192" s="321"/>
      <c r="EQ192" s="321"/>
      <c r="ER192" s="331"/>
      <c r="ES192" s="308"/>
      <c r="ET192" s="301"/>
      <c r="EU192" s="301"/>
      <c r="EV192" s="302"/>
      <c r="EW192" s="309"/>
      <c r="EX192" s="329"/>
      <c r="EY192" s="311"/>
      <c r="EZ192" s="312"/>
      <c r="FA192" s="326"/>
      <c r="FB192" s="332"/>
      <c r="FC192" s="321"/>
      <c r="FD192" s="321"/>
      <c r="FE192" s="331"/>
      <c r="FF192" s="308"/>
      <c r="FG192" s="301"/>
      <c r="FH192" s="301"/>
      <c r="FI192" s="302"/>
      <c r="FJ192" s="309"/>
      <c r="FK192" s="329"/>
      <c r="FL192" s="311"/>
      <c r="FM192" s="312"/>
      <c r="FN192" s="326"/>
      <c r="FO192" s="332"/>
      <c r="FP192" s="321"/>
      <c r="FQ192" s="321"/>
      <c r="FR192" s="331"/>
      <c r="FS192" s="308"/>
      <c r="FT192" s="301"/>
      <c r="FU192" s="301"/>
      <c r="FV192" s="302"/>
      <c r="FW192" s="309"/>
      <c r="FX192" s="329"/>
      <c r="FY192" s="311"/>
      <c r="FZ192" s="312"/>
      <c r="GA192" s="326"/>
      <c r="GB192" s="332"/>
      <c r="GC192" s="321"/>
      <c r="GD192" s="321"/>
      <c r="GE192" s="331"/>
      <c r="GF192" s="308"/>
      <c r="GG192" s="301"/>
      <c r="GH192" s="301"/>
      <c r="GI192" s="302"/>
      <c r="GJ192" s="309"/>
      <c r="GK192" s="329"/>
      <c r="GL192" s="311"/>
      <c r="GM192" s="312"/>
      <c r="GN192" s="326"/>
      <c r="GO192" s="332"/>
      <c r="GP192" s="321"/>
      <c r="GQ192" s="321"/>
      <c r="GR192" s="331"/>
      <c r="GS192" s="308"/>
      <c r="GT192" s="301"/>
      <c r="GU192" s="301"/>
      <c r="GV192" s="302"/>
      <c r="GW192" s="309"/>
      <c r="GX192" s="329"/>
      <c r="GY192" s="311"/>
      <c r="GZ192" s="312"/>
      <c r="HA192" s="326"/>
      <c r="HB192" s="332"/>
      <c r="HC192" s="321"/>
      <c r="HD192" s="321"/>
      <c r="HE192" s="331"/>
      <c r="HF192" s="308"/>
      <c r="HG192" s="301"/>
      <c r="HH192" s="301"/>
      <c r="HI192" s="302"/>
      <c r="HJ192" s="309"/>
      <c r="HK192" s="329"/>
      <c r="HL192" s="311"/>
      <c r="HM192" s="312"/>
      <c r="HN192" s="326"/>
      <c r="HO192" s="332"/>
      <c r="HP192" s="321"/>
      <c r="HQ192" s="321"/>
      <c r="HR192" s="331"/>
      <c r="HS192" s="308"/>
      <c r="HT192" s="301"/>
      <c r="HU192" s="301"/>
      <c r="HV192" s="302"/>
      <c r="HW192" s="309"/>
      <c r="HX192" s="329"/>
      <c r="HY192" s="311"/>
      <c r="HZ192" s="312"/>
      <c r="IA192" s="326"/>
      <c r="IB192" s="332"/>
      <c r="IC192" s="321"/>
      <c r="ID192" s="321"/>
      <c r="IE192" s="331"/>
      <c r="IF192" s="308"/>
      <c r="IG192" s="301"/>
      <c r="IH192" s="301"/>
      <c r="II192" s="302"/>
      <c r="IJ192" s="309"/>
      <c r="IK192" s="329"/>
      <c r="IL192" s="311"/>
      <c r="IM192" s="312"/>
      <c r="IN192" s="326"/>
      <c r="IO192" s="332"/>
      <c r="IP192" s="321"/>
      <c r="IQ192" s="321"/>
      <c r="IR192" s="331"/>
      <c r="IS192" s="308"/>
      <c r="IT192" s="301"/>
      <c r="IU192" s="301"/>
      <c r="IV192" s="302"/>
      <c r="IW192" s="309"/>
      <c r="IX192" s="329"/>
      <c r="IY192" s="311"/>
      <c r="IZ192" s="312"/>
      <c r="JA192" s="326"/>
      <c r="JB192" s="332"/>
      <c r="JC192" s="321"/>
      <c r="JD192" s="321"/>
      <c r="JE192" s="331"/>
      <c r="JF192" s="308"/>
      <c r="JG192" s="301"/>
      <c r="JH192" s="301"/>
      <c r="JI192" s="302"/>
      <c r="JJ192" s="309"/>
      <c r="JK192" s="329"/>
      <c r="JL192" s="311"/>
      <c r="JM192" s="312"/>
      <c r="JN192" s="326"/>
      <c r="JO192" s="332"/>
      <c r="JP192" s="321"/>
      <c r="JQ192" s="321"/>
      <c r="JR192" s="331"/>
      <c r="JS192" s="308"/>
      <c r="JT192" s="301"/>
      <c r="JU192" s="301"/>
      <c r="JV192" s="302"/>
      <c r="JW192" s="309"/>
      <c r="JX192" s="329"/>
      <c r="JY192" s="311"/>
      <c r="JZ192" s="312"/>
      <c r="KA192" s="326"/>
      <c r="KB192" s="332"/>
      <c r="KC192" s="321"/>
      <c r="KD192" s="321"/>
      <c r="KE192" s="331"/>
      <c r="KF192" s="308"/>
      <c r="KG192" s="301"/>
      <c r="KH192" s="301"/>
      <c r="KI192" s="302"/>
      <c r="KJ192" s="309"/>
      <c r="KK192" s="329"/>
      <c r="KL192" s="311"/>
      <c r="KM192" s="312"/>
      <c r="KN192" s="326"/>
      <c r="KO192" s="332"/>
      <c r="KP192" s="321"/>
      <c r="KQ192" s="321"/>
      <c r="KR192" s="331"/>
      <c r="KS192" s="308"/>
      <c r="KT192" s="301"/>
      <c r="KU192" s="301"/>
      <c r="KV192" s="302"/>
      <c r="KW192" s="309"/>
      <c r="KX192" s="329"/>
      <c r="KY192" s="311"/>
      <c r="KZ192" s="312"/>
      <c r="LA192" s="326"/>
      <c r="LB192" s="332"/>
      <c r="LC192" s="321"/>
      <c r="LD192" s="321"/>
      <c r="LE192" s="331"/>
      <c r="LF192" s="308"/>
      <c r="LG192" s="301"/>
      <c r="LH192" s="301"/>
      <c r="LI192" s="302"/>
      <c r="LJ192" s="309"/>
      <c r="LK192" s="329"/>
      <c r="LL192" s="311"/>
      <c r="LM192" s="312"/>
      <c r="LN192" s="326"/>
      <c r="LO192" s="332"/>
      <c r="LP192" s="321"/>
      <c r="LQ192" s="321"/>
      <c r="LR192" s="331"/>
      <c r="LS192" s="308"/>
      <c r="LT192" s="301"/>
      <c r="LU192" s="301"/>
      <c r="LV192" s="302"/>
      <c r="LW192" s="309"/>
      <c r="LX192" s="329"/>
      <c r="LY192" s="311"/>
      <c r="LZ192" s="312"/>
      <c r="MA192" s="326"/>
      <c r="MB192" s="332"/>
      <c r="MC192" s="321"/>
      <c r="MD192" s="321"/>
      <c r="ME192" s="331"/>
      <c r="MF192" s="308"/>
      <c r="MG192" s="301"/>
      <c r="MH192" s="301"/>
      <c r="MI192" s="302"/>
      <c r="MJ192" s="309"/>
      <c r="MK192" s="329"/>
      <c r="ML192" s="311"/>
      <c r="MM192" s="312"/>
      <c r="MN192" s="326"/>
      <c r="MO192" s="332"/>
      <c r="MP192" s="321"/>
      <c r="MQ192" s="321"/>
      <c r="MR192" s="331"/>
      <c r="MS192" s="308"/>
      <c r="MT192" s="301"/>
      <c r="MU192" s="301"/>
      <c r="MV192" s="302"/>
      <c r="MW192" s="309"/>
      <c r="MX192" s="329"/>
      <c r="MY192" s="311"/>
      <c r="MZ192" s="312"/>
      <c r="NA192" s="326"/>
      <c r="NB192" s="332"/>
      <c r="NC192" s="321"/>
      <c r="ND192" s="321"/>
      <c r="NE192" s="331"/>
      <c r="NF192" s="308"/>
      <c r="NG192" s="301"/>
      <c r="NH192" s="301"/>
      <c r="NI192" s="302"/>
      <c r="NJ192" s="309"/>
      <c r="NK192" s="329"/>
      <c r="NL192" s="311"/>
      <c r="NM192" s="312"/>
      <c r="NN192" s="326"/>
      <c r="NO192" s="332"/>
      <c r="NP192" s="321"/>
      <c r="NQ192" s="321"/>
      <c r="NR192" s="331"/>
      <c r="NS192" s="308"/>
      <c r="NT192" s="301"/>
      <c r="NU192" s="301"/>
      <c r="NV192" s="302"/>
      <c r="NW192" s="309"/>
      <c r="NX192" s="329"/>
      <c r="NY192" s="311"/>
      <c r="NZ192" s="312"/>
      <c r="OA192" s="326"/>
      <c r="OB192" s="332"/>
      <c r="OC192" s="321"/>
      <c r="OD192" s="321"/>
      <c r="OE192" s="331"/>
      <c r="OF192" s="308"/>
      <c r="OG192" s="301"/>
      <c r="OH192" s="301"/>
      <c r="OI192" s="302"/>
      <c r="OJ192" s="309"/>
      <c r="OK192" s="329"/>
      <c r="OL192" s="311"/>
      <c r="OM192" s="312"/>
      <c r="ON192" s="326"/>
      <c r="OO192" s="332"/>
      <c r="OP192" s="321"/>
      <c r="OQ192" s="321"/>
      <c r="OR192" s="331"/>
      <c r="OS192" s="308"/>
      <c r="OT192" s="301"/>
      <c r="OU192" s="301"/>
      <c r="OV192" s="302"/>
      <c r="OW192" s="309"/>
      <c r="OX192" s="329"/>
      <c r="OY192" s="311"/>
      <c r="OZ192" s="312"/>
      <c r="PA192" s="326"/>
      <c r="PB192" s="332"/>
      <c r="PC192" s="321"/>
      <c r="PD192" s="321"/>
      <c r="PE192" s="331"/>
      <c r="PF192" s="308"/>
      <c r="PG192" s="301"/>
      <c r="PH192" s="301"/>
      <c r="PI192" s="302"/>
      <c r="PJ192" s="309"/>
      <c r="PK192" s="329"/>
      <c r="PL192" s="311"/>
      <c r="PM192" s="312"/>
      <c r="PN192" s="326"/>
      <c r="PO192" s="332"/>
      <c r="PP192" s="321"/>
      <c r="PQ192" s="321"/>
      <c r="PR192" s="331"/>
      <c r="PS192" s="308"/>
      <c r="PT192" s="301"/>
      <c r="PU192" s="301"/>
      <c r="PV192" s="302"/>
      <c r="PW192" s="309"/>
      <c r="PX192" s="329"/>
      <c r="PY192" s="311"/>
      <c r="PZ192" s="312"/>
      <c r="QA192" s="326"/>
      <c r="QB192" s="332"/>
      <c r="QC192" s="321"/>
      <c r="QD192" s="321"/>
      <c r="QE192" s="331"/>
      <c r="QF192" s="308"/>
      <c r="QG192" s="301"/>
      <c r="QH192" s="301"/>
      <c r="QI192" s="302"/>
      <c r="QJ192" s="309"/>
      <c r="QK192" s="329"/>
      <c r="QL192" s="311"/>
      <c r="QM192" s="312"/>
      <c r="QN192" s="326"/>
      <c r="QO192" s="332"/>
      <c r="QP192" s="321"/>
      <c r="QQ192" s="321"/>
      <c r="QR192" s="331"/>
      <c r="QS192" s="308"/>
      <c r="QT192" s="301"/>
      <c r="QU192" s="301"/>
      <c r="QV192" s="302"/>
      <c r="QW192" s="309"/>
      <c r="QX192" s="329"/>
      <c r="QY192" s="311"/>
      <c r="QZ192" s="312"/>
      <c r="RA192" s="326"/>
      <c r="RB192" s="332"/>
      <c r="RC192" s="321"/>
      <c r="RD192" s="321"/>
      <c r="RE192" s="331"/>
      <c r="RF192" s="308"/>
      <c r="RG192" s="301"/>
      <c r="RH192" s="301"/>
      <c r="RI192" s="302"/>
      <c r="RJ192" s="309"/>
      <c r="RK192" s="329"/>
      <c r="RL192" s="311"/>
      <c r="RM192" s="312"/>
      <c r="RN192" s="326"/>
      <c r="RO192" s="332"/>
      <c r="RP192" s="321"/>
      <c r="RQ192" s="321"/>
      <c r="RR192" s="331"/>
      <c r="RS192" s="308"/>
      <c r="RT192" s="301"/>
      <c r="RU192" s="301"/>
      <c r="RV192" s="302"/>
      <c r="RW192" s="309"/>
      <c r="RX192" s="329"/>
      <c r="RY192" s="311"/>
      <c r="RZ192" s="312"/>
      <c r="SA192" s="326"/>
      <c r="SB192" s="332"/>
      <c r="SC192" s="321"/>
      <c r="SD192" s="321"/>
      <c r="SE192" s="331"/>
      <c r="SF192" s="308"/>
      <c r="SG192" s="301"/>
      <c r="SH192" s="301"/>
      <c r="SI192" s="302"/>
      <c r="SJ192" s="309"/>
      <c r="SK192" s="329"/>
      <c r="SL192" s="311"/>
      <c r="SM192" s="312"/>
      <c r="SN192" s="326"/>
      <c r="SO192" s="332"/>
      <c r="SP192" s="321"/>
      <c r="SQ192" s="321"/>
      <c r="SR192" s="331"/>
      <c r="SS192" s="308"/>
      <c r="ST192" s="301"/>
      <c r="SU192" s="301"/>
      <c r="SV192" s="302"/>
      <c r="SW192" s="309"/>
      <c r="SX192" s="329"/>
      <c r="SY192" s="311"/>
      <c r="SZ192" s="312"/>
      <c r="TA192" s="326"/>
      <c r="TB192" s="332"/>
      <c r="TC192" s="321"/>
      <c r="TD192" s="321"/>
      <c r="TE192" s="331"/>
      <c r="TF192" s="308"/>
      <c r="TG192" s="301"/>
      <c r="TH192" s="301"/>
      <c r="TI192" s="302"/>
      <c r="TJ192" s="309"/>
      <c r="TK192" s="329"/>
      <c r="TL192" s="311"/>
      <c r="TM192" s="312"/>
      <c r="TN192" s="326"/>
      <c r="TO192" s="332"/>
      <c r="TP192" s="321"/>
      <c r="TQ192" s="321"/>
      <c r="TR192" s="331"/>
      <c r="TS192" s="308"/>
      <c r="TT192" s="301"/>
      <c r="TU192" s="301"/>
      <c r="TV192" s="302"/>
      <c r="TW192" s="309"/>
      <c r="TX192" s="329"/>
      <c r="TY192" s="311"/>
      <c r="TZ192" s="312"/>
      <c r="UA192" s="326"/>
      <c r="UB192" s="332"/>
      <c r="UC192" s="321"/>
      <c r="UD192" s="321"/>
      <c r="UE192" s="331"/>
      <c r="UF192" s="308"/>
      <c r="UG192" s="301"/>
      <c r="UH192" s="301"/>
      <c r="UI192" s="302"/>
      <c r="UJ192" s="309"/>
      <c r="UK192" s="329"/>
      <c r="UL192" s="311"/>
      <c r="UM192" s="312"/>
      <c r="UN192" s="326"/>
      <c r="UO192" s="332"/>
      <c r="UP192" s="321"/>
      <c r="UQ192" s="321"/>
      <c r="UR192" s="331"/>
      <c r="US192" s="308"/>
      <c r="UT192" s="301"/>
      <c r="UU192" s="301"/>
      <c r="UV192" s="302"/>
      <c r="UW192" s="309"/>
      <c r="UX192" s="329"/>
      <c r="UY192" s="311"/>
      <c r="UZ192" s="312"/>
      <c r="VA192" s="326"/>
      <c r="VB192" s="332"/>
      <c r="VC192" s="321"/>
      <c r="VD192" s="321"/>
      <c r="VE192" s="331"/>
      <c r="VF192" s="308"/>
      <c r="VG192" s="301"/>
      <c r="VH192" s="301"/>
      <c r="VI192" s="302"/>
      <c r="VJ192" s="309"/>
      <c r="VK192" s="329"/>
      <c r="VL192" s="311"/>
      <c r="VM192" s="312"/>
      <c r="VN192" s="326"/>
      <c r="VO192" s="332"/>
      <c r="VP192" s="321"/>
      <c r="VQ192" s="321"/>
      <c r="VR192" s="331"/>
      <c r="VS192" s="308"/>
      <c r="VT192" s="301"/>
      <c r="VU192" s="301"/>
      <c r="VV192" s="302"/>
      <c r="VW192" s="309"/>
      <c r="VX192" s="329"/>
      <c r="VY192" s="311"/>
      <c r="VZ192" s="312"/>
      <c r="WA192" s="326"/>
      <c r="WB192" s="332"/>
      <c r="WC192" s="321"/>
      <c r="WD192" s="321"/>
      <c r="WE192" s="331"/>
      <c r="WF192" s="308"/>
      <c r="WG192" s="301"/>
      <c r="WH192" s="301"/>
      <c r="WI192" s="302"/>
      <c r="WJ192" s="309"/>
      <c r="WK192" s="329"/>
      <c r="WL192" s="311"/>
      <c r="WM192" s="312"/>
      <c r="WN192" s="326"/>
      <c r="WO192" s="332"/>
      <c r="WP192" s="321"/>
      <c r="WQ192" s="321"/>
      <c r="WR192" s="331"/>
      <c r="WS192" s="308"/>
      <c r="WT192" s="301"/>
      <c r="WU192" s="301"/>
      <c r="WV192" s="302"/>
      <c r="WW192" s="309"/>
      <c r="WX192" s="329"/>
      <c r="WY192" s="311"/>
      <c r="WZ192" s="312"/>
      <c r="XA192" s="326"/>
      <c r="XB192" s="332"/>
      <c r="XC192" s="321"/>
      <c r="XD192" s="321"/>
      <c r="XE192" s="331"/>
      <c r="XF192" s="308"/>
      <c r="XG192" s="301"/>
      <c r="XH192" s="301"/>
      <c r="XI192" s="302"/>
      <c r="XJ192" s="309"/>
      <c r="XK192" s="329"/>
      <c r="XL192" s="311"/>
      <c r="XM192" s="312"/>
      <c r="XN192" s="326"/>
      <c r="XO192" s="332"/>
      <c r="XP192" s="321"/>
      <c r="XQ192" s="321"/>
      <c r="XR192" s="331"/>
      <c r="XS192" s="308"/>
      <c r="XT192" s="301"/>
      <c r="XU192" s="301"/>
      <c r="XV192" s="302"/>
      <c r="XW192" s="309"/>
      <c r="XX192" s="329"/>
      <c r="XY192" s="311"/>
      <c r="XZ192" s="312"/>
      <c r="YA192" s="326"/>
      <c r="YB192" s="332"/>
      <c r="YC192" s="321"/>
      <c r="YD192" s="321"/>
      <c r="YE192" s="331"/>
      <c r="YF192" s="308"/>
      <c r="YG192" s="301"/>
      <c r="YH192" s="301"/>
      <c r="YI192" s="302"/>
      <c r="YJ192" s="309"/>
      <c r="YK192" s="329"/>
      <c r="YL192" s="311"/>
      <c r="YM192" s="312"/>
      <c r="YN192" s="326"/>
      <c r="YO192" s="332"/>
      <c r="YP192" s="321"/>
      <c r="YQ192" s="321"/>
      <c r="YR192" s="331"/>
      <c r="YS192" s="308"/>
      <c r="YT192" s="301"/>
      <c r="YU192" s="301"/>
      <c r="YV192" s="302"/>
      <c r="YW192" s="309"/>
      <c r="YX192" s="329"/>
      <c r="YY192" s="311"/>
      <c r="YZ192" s="312"/>
      <c r="ZA192" s="326"/>
      <c r="ZB192" s="332"/>
      <c r="ZC192" s="321"/>
      <c r="ZD192" s="321"/>
      <c r="ZE192" s="331"/>
      <c r="ZF192" s="308"/>
      <c r="ZG192" s="301"/>
      <c r="ZH192" s="301"/>
      <c r="ZI192" s="302"/>
      <c r="ZJ192" s="309"/>
      <c r="ZK192" s="329"/>
      <c r="ZL192" s="311"/>
      <c r="ZM192" s="312"/>
      <c r="ZN192" s="326"/>
      <c r="ZO192" s="332"/>
      <c r="ZP192" s="321"/>
      <c r="ZQ192" s="321"/>
      <c r="ZR192" s="331"/>
      <c r="ZS192" s="308"/>
      <c r="ZT192" s="301"/>
      <c r="ZU192" s="301"/>
      <c r="ZV192" s="302"/>
      <c r="ZW192" s="309"/>
      <c r="ZX192" s="329"/>
      <c r="ZY192" s="311"/>
      <c r="ZZ192" s="312"/>
      <c r="AAA192" s="326"/>
      <c r="AAB192" s="332"/>
      <c r="AAC192" s="321"/>
      <c r="AAD192" s="321"/>
      <c r="AAE192" s="331"/>
      <c r="AAF192" s="308"/>
      <c r="AAG192" s="301"/>
      <c r="AAH192" s="301"/>
      <c r="AAI192" s="302"/>
      <c r="AAJ192" s="309"/>
      <c r="AAK192" s="329"/>
      <c r="AAL192" s="311"/>
      <c r="AAM192" s="312"/>
      <c r="AAN192" s="326"/>
      <c r="AAO192" s="332"/>
      <c r="AAP192" s="321"/>
      <c r="AAQ192" s="321"/>
      <c r="AAR192" s="331"/>
      <c r="AAS192" s="308"/>
      <c r="AAT192" s="301"/>
      <c r="AAU192" s="301"/>
      <c r="AAV192" s="302"/>
      <c r="AAW192" s="309"/>
      <c r="AAX192" s="329"/>
      <c r="AAY192" s="311"/>
      <c r="AAZ192" s="312"/>
      <c r="ABA192" s="326"/>
      <c r="ABB192" s="332"/>
      <c r="ABC192" s="321"/>
      <c r="ABD192" s="321"/>
      <c r="ABE192" s="331"/>
      <c r="ABF192" s="308"/>
      <c r="ABG192" s="301"/>
      <c r="ABH192" s="301"/>
      <c r="ABI192" s="302"/>
      <c r="ABJ192" s="309"/>
      <c r="ABK192" s="329"/>
      <c r="ABL192" s="311"/>
      <c r="ABM192" s="312"/>
      <c r="ABN192" s="326"/>
      <c r="ABO192" s="332"/>
      <c r="ABP192" s="321"/>
      <c r="ABQ192" s="321"/>
      <c r="ABR192" s="331"/>
      <c r="ABS192" s="308"/>
      <c r="ABT192" s="301"/>
      <c r="ABU192" s="301"/>
      <c r="ABV192" s="302"/>
      <c r="ABW192" s="309"/>
      <c r="ABX192" s="329"/>
      <c r="ABY192" s="311"/>
      <c r="ABZ192" s="312"/>
      <c r="ACA192" s="326"/>
      <c r="ACB192" s="332"/>
      <c r="ACC192" s="321"/>
      <c r="ACD192" s="321"/>
      <c r="ACE192" s="331"/>
      <c r="ACF192" s="308"/>
      <c r="ACG192" s="301"/>
      <c r="ACH192" s="301"/>
      <c r="ACI192" s="302"/>
      <c r="ACJ192" s="309"/>
      <c r="ACK192" s="329"/>
      <c r="ACL192" s="311"/>
      <c r="ACM192" s="312"/>
      <c r="ACN192" s="326"/>
      <c r="ACO192" s="332"/>
      <c r="ACP192" s="321"/>
      <c r="ACQ192" s="321"/>
      <c r="ACR192" s="331"/>
      <c r="ACS192" s="308"/>
      <c r="ACT192" s="301"/>
      <c r="ACU192" s="301"/>
      <c r="ACV192" s="302"/>
      <c r="ACW192" s="309"/>
      <c r="ACX192" s="329"/>
      <c r="ACY192" s="311"/>
      <c r="ACZ192" s="312"/>
      <c r="ADA192" s="326"/>
      <c r="ADB192" s="332"/>
      <c r="ADC192" s="321"/>
      <c r="ADD192" s="321"/>
      <c r="ADE192" s="331"/>
      <c r="ADF192" s="308"/>
      <c r="ADG192" s="301"/>
      <c r="ADH192" s="301"/>
      <c r="ADI192" s="302"/>
      <c r="ADJ192" s="309"/>
      <c r="ADK192" s="329"/>
      <c r="ADL192" s="311"/>
      <c r="ADM192" s="312"/>
      <c r="ADN192" s="326"/>
      <c r="ADO192" s="332"/>
      <c r="ADP192" s="321"/>
      <c r="ADQ192" s="321"/>
      <c r="ADR192" s="331"/>
      <c r="ADS192" s="308"/>
      <c r="ADT192" s="301"/>
      <c r="ADU192" s="301"/>
      <c r="ADV192" s="302"/>
      <c r="ADW192" s="309"/>
      <c r="ADX192" s="329"/>
      <c r="ADY192" s="311"/>
      <c r="ADZ192" s="312"/>
      <c r="AEA192" s="326"/>
      <c r="AEB192" s="332"/>
      <c r="AEC192" s="321"/>
      <c r="AED192" s="321"/>
      <c r="AEE192" s="331"/>
      <c r="AEF192" s="308"/>
      <c r="AEG192" s="301"/>
      <c r="AEH192" s="301"/>
      <c r="AEI192" s="302"/>
      <c r="AEJ192" s="309"/>
      <c r="AEK192" s="329"/>
      <c r="AEL192" s="311"/>
      <c r="AEM192" s="312"/>
      <c r="AEN192" s="326"/>
      <c r="AEO192" s="332"/>
      <c r="AEP192" s="321"/>
      <c r="AEQ192" s="321"/>
      <c r="AER192" s="331"/>
      <c r="AES192" s="308"/>
      <c r="AET192" s="301"/>
      <c r="AEU192" s="301"/>
      <c r="AEV192" s="302"/>
      <c r="AEW192" s="309"/>
      <c r="AEX192" s="329"/>
      <c r="AEY192" s="311"/>
      <c r="AEZ192" s="312"/>
      <c r="AFA192" s="326"/>
      <c r="AFB192" s="332"/>
      <c r="AFC192" s="321"/>
      <c r="AFD192" s="321"/>
      <c r="AFE192" s="331"/>
      <c r="AFF192" s="308"/>
      <c r="AFG192" s="301"/>
      <c r="AFH192" s="301"/>
      <c r="AFI192" s="302"/>
      <c r="AFJ192" s="309"/>
      <c r="AFK192" s="329"/>
      <c r="AFL192" s="311"/>
      <c r="AFM192" s="312"/>
      <c r="AFN192" s="326"/>
      <c r="AFO192" s="332"/>
      <c r="AFP192" s="321"/>
      <c r="AFQ192" s="321"/>
      <c r="AFR192" s="331"/>
      <c r="AFS192" s="308"/>
      <c r="AFT192" s="301"/>
      <c r="AFU192" s="301"/>
      <c r="AFV192" s="302"/>
      <c r="AFW192" s="309"/>
      <c r="AFX192" s="329"/>
      <c r="AFY192" s="311"/>
      <c r="AFZ192" s="312"/>
      <c r="AGA192" s="326"/>
      <c r="AGB192" s="332"/>
      <c r="AGC192" s="321"/>
      <c r="AGD192" s="321"/>
      <c r="AGE192" s="331"/>
      <c r="AGF192" s="308"/>
      <c r="AGG192" s="301"/>
      <c r="AGH192" s="301"/>
      <c r="AGI192" s="302"/>
      <c r="AGJ192" s="309"/>
      <c r="AGK192" s="329"/>
      <c r="AGL192" s="311"/>
      <c r="AGM192" s="312"/>
      <c r="AGN192" s="326"/>
      <c r="AGO192" s="332"/>
      <c r="AGP192" s="321"/>
      <c r="AGQ192" s="321"/>
      <c r="AGR192" s="331"/>
      <c r="AGS192" s="308"/>
      <c r="AGT192" s="301"/>
      <c r="AGU192" s="301"/>
      <c r="AGV192" s="302"/>
      <c r="AGW192" s="309"/>
      <c r="AGX192" s="329"/>
      <c r="AGY192" s="311"/>
      <c r="AGZ192" s="312"/>
      <c r="AHA192" s="326"/>
      <c r="AHB192" s="332"/>
      <c r="AHC192" s="321"/>
      <c r="AHD192" s="321"/>
      <c r="AHE192" s="331"/>
      <c r="AHF192" s="308"/>
      <c r="AHG192" s="301"/>
      <c r="AHH192" s="301"/>
      <c r="AHI192" s="302"/>
      <c r="AHJ192" s="309"/>
      <c r="AHK192" s="329"/>
      <c r="AHL192" s="311"/>
      <c r="AHM192" s="312"/>
      <c r="AHN192" s="326"/>
      <c r="AHO192" s="332"/>
      <c r="AHP192" s="321"/>
      <c r="AHQ192" s="321"/>
      <c r="AHR192" s="331"/>
      <c r="AHS192" s="308"/>
      <c r="AHT192" s="301"/>
      <c r="AHU192" s="301"/>
      <c r="AHV192" s="302"/>
      <c r="AHW192" s="309"/>
      <c r="AHX192" s="329"/>
      <c r="AHY192" s="311"/>
      <c r="AHZ192" s="312"/>
      <c r="AIA192" s="326"/>
      <c r="AIB192" s="332"/>
      <c r="AIC192" s="321"/>
      <c r="AID192" s="321"/>
      <c r="AIE192" s="331"/>
      <c r="AIF192" s="308"/>
      <c r="AIG192" s="301"/>
      <c r="AIH192" s="301"/>
      <c r="AII192" s="302"/>
      <c r="AIJ192" s="309"/>
      <c r="AIK192" s="329"/>
      <c r="AIL192" s="311"/>
      <c r="AIM192" s="312"/>
      <c r="AIN192" s="326"/>
      <c r="AIO192" s="332"/>
      <c r="AIP192" s="321"/>
      <c r="AIQ192" s="321"/>
      <c r="AIR192" s="331"/>
      <c r="AIS192" s="308"/>
      <c r="AIT192" s="301"/>
      <c r="AIU192" s="301"/>
      <c r="AIV192" s="302"/>
      <c r="AIW192" s="309"/>
      <c r="AIX192" s="329"/>
      <c r="AIY192" s="311"/>
      <c r="AIZ192" s="312"/>
      <c r="AJA192" s="326"/>
      <c r="AJB192" s="332"/>
      <c r="AJC192" s="321"/>
      <c r="AJD192" s="321"/>
      <c r="AJE192" s="331"/>
      <c r="AJF192" s="308"/>
      <c r="AJG192" s="301"/>
      <c r="AJH192" s="301"/>
      <c r="AJI192" s="302"/>
      <c r="AJJ192" s="309"/>
      <c r="AJK192" s="329"/>
      <c r="AJL192" s="311"/>
      <c r="AJM192" s="312"/>
      <c r="AJN192" s="326"/>
      <c r="AJO192" s="332"/>
      <c r="AJP192" s="321"/>
      <c r="AJQ192" s="321"/>
      <c r="AJR192" s="331"/>
      <c r="AJS192" s="308"/>
      <c r="AJT192" s="301"/>
      <c r="AJU192" s="301"/>
      <c r="AJV192" s="302"/>
      <c r="AJW192" s="309"/>
      <c r="AJX192" s="329"/>
      <c r="AJY192" s="311"/>
      <c r="AJZ192" s="312"/>
      <c r="AKA192" s="326"/>
      <c r="AKB192" s="332"/>
      <c r="AKC192" s="321"/>
      <c r="AKD192" s="321"/>
      <c r="AKE192" s="331"/>
      <c r="AKF192" s="308"/>
      <c r="AKG192" s="301"/>
      <c r="AKH192" s="301"/>
      <c r="AKI192" s="302"/>
      <c r="AKJ192" s="309"/>
      <c r="AKK192" s="329"/>
      <c r="AKL192" s="311"/>
      <c r="AKM192" s="312"/>
      <c r="AKN192" s="326"/>
      <c r="AKO192" s="332"/>
      <c r="AKP192" s="321"/>
      <c r="AKQ192" s="321"/>
      <c r="AKR192" s="331"/>
      <c r="AKS192" s="308"/>
      <c r="AKT192" s="301"/>
      <c r="AKU192" s="301"/>
      <c r="AKV192" s="302"/>
      <c r="AKW192" s="309"/>
      <c r="AKX192" s="329"/>
      <c r="AKY192" s="311"/>
      <c r="AKZ192" s="312"/>
      <c r="ALA192" s="326"/>
      <c r="ALB192" s="332"/>
      <c r="ALC192" s="321"/>
      <c r="ALD192" s="321"/>
      <c r="ALE192" s="331"/>
      <c r="ALF192" s="308"/>
      <c r="ALG192" s="301"/>
      <c r="ALH192" s="301"/>
      <c r="ALI192" s="302"/>
      <c r="ALJ192" s="309"/>
      <c r="ALK192" s="329"/>
      <c r="ALL192" s="311"/>
      <c r="ALM192" s="312"/>
      <c r="ALN192" s="326"/>
      <c r="ALO192" s="332"/>
      <c r="ALP192" s="321"/>
      <c r="ALQ192" s="321"/>
      <c r="ALR192" s="331"/>
      <c r="ALS192" s="308"/>
      <c r="ALT192" s="301"/>
      <c r="ALU192" s="301"/>
      <c r="ALV192" s="302"/>
      <c r="ALW192" s="309"/>
      <c r="ALX192" s="329"/>
      <c r="ALY192" s="311"/>
      <c r="ALZ192" s="312"/>
      <c r="AMA192" s="326"/>
      <c r="AMB192" s="332"/>
      <c r="AMC192" s="321"/>
      <c r="AMD192" s="321"/>
      <c r="AME192" s="331"/>
      <c r="AMF192" s="308"/>
      <c r="AMG192" s="301"/>
      <c r="AMH192" s="301"/>
      <c r="AMI192" s="302"/>
      <c r="AMJ192" s="309"/>
      <c r="AMK192" s="329"/>
      <c r="AML192" s="311"/>
      <c r="AMM192" s="312"/>
      <c r="AMN192" s="326"/>
      <c r="AMO192" s="332"/>
      <c r="AMP192" s="321"/>
      <c r="AMQ192" s="321"/>
      <c r="AMR192" s="331"/>
      <c r="AMS192" s="308"/>
      <c r="AMT192" s="301"/>
      <c r="AMU192" s="301"/>
      <c r="AMV192" s="302"/>
      <c r="AMW192" s="309"/>
      <c r="AMX192" s="329"/>
      <c r="AMY192" s="311"/>
      <c r="AMZ192" s="312"/>
      <c r="ANA192" s="326"/>
      <c r="ANB192" s="332"/>
      <c r="ANC192" s="321"/>
      <c r="AND192" s="321"/>
      <c r="ANE192" s="331"/>
      <c r="ANF192" s="308"/>
      <c r="ANG192" s="301"/>
      <c r="ANH192" s="301"/>
      <c r="ANI192" s="302"/>
      <c r="ANJ192" s="309"/>
      <c r="ANK192" s="329"/>
      <c r="ANL192" s="311"/>
      <c r="ANM192" s="312"/>
      <c r="ANN192" s="326"/>
      <c r="ANO192" s="332"/>
      <c r="ANP192" s="321"/>
      <c r="ANQ192" s="321"/>
      <c r="ANR192" s="331"/>
      <c r="ANS192" s="308"/>
      <c r="ANT192" s="301"/>
      <c r="ANU192" s="301"/>
      <c r="ANV192" s="302"/>
      <c r="ANW192" s="309"/>
      <c r="ANX192" s="329"/>
      <c r="ANY192" s="311"/>
      <c r="ANZ192" s="312"/>
      <c r="AOA192" s="326"/>
      <c r="AOB192" s="332"/>
      <c r="AOC192" s="321"/>
      <c r="AOD192" s="321"/>
      <c r="AOE192" s="331"/>
      <c r="AOF192" s="308"/>
      <c r="AOG192" s="301"/>
      <c r="AOH192" s="301"/>
      <c r="AOI192" s="302"/>
      <c r="AOJ192" s="309"/>
      <c r="AOK192" s="329"/>
      <c r="AOL192" s="311"/>
      <c r="AOM192" s="312"/>
      <c r="AON192" s="326"/>
      <c r="AOO192" s="332"/>
      <c r="AOP192" s="321"/>
      <c r="AOQ192" s="321"/>
      <c r="AOR192" s="331"/>
      <c r="AOS192" s="308"/>
      <c r="AOT192" s="301"/>
      <c r="AOU192" s="301"/>
      <c r="AOV192" s="302"/>
      <c r="AOW192" s="309"/>
      <c r="AOX192" s="329"/>
      <c r="AOY192" s="311"/>
      <c r="AOZ192" s="312"/>
      <c r="APA192" s="326"/>
      <c r="APB192" s="332"/>
      <c r="APC192" s="321"/>
      <c r="APD192" s="321"/>
      <c r="APE192" s="331"/>
      <c r="APF192" s="308"/>
      <c r="APG192" s="301"/>
      <c r="APH192" s="301"/>
      <c r="API192" s="302"/>
      <c r="APJ192" s="309"/>
      <c r="APK192" s="329"/>
      <c r="APL192" s="311"/>
      <c r="APM192" s="312"/>
      <c r="APN192" s="326"/>
      <c r="APO192" s="332"/>
      <c r="APP192" s="321"/>
      <c r="APQ192" s="321"/>
      <c r="APR192" s="331"/>
      <c r="APS192" s="308"/>
      <c r="APT192" s="301"/>
      <c r="APU192" s="301"/>
      <c r="APV192" s="302"/>
      <c r="APW192" s="309"/>
      <c r="APX192" s="329"/>
      <c r="APY192" s="311"/>
      <c r="APZ192" s="312"/>
      <c r="AQA192" s="326"/>
      <c r="AQB192" s="332"/>
      <c r="AQC192" s="321"/>
      <c r="AQD192" s="321"/>
      <c r="AQE192" s="331"/>
      <c r="AQF192" s="308"/>
      <c r="AQG192" s="301"/>
      <c r="AQH192" s="301"/>
      <c r="AQI192" s="302"/>
      <c r="AQJ192" s="309"/>
      <c r="AQK192" s="329"/>
      <c r="AQL192" s="311"/>
      <c r="AQM192" s="312"/>
      <c r="AQN192" s="326"/>
      <c r="AQO192" s="332"/>
      <c r="AQP192" s="321"/>
      <c r="AQQ192" s="321"/>
      <c r="AQR192" s="331"/>
      <c r="AQS192" s="308"/>
      <c r="AQT192" s="301"/>
      <c r="AQU192" s="301"/>
      <c r="AQV192" s="302"/>
      <c r="AQW192" s="309"/>
      <c r="AQX192" s="329"/>
      <c r="AQY192" s="311"/>
      <c r="AQZ192" s="312"/>
      <c r="ARA192" s="326"/>
      <c r="ARB192" s="332"/>
      <c r="ARC192" s="321"/>
      <c r="ARD192" s="321"/>
      <c r="ARE192" s="331"/>
      <c r="ARF192" s="308"/>
      <c r="ARG192" s="301"/>
      <c r="ARH192" s="301"/>
      <c r="ARI192" s="302"/>
      <c r="ARJ192" s="309"/>
      <c r="ARK192" s="329"/>
      <c r="ARL192" s="311"/>
      <c r="ARM192" s="312"/>
      <c r="ARN192" s="326"/>
      <c r="ARO192" s="332"/>
      <c r="ARP192" s="321"/>
      <c r="ARQ192" s="321"/>
      <c r="ARR192" s="331"/>
      <c r="ARS192" s="308"/>
      <c r="ART192" s="301"/>
      <c r="ARU192" s="301"/>
      <c r="ARV192" s="302"/>
      <c r="ARW192" s="309"/>
      <c r="ARX192" s="329"/>
      <c r="ARY192" s="311"/>
      <c r="ARZ192" s="312"/>
      <c r="ASA192" s="326"/>
      <c r="ASB192" s="332"/>
      <c r="ASC192" s="321"/>
      <c r="ASD192" s="321"/>
      <c r="ASE192" s="331"/>
      <c r="ASF192" s="308"/>
      <c r="ASG192" s="301"/>
      <c r="ASH192" s="301"/>
      <c r="ASI192" s="302"/>
      <c r="ASJ192" s="309"/>
      <c r="ASK192" s="329"/>
      <c r="ASL192" s="311"/>
      <c r="ASM192" s="312"/>
      <c r="ASN192" s="326"/>
      <c r="ASO192" s="332"/>
      <c r="ASP192" s="321"/>
      <c r="ASQ192" s="321"/>
      <c r="ASR192" s="331"/>
      <c r="ASS192" s="308"/>
      <c r="AST192" s="301"/>
      <c r="ASU192" s="301"/>
      <c r="ASV192" s="302"/>
      <c r="ASW192" s="309"/>
      <c r="ASX192" s="329"/>
      <c r="ASY192" s="311"/>
      <c r="ASZ192" s="312"/>
      <c r="ATA192" s="326"/>
      <c r="ATB192" s="332"/>
      <c r="ATC192" s="321"/>
      <c r="ATD192" s="321"/>
      <c r="ATE192" s="331"/>
      <c r="ATF192" s="308"/>
      <c r="ATG192" s="301"/>
      <c r="ATH192" s="301"/>
      <c r="ATI192" s="302"/>
      <c r="ATJ192" s="309"/>
      <c r="ATK192" s="329"/>
      <c r="ATL192" s="311"/>
      <c r="ATM192" s="312"/>
      <c r="ATN192" s="326"/>
      <c r="ATO192" s="332"/>
      <c r="ATP192" s="321"/>
      <c r="ATQ192" s="321"/>
      <c r="ATR192" s="331"/>
      <c r="ATS192" s="308"/>
      <c r="ATT192" s="301"/>
      <c r="ATU192" s="301"/>
      <c r="ATV192" s="302"/>
      <c r="ATW192" s="309"/>
      <c r="ATX192" s="329"/>
      <c r="ATY192" s="311"/>
      <c r="ATZ192" s="312"/>
      <c r="AUA192" s="326"/>
      <c r="AUB192" s="332"/>
      <c r="AUC192" s="321"/>
      <c r="AUD192" s="321"/>
      <c r="AUE192" s="331"/>
      <c r="AUF192" s="308"/>
      <c r="AUG192" s="301"/>
      <c r="AUH192" s="301"/>
      <c r="AUI192" s="302"/>
      <c r="AUJ192" s="309"/>
      <c r="AUK192" s="329"/>
      <c r="AUL192" s="311"/>
      <c r="AUM192" s="312"/>
      <c r="AUN192" s="326"/>
      <c r="AUO192" s="332"/>
      <c r="AUP192" s="321"/>
      <c r="AUQ192" s="321"/>
      <c r="AUR192" s="331"/>
      <c r="AUS192" s="308"/>
      <c r="AUT192" s="301"/>
      <c r="AUU192" s="301"/>
      <c r="AUV192" s="302"/>
      <c r="AUW192" s="309"/>
      <c r="AUX192" s="329"/>
      <c r="AUY192" s="311"/>
      <c r="AUZ192" s="312"/>
      <c r="AVA192" s="326"/>
      <c r="AVB192" s="332"/>
      <c r="AVC192" s="321"/>
      <c r="AVD192" s="321"/>
      <c r="AVE192" s="331"/>
      <c r="AVF192" s="308"/>
      <c r="AVG192" s="301"/>
      <c r="AVH192" s="301"/>
      <c r="AVI192" s="302"/>
      <c r="AVJ192" s="309"/>
      <c r="AVK192" s="329"/>
      <c r="AVL192" s="311"/>
      <c r="AVM192" s="312"/>
      <c r="AVN192" s="326"/>
      <c r="AVO192" s="332"/>
      <c r="AVP192" s="321"/>
      <c r="AVQ192" s="321"/>
      <c r="AVR192" s="331"/>
      <c r="AVS192" s="308"/>
      <c r="AVT192" s="301"/>
      <c r="AVU192" s="301"/>
      <c r="AVV192" s="302"/>
      <c r="AVW192" s="309"/>
      <c r="AVX192" s="329"/>
      <c r="AVY192" s="311"/>
      <c r="AVZ192" s="312"/>
      <c r="AWA192" s="326"/>
      <c r="AWB192" s="332"/>
      <c r="AWC192" s="321"/>
      <c r="AWD192" s="321"/>
      <c r="AWE192" s="331"/>
      <c r="AWF192" s="308"/>
      <c r="AWG192" s="301"/>
      <c r="AWH192" s="301"/>
      <c r="AWI192" s="302"/>
      <c r="AWJ192" s="309"/>
      <c r="AWK192" s="329"/>
      <c r="AWL192" s="311"/>
      <c r="AWM192" s="312"/>
      <c r="AWN192" s="326"/>
      <c r="AWO192" s="332"/>
      <c r="AWP192" s="321"/>
      <c r="AWQ192" s="321"/>
      <c r="AWR192" s="331"/>
      <c r="AWS192" s="308"/>
      <c r="AWT192" s="301"/>
      <c r="AWU192" s="301"/>
      <c r="AWV192" s="302"/>
      <c r="AWW192" s="309"/>
      <c r="AWX192" s="329"/>
      <c r="AWY192" s="311"/>
      <c r="AWZ192" s="312"/>
      <c r="AXA192" s="326"/>
      <c r="AXB192" s="332"/>
      <c r="AXC192" s="321"/>
      <c r="AXD192" s="321"/>
      <c r="AXE192" s="331"/>
      <c r="AXF192" s="308"/>
      <c r="AXG192" s="301"/>
      <c r="AXH192" s="301"/>
      <c r="AXI192" s="302"/>
      <c r="AXJ192" s="309"/>
      <c r="AXK192" s="329"/>
      <c r="AXL192" s="311"/>
      <c r="AXM192" s="312"/>
      <c r="AXN192" s="326"/>
      <c r="AXO192" s="332"/>
      <c r="AXP192" s="321"/>
      <c r="AXQ192" s="321"/>
      <c r="AXR192" s="331"/>
      <c r="AXS192" s="308"/>
      <c r="AXT192" s="301"/>
      <c r="AXU192" s="301"/>
      <c r="AXV192" s="302"/>
      <c r="AXW192" s="309"/>
      <c r="AXX192" s="329"/>
      <c r="AXY192" s="311"/>
      <c r="AXZ192" s="312"/>
      <c r="AYA192" s="326"/>
      <c r="AYB192" s="332"/>
      <c r="AYC192" s="321"/>
      <c r="AYD192" s="321"/>
      <c r="AYE192" s="331"/>
      <c r="AYF192" s="308"/>
      <c r="AYG192" s="301"/>
      <c r="AYH192" s="301"/>
      <c r="AYI192" s="302"/>
      <c r="AYJ192" s="309"/>
      <c r="AYK192" s="329"/>
      <c r="AYL192" s="311"/>
      <c r="AYM192" s="312"/>
      <c r="AYN192" s="326"/>
      <c r="AYO192" s="332"/>
      <c r="AYP192" s="321"/>
      <c r="AYQ192" s="321"/>
      <c r="AYR192" s="331"/>
      <c r="AYS192" s="308"/>
      <c r="AYT192" s="301"/>
      <c r="AYU192" s="301"/>
      <c r="AYV192" s="302"/>
      <c r="AYW192" s="309"/>
      <c r="AYX192" s="329"/>
      <c r="AYY192" s="311"/>
      <c r="AYZ192" s="312"/>
      <c r="AZA192" s="326"/>
      <c r="AZB192" s="332"/>
      <c r="AZC192" s="321"/>
      <c r="AZD192" s="321"/>
      <c r="AZE192" s="331"/>
      <c r="AZF192" s="308"/>
      <c r="AZG192" s="301"/>
      <c r="AZH192" s="301"/>
      <c r="AZI192" s="302"/>
      <c r="AZJ192" s="309"/>
      <c r="AZK192" s="329"/>
      <c r="AZL192" s="311"/>
      <c r="AZM192" s="312"/>
      <c r="AZN192" s="326"/>
      <c r="AZO192" s="332"/>
      <c r="AZP192" s="321"/>
      <c r="AZQ192" s="321"/>
      <c r="AZR192" s="331"/>
      <c r="AZS192" s="308"/>
      <c r="AZT192" s="301"/>
      <c r="AZU192" s="301"/>
      <c r="AZV192" s="302"/>
      <c r="AZW192" s="309"/>
      <c r="AZX192" s="329"/>
      <c r="AZY192" s="311"/>
      <c r="AZZ192" s="312"/>
      <c r="BAA192" s="326"/>
      <c r="BAB192" s="332"/>
      <c r="BAC192" s="321"/>
      <c r="BAD192" s="321"/>
      <c r="BAE192" s="331"/>
      <c r="BAF192" s="308"/>
      <c r="BAG192" s="301"/>
      <c r="BAH192" s="301"/>
      <c r="BAI192" s="302"/>
      <c r="BAJ192" s="309"/>
      <c r="BAK192" s="329"/>
      <c r="BAL192" s="311"/>
      <c r="BAM192" s="312"/>
      <c r="BAN192" s="326"/>
      <c r="BAO192" s="332"/>
      <c r="BAP192" s="321"/>
      <c r="BAQ192" s="321"/>
      <c r="BAR192" s="331"/>
      <c r="BAS192" s="308"/>
      <c r="BAT192" s="301"/>
      <c r="BAU192" s="301"/>
      <c r="BAV192" s="302"/>
      <c r="BAW192" s="309"/>
      <c r="BAX192" s="329"/>
      <c r="BAY192" s="311"/>
      <c r="BAZ192" s="312"/>
      <c r="BBA192" s="326"/>
      <c r="BBB192" s="332"/>
      <c r="BBC192" s="321"/>
      <c r="BBD192" s="321"/>
      <c r="BBE192" s="331"/>
      <c r="BBF192" s="308"/>
      <c r="BBG192" s="301"/>
      <c r="BBH192" s="301"/>
      <c r="BBI192" s="302"/>
      <c r="BBJ192" s="309"/>
      <c r="BBK192" s="329"/>
      <c r="BBL192" s="311"/>
      <c r="BBM192" s="312"/>
      <c r="BBN192" s="326"/>
      <c r="BBO192" s="332"/>
      <c r="BBP192" s="321"/>
      <c r="BBQ192" s="321"/>
      <c r="BBR192" s="331"/>
      <c r="BBS192" s="308"/>
      <c r="BBT192" s="301"/>
      <c r="BBU192" s="301"/>
      <c r="BBV192" s="302"/>
      <c r="BBW192" s="309"/>
      <c r="BBX192" s="329"/>
      <c r="BBY192" s="311"/>
      <c r="BBZ192" s="312"/>
      <c r="BCA192" s="326"/>
      <c r="BCB192" s="332"/>
      <c r="BCC192" s="321"/>
      <c r="BCD192" s="321"/>
      <c r="BCE192" s="331"/>
      <c r="BCF192" s="308"/>
      <c r="BCG192" s="301"/>
      <c r="BCH192" s="301"/>
      <c r="BCI192" s="302"/>
      <c r="BCJ192" s="309"/>
      <c r="BCK192" s="329"/>
      <c r="BCL192" s="311"/>
      <c r="BCM192" s="312"/>
      <c r="BCN192" s="326"/>
      <c r="BCO192" s="332"/>
      <c r="BCP192" s="321"/>
      <c r="BCQ192" s="321"/>
      <c r="BCR192" s="331"/>
      <c r="BCS192" s="308"/>
      <c r="BCT192" s="301"/>
      <c r="BCU192" s="301"/>
      <c r="BCV192" s="302"/>
      <c r="BCW192" s="309"/>
      <c r="BCX192" s="329"/>
      <c r="BCY192" s="311"/>
      <c r="BCZ192" s="312"/>
      <c r="BDA192" s="326"/>
      <c r="BDB192" s="332"/>
      <c r="BDC192" s="321"/>
      <c r="BDD192" s="321"/>
      <c r="BDE192" s="331"/>
      <c r="BDF192" s="308"/>
      <c r="BDG192" s="301"/>
      <c r="BDH192" s="301"/>
      <c r="BDI192" s="302"/>
      <c r="BDJ192" s="309"/>
      <c r="BDK192" s="329"/>
      <c r="BDL192" s="311"/>
      <c r="BDM192" s="312"/>
      <c r="BDN192" s="326"/>
      <c r="BDO192" s="332"/>
      <c r="BDP192" s="321"/>
      <c r="BDQ192" s="321"/>
      <c r="BDR192" s="331"/>
      <c r="BDS192" s="308"/>
      <c r="BDT192" s="301"/>
      <c r="BDU192" s="301"/>
      <c r="BDV192" s="302"/>
      <c r="BDW192" s="309"/>
      <c r="BDX192" s="329"/>
      <c r="BDY192" s="311"/>
      <c r="BDZ192" s="312"/>
      <c r="BEA192" s="326"/>
      <c r="BEB192" s="332"/>
      <c r="BEC192" s="321"/>
      <c r="BED192" s="321"/>
      <c r="BEE192" s="331"/>
      <c r="BEF192" s="308"/>
      <c r="BEG192" s="301"/>
      <c r="BEH192" s="301"/>
      <c r="BEI192" s="302"/>
      <c r="BEJ192" s="309"/>
      <c r="BEK192" s="329"/>
      <c r="BEL192" s="311"/>
      <c r="BEM192" s="312"/>
      <c r="BEN192" s="326"/>
      <c r="BEO192" s="332"/>
      <c r="BEP192" s="321"/>
      <c r="BEQ192" s="321"/>
      <c r="BER192" s="331"/>
      <c r="BES192" s="308"/>
      <c r="BET192" s="301"/>
      <c r="BEU192" s="301"/>
      <c r="BEV192" s="302"/>
      <c r="BEW192" s="309"/>
      <c r="BEX192" s="329"/>
      <c r="BEY192" s="311"/>
      <c r="BEZ192" s="312"/>
      <c r="BFA192" s="326"/>
      <c r="BFB192" s="332"/>
      <c r="BFC192" s="321"/>
      <c r="BFD192" s="321"/>
      <c r="BFE192" s="331"/>
      <c r="BFF192" s="308"/>
      <c r="BFG192" s="301"/>
      <c r="BFH192" s="301"/>
      <c r="BFI192" s="302"/>
      <c r="BFJ192" s="309"/>
      <c r="BFK192" s="329"/>
      <c r="BFL192" s="311"/>
      <c r="BFM192" s="312"/>
      <c r="BFN192" s="326"/>
      <c r="BFO192" s="332"/>
      <c r="BFP192" s="321"/>
      <c r="BFQ192" s="321"/>
      <c r="BFR192" s="331"/>
      <c r="BFS192" s="308"/>
      <c r="BFT192" s="301"/>
      <c r="BFU192" s="301"/>
      <c r="BFV192" s="302"/>
      <c r="BFW192" s="309"/>
      <c r="BFX192" s="329"/>
      <c r="BFY192" s="311"/>
      <c r="BFZ192" s="312"/>
      <c r="BGA192" s="326"/>
      <c r="BGB192" s="332"/>
      <c r="BGC192" s="321"/>
      <c r="BGD192" s="321"/>
      <c r="BGE192" s="331"/>
      <c r="BGF192" s="308"/>
      <c r="BGG192" s="301"/>
      <c r="BGH192" s="301"/>
      <c r="BGI192" s="302"/>
      <c r="BGJ192" s="309"/>
      <c r="BGK192" s="329"/>
      <c r="BGL192" s="311"/>
      <c r="BGM192" s="312"/>
      <c r="BGN192" s="326"/>
      <c r="BGO192" s="332"/>
      <c r="BGP192" s="321"/>
      <c r="BGQ192" s="321"/>
      <c r="BGR192" s="331"/>
      <c r="BGS192" s="308"/>
      <c r="BGT192" s="301"/>
      <c r="BGU192" s="301"/>
      <c r="BGV192" s="302"/>
      <c r="BGW192" s="309"/>
      <c r="BGX192" s="329"/>
      <c r="BGY192" s="311"/>
      <c r="BGZ192" s="312"/>
      <c r="BHA192" s="326"/>
      <c r="BHB192" s="332"/>
      <c r="BHC192" s="321"/>
      <c r="BHD192" s="321"/>
      <c r="BHE192" s="331"/>
      <c r="BHF192" s="308"/>
      <c r="BHG192" s="301"/>
      <c r="BHH192" s="301"/>
      <c r="BHI192" s="302"/>
      <c r="BHJ192" s="309"/>
      <c r="BHK192" s="329"/>
      <c r="BHL192" s="311"/>
      <c r="BHM192" s="312"/>
      <c r="BHN192" s="326"/>
      <c r="BHO192" s="332"/>
      <c r="BHP192" s="321"/>
      <c r="BHQ192" s="321"/>
      <c r="BHR192" s="331"/>
      <c r="BHS192" s="308"/>
      <c r="BHT192" s="301"/>
      <c r="BHU192" s="301"/>
      <c r="BHV192" s="302"/>
      <c r="BHW192" s="309"/>
      <c r="BHX192" s="329"/>
      <c r="BHY192" s="311"/>
      <c r="BHZ192" s="312"/>
      <c r="BIA192" s="326"/>
      <c r="BIB192" s="332"/>
      <c r="BIC192" s="321"/>
      <c r="BID192" s="321"/>
      <c r="BIE192" s="331"/>
      <c r="BIF192" s="308"/>
      <c r="BIG192" s="301"/>
      <c r="BIH192" s="301"/>
      <c r="BII192" s="302"/>
      <c r="BIJ192" s="309"/>
      <c r="BIK192" s="329"/>
      <c r="BIL192" s="311"/>
      <c r="BIM192" s="312"/>
      <c r="BIN192" s="326"/>
      <c r="BIO192" s="332"/>
      <c r="BIP192" s="321"/>
      <c r="BIQ192" s="321"/>
      <c r="BIR192" s="331"/>
      <c r="BIS192" s="308"/>
      <c r="BIT192" s="301"/>
      <c r="BIU192" s="301"/>
      <c r="BIV192" s="302"/>
      <c r="BIW192" s="309"/>
      <c r="BIX192" s="329"/>
      <c r="BIY192" s="311"/>
      <c r="BIZ192" s="312"/>
      <c r="BJA192" s="326"/>
      <c r="BJB192" s="332"/>
      <c r="BJC192" s="321"/>
      <c r="BJD192" s="321"/>
      <c r="BJE192" s="331"/>
      <c r="BJF192" s="308"/>
      <c r="BJG192" s="301"/>
      <c r="BJH192" s="301"/>
      <c r="BJI192" s="302"/>
      <c r="BJJ192" s="309"/>
      <c r="BJK192" s="329"/>
      <c r="BJL192" s="311"/>
      <c r="BJM192" s="312"/>
      <c r="BJN192" s="326"/>
      <c r="BJO192" s="332"/>
      <c r="BJP192" s="321"/>
      <c r="BJQ192" s="321"/>
      <c r="BJR192" s="331"/>
      <c r="BJS192" s="308"/>
      <c r="BJT192" s="301"/>
      <c r="BJU192" s="301"/>
      <c r="BJV192" s="302"/>
      <c r="BJW192" s="309"/>
      <c r="BJX192" s="329"/>
      <c r="BJY192" s="311"/>
      <c r="BJZ192" s="312"/>
      <c r="BKA192" s="326"/>
      <c r="BKB192" s="332"/>
      <c r="BKC192" s="321"/>
      <c r="BKD192" s="321"/>
      <c r="BKE192" s="331"/>
      <c r="BKF192" s="308"/>
      <c r="BKG192" s="301"/>
      <c r="BKH192" s="301"/>
      <c r="BKI192" s="302"/>
      <c r="BKJ192" s="309"/>
      <c r="BKK192" s="329"/>
      <c r="BKL192" s="311"/>
      <c r="BKM192" s="312"/>
      <c r="BKN192" s="326"/>
      <c r="BKO192" s="332"/>
      <c r="BKP192" s="321"/>
      <c r="BKQ192" s="321"/>
      <c r="BKR192" s="331"/>
      <c r="BKS192" s="308"/>
      <c r="BKT192" s="301"/>
      <c r="BKU192" s="301"/>
      <c r="BKV192" s="302"/>
      <c r="BKW192" s="309"/>
      <c r="BKX192" s="329"/>
      <c r="BKY192" s="311"/>
      <c r="BKZ192" s="312"/>
      <c r="BLA192" s="326"/>
      <c r="BLB192" s="332"/>
      <c r="BLC192" s="321"/>
      <c r="BLD192" s="321"/>
      <c r="BLE192" s="331"/>
      <c r="BLF192" s="308"/>
      <c r="BLG192" s="301"/>
      <c r="BLH192" s="301"/>
      <c r="BLI192" s="302"/>
      <c r="BLJ192" s="309"/>
      <c r="BLK192" s="329"/>
      <c r="BLL192" s="311"/>
      <c r="BLM192" s="312"/>
      <c r="BLN192" s="326"/>
      <c r="BLO192" s="332"/>
      <c r="BLP192" s="321"/>
      <c r="BLQ192" s="321"/>
      <c r="BLR192" s="331"/>
      <c r="BLS192" s="308"/>
      <c r="BLT192" s="301"/>
      <c r="BLU192" s="301"/>
      <c r="BLV192" s="302"/>
      <c r="BLW192" s="309"/>
      <c r="BLX192" s="329"/>
      <c r="BLY192" s="311"/>
      <c r="BLZ192" s="312"/>
      <c r="BMA192" s="326"/>
      <c r="BMB192" s="332"/>
      <c r="BMC192" s="321"/>
      <c r="BMD192" s="321"/>
      <c r="BME192" s="331"/>
      <c r="BMF192" s="308"/>
      <c r="BMG192" s="301"/>
      <c r="BMH192" s="301"/>
      <c r="BMI192" s="302"/>
      <c r="BMJ192" s="309"/>
      <c r="BMK192" s="329"/>
      <c r="BML192" s="311"/>
      <c r="BMM192" s="312"/>
      <c r="BMN192" s="326"/>
      <c r="BMO192" s="332"/>
      <c r="BMP192" s="321"/>
      <c r="BMQ192" s="321"/>
      <c r="BMR192" s="331"/>
      <c r="BMS192" s="308"/>
      <c r="BMT192" s="301"/>
      <c r="BMU192" s="301"/>
      <c r="BMV192" s="302"/>
      <c r="BMW192" s="309"/>
      <c r="BMX192" s="329"/>
      <c r="BMY192" s="311"/>
      <c r="BMZ192" s="312"/>
      <c r="BNA192" s="326"/>
      <c r="BNB192" s="332"/>
      <c r="BNC192" s="321"/>
      <c r="BND192" s="321"/>
      <c r="BNE192" s="331"/>
      <c r="BNF192" s="308"/>
      <c r="BNG192" s="301"/>
      <c r="BNH192" s="301"/>
      <c r="BNI192" s="302"/>
      <c r="BNJ192" s="309"/>
      <c r="BNK192" s="329"/>
      <c r="BNL192" s="311"/>
      <c r="BNM192" s="312"/>
      <c r="BNN192" s="326"/>
      <c r="BNO192" s="332"/>
      <c r="BNP192" s="321"/>
      <c r="BNQ192" s="321"/>
      <c r="BNR192" s="331"/>
      <c r="BNS192" s="308"/>
      <c r="BNT192" s="301"/>
      <c r="BNU192" s="301"/>
      <c r="BNV192" s="302"/>
      <c r="BNW192" s="309"/>
      <c r="BNX192" s="329"/>
      <c r="BNY192" s="311"/>
      <c r="BNZ192" s="312"/>
      <c r="BOA192" s="326"/>
      <c r="BOB192" s="332"/>
      <c r="BOC192" s="321"/>
      <c r="BOD192" s="321"/>
      <c r="BOE192" s="331"/>
      <c r="BOF192" s="308"/>
      <c r="BOG192" s="301"/>
      <c r="BOH192" s="301"/>
      <c r="BOI192" s="302"/>
      <c r="BOJ192" s="309"/>
      <c r="BOK192" s="329"/>
      <c r="BOL192" s="311"/>
      <c r="BOM192" s="312"/>
      <c r="BON192" s="326"/>
      <c r="BOO192" s="332"/>
      <c r="BOP192" s="321"/>
      <c r="BOQ192" s="321"/>
      <c r="BOR192" s="331"/>
      <c r="BOS192" s="308"/>
      <c r="BOT192" s="301"/>
      <c r="BOU192" s="301"/>
      <c r="BOV192" s="302"/>
      <c r="BOW192" s="309"/>
      <c r="BOX192" s="329"/>
      <c r="BOY192" s="311"/>
      <c r="BOZ192" s="312"/>
      <c r="BPA192" s="326"/>
      <c r="BPB192" s="332"/>
      <c r="BPC192" s="321"/>
      <c r="BPD192" s="321"/>
      <c r="BPE192" s="331"/>
      <c r="BPF192" s="308"/>
      <c r="BPG192" s="301"/>
      <c r="BPH192" s="301"/>
      <c r="BPI192" s="302"/>
      <c r="BPJ192" s="309"/>
      <c r="BPK192" s="329"/>
      <c r="BPL192" s="311"/>
      <c r="BPM192" s="312"/>
      <c r="BPN192" s="326"/>
      <c r="BPO192" s="332"/>
      <c r="BPP192" s="321"/>
      <c r="BPQ192" s="321"/>
      <c r="BPR192" s="331"/>
      <c r="BPS192" s="308"/>
      <c r="BPT192" s="301"/>
      <c r="BPU192" s="301"/>
      <c r="BPV192" s="302"/>
      <c r="BPW192" s="309"/>
      <c r="BPX192" s="329"/>
      <c r="BPY192" s="311"/>
      <c r="BPZ192" s="312"/>
      <c r="BQA192" s="326"/>
      <c r="BQB192" s="332"/>
      <c r="BQC192" s="321"/>
      <c r="BQD192" s="321"/>
      <c r="BQE192" s="331"/>
      <c r="BQF192" s="308"/>
      <c r="BQG192" s="301"/>
      <c r="BQH192" s="301"/>
      <c r="BQI192" s="302"/>
      <c r="BQJ192" s="309"/>
      <c r="BQK192" s="329"/>
      <c r="BQL192" s="311"/>
      <c r="BQM192" s="312"/>
      <c r="BQN192" s="326"/>
      <c r="BQO192" s="332"/>
      <c r="BQP192" s="321"/>
      <c r="BQQ192" s="321"/>
      <c r="BQR192" s="331"/>
      <c r="BQS192" s="308"/>
      <c r="BQT192" s="301"/>
      <c r="BQU192" s="301"/>
      <c r="BQV192" s="302"/>
      <c r="BQW192" s="309"/>
      <c r="BQX192" s="329"/>
      <c r="BQY192" s="311"/>
      <c r="BQZ192" s="312"/>
      <c r="BRA192" s="326"/>
      <c r="BRB192" s="332"/>
      <c r="BRC192" s="321"/>
      <c r="BRD192" s="321"/>
      <c r="BRE192" s="331"/>
      <c r="BRF192" s="308"/>
      <c r="BRG192" s="301"/>
      <c r="BRH192" s="301"/>
      <c r="BRI192" s="302"/>
      <c r="BRJ192" s="309"/>
      <c r="BRK192" s="329"/>
      <c r="BRL192" s="311"/>
      <c r="BRM192" s="312"/>
      <c r="BRN192" s="326"/>
      <c r="BRO192" s="332"/>
      <c r="BRP192" s="321"/>
      <c r="BRQ192" s="321"/>
      <c r="BRR192" s="331"/>
      <c r="BRS192" s="308"/>
      <c r="BRT192" s="301"/>
      <c r="BRU192" s="301"/>
      <c r="BRV192" s="302"/>
      <c r="BRW192" s="309"/>
      <c r="BRX192" s="329"/>
      <c r="BRY192" s="311"/>
      <c r="BRZ192" s="312"/>
      <c r="BSA192" s="326"/>
      <c r="BSB192" s="332"/>
      <c r="BSC192" s="321"/>
      <c r="BSD192" s="321"/>
      <c r="BSE192" s="331"/>
      <c r="BSF192" s="308"/>
      <c r="BSG192" s="301"/>
      <c r="BSH192" s="301"/>
      <c r="BSI192" s="302"/>
      <c r="BSJ192" s="309"/>
      <c r="BSK192" s="329"/>
      <c r="BSL192" s="311"/>
      <c r="BSM192" s="312"/>
      <c r="BSN192" s="326"/>
      <c r="BSO192" s="332"/>
      <c r="BSP192" s="321"/>
      <c r="BSQ192" s="321"/>
      <c r="BSR192" s="331"/>
      <c r="BSS192" s="308"/>
      <c r="BST192" s="301"/>
      <c r="BSU192" s="301"/>
      <c r="BSV192" s="302"/>
      <c r="BSW192" s="309"/>
      <c r="BSX192" s="329"/>
      <c r="BSY192" s="311"/>
      <c r="BSZ192" s="312"/>
      <c r="BTA192" s="326"/>
      <c r="BTB192" s="332"/>
      <c r="BTC192" s="321"/>
      <c r="BTD192" s="321"/>
      <c r="BTE192" s="331"/>
      <c r="BTF192" s="308"/>
      <c r="BTG192" s="301"/>
      <c r="BTH192" s="301"/>
      <c r="BTI192" s="302"/>
      <c r="BTJ192" s="309"/>
      <c r="BTK192" s="329"/>
      <c r="BTL192" s="311"/>
      <c r="BTM192" s="312"/>
      <c r="BTN192" s="326"/>
      <c r="BTO192" s="332"/>
      <c r="BTP192" s="321"/>
      <c r="BTQ192" s="321"/>
      <c r="BTR192" s="331"/>
      <c r="BTS192" s="308"/>
      <c r="BTT192" s="301"/>
      <c r="BTU192" s="301"/>
      <c r="BTV192" s="302"/>
      <c r="BTW192" s="309"/>
      <c r="BTX192" s="329"/>
      <c r="BTY192" s="311"/>
      <c r="BTZ192" s="312"/>
      <c r="BUA192" s="326"/>
      <c r="BUB192" s="332"/>
      <c r="BUC192" s="321"/>
      <c r="BUD192" s="321"/>
      <c r="BUE192" s="331"/>
      <c r="BUF192" s="308"/>
      <c r="BUG192" s="301"/>
      <c r="BUH192" s="301"/>
      <c r="BUI192" s="302"/>
      <c r="BUJ192" s="309"/>
      <c r="BUK192" s="329"/>
      <c r="BUL192" s="311"/>
      <c r="BUM192" s="312"/>
      <c r="BUN192" s="326"/>
      <c r="BUO192" s="332"/>
      <c r="BUP192" s="321"/>
      <c r="BUQ192" s="321"/>
      <c r="BUR192" s="331"/>
      <c r="BUS192" s="308"/>
      <c r="BUT192" s="301"/>
      <c r="BUU192" s="301"/>
      <c r="BUV192" s="302"/>
      <c r="BUW192" s="309"/>
      <c r="BUX192" s="329"/>
      <c r="BUY192" s="311"/>
      <c r="BUZ192" s="312"/>
      <c r="BVA192" s="326"/>
      <c r="BVB192" s="332"/>
      <c r="BVC192" s="321"/>
      <c r="BVD192" s="321"/>
      <c r="BVE192" s="331"/>
      <c r="BVF192" s="308"/>
      <c r="BVG192" s="301"/>
      <c r="BVH192" s="301"/>
      <c r="BVI192" s="302"/>
      <c r="BVJ192" s="309"/>
      <c r="BVK192" s="329"/>
      <c r="BVL192" s="311"/>
      <c r="BVM192" s="312"/>
      <c r="BVN192" s="326"/>
      <c r="BVO192" s="332"/>
      <c r="BVP192" s="321"/>
      <c r="BVQ192" s="321"/>
      <c r="BVR192" s="331"/>
      <c r="BVS192" s="308"/>
      <c r="BVT192" s="301"/>
      <c r="BVU192" s="301"/>
      <c r="BVV192" s="302"/>
      <c r="BVW192" s="309"/>
      <c r="BVX192" s="329"/>
      <c r="BVY192" s="311"/>
      <c r="BVZ192" s="312"/>
      <c r="BWA192" s="326"/>
      <c r="BWB192" s="332"/>
      <c r="BWC192" s="321"/>
      <c r="BWD192" s="321"/>
      <c r="BWE192" s="331"/>
      <c r="BWF192" s="308"/>
      <c r="BWG192" s="301"/>
      <c r="BWH192" s="301"/>
      <c r="BWI192" s="302"/>
      <c r="BWJ192" s="309"/>
      <c r="BWK192" s="329"/>
      <c r="BWL192" s="311"/>
      <c r="BWM192" s="312"/>
      <c r="BWN192" s="326"/>
      <c r="BWO192" s="332"/>
      <c r="BWP192" s="321"/>
      <c r="BWQ192" s="321"/>
      <c r="BWR192" s="331"/>
      <c r="BWS192" s="308"/>
      <c r="BWT192" s="301"/>
      <c r="BWU192" s="301"/>
      <c r="BWV192" s="302"/>
      <c r="BWW192" s="309"/>
      <c r="BWX192" s="329"/>
      <c r="BWY192" s="311"/>
      <c r="BWZ192" s="312"/>
      <c r="BXA192" s="326"/>
      <c r="BXB192" s="332"/>
      <c r="BXC192" s="321"/>
      <c r="BXD192" s="321"/>
      <c r="BXE192" s="331"/>
      <c r="BXF192" s="308"/>
      <c r="BXG192" s="301"/>
      <c r="BXH192" s="301"/>
      <c r="BXI192" s="302"/>
      <c r="BXJ192" s="309"/>
      <c r="BXK192" s="329"/>
      <c r="BXL192" s="311"/>
      <c r="BXM192" s="312"/>
      <c r="BXN192" s="326"/>
      <c r="BXO192" s="332"/>
      <c r="BXP192" s="321"/>
      <c r="BXQ192" s="321"/>
      <c r="BXR192" s="331"/>
      <c r="BXS192" s="308"/>
      <c r="BXT192" s="301"/>
      <c r="BXU192" s="301"/>
      <c r="BXV192" s="302"/>
      <c r="BXW192" s="309"/>
      <c r="BXX192" s="329"/>
      <c r="BXY192" s="311"/>
      <c r="BXZ192" s="312"/>
      <c r="BYA192" s="326"/>
      <c r="BYB192" s="332"/>
      <c r="BYC192" s="321"/>
      <c r="BYD192" s="321"/>
      <c r="BYE192" s="331"/>
      <c r="BYF192" s="308"/>
      <c r="BYG192" s="301"/>
      <c r="BYH192" s="301"/>
      <c r="BYI192" s="302"/>
      <c r="BYJ192" s="309"/>
      <c r="BYK192" s="329"/>
      <c r="BYL192" s="311"/>
      <c r="BYM192" s="312"/>
      <c r="BYN192" s="326"/>
      <c r="BYO192" s="332"/>
      <c r="BYP192" s="321"/>
      <c r="BYQ192" s="321"/>
      <c r="BYR192" s="331"/>
      <c r="BYS192" s="308"/>
      <c r="BYT192" s="301"/>
      <c r="BYU192" s="301"/>
      <c r="BYV192" s="302"/>
      <c r="BYW192" s="309"/>
      <c r="BYX192" s="329"/>
      <c r="BYY192" s="311"/>
      <c r="BYZ192" s="312"/>
      <c r="BZA192" s="326"/>
      <c r="BZB192" s="332"/>
      <c r="BZC192" s="321"/>
      <c r="BZD192" s="321"/>
      <c r="BZE192" s="331"/>
      <c r="BZF192" s="308"/>
      <c r="BZG192" s="301"/>
      <c r="BZH192" s="301"/>
      <c r="BZI192" s="302"/>
      <c r="BZJ192" s="309"/>
      <c r="BZK192" s="329"/>
      <c r="BZL192" s="311"/>
      <c r="BZM192" s="312"/>
      <c r="BZN192" s="326"/>
      <c r="BZO192" s="332"/>
      <c r="BZP192" s="321"/>
      <c r="BZQ192" s="321"/>
      <c r="BZR192" s="331"/>
      <c r="BZS192" s="308"/>
      <c r="BZT192" s="301"/>
      <c r="BZU192" s="301"/>
      <c r="BZV192" s="302"/>
      <c r="BZW192" s="309"/>
      <c r="BZX192" s="329"/>
      <c r="BZY192" s="311"/>
      <c r="BZZ192" s="312"/>
      <c r="CAA192" s="326"/>
      <c r="CAB192" s="332"/>
      <c r="CAC192" s="321"/>
      <c r="CAD192" s="321"/>
      <c r="CAE192" s="331"/>
      <c r="CAF192" s="308"/>
      <c r="CAG192" s="301"/>
      <c r="CAH192" s="301"/>
      <c r="CAI192" s="302"/>
      <c r="CAJ192" s="309"/>
      <c r="CAK192" s="329"/>
      <c r="CAL192" s="311"/>
      <c r="CAM192" s="312"/>
      <c r="CAN192" s="326"/>
      <c r="CAO192" s="332"/>
      <c r="CAP192" s="321"/>
      <c r="CAQ192" s="321"/>
      <c r="CAR192" s="331"/>
      <c r="CAS192" s="308"/>
      <c r="CAT192" s="301"/>
      <c r="CAU192" s="301"/>
      <c r="CAV192" s="302"/>
      <c r="CAW192" s="309"/>
      <c r="CAX192" s="329"/>
      <c r="CAY192" s="311"/>
      <c r="CAZ192" s="312"/>
      <c r="CBA192" s="326"/>
      <c r="CBB192" s="332"/>
      <c r="CBC192" s="321"/>
      <c r="CBD192" s="321"/>
      <c r="CBE192" s="331"/>
      <c r="CBF192" s="308"/>
      <c r="CBG192" s="301"/>
      <c r="CBH192" s="301"/>
      <c r="CBI192" s="302"/>
      <c r="CBJ192" s="309"/>
      <c r="CBK192" s="329"/>
      <c r="CBL192" s="311"/>
      <c r="CBM192" s="312"/>
      <c r="CBN192" s="326"/>
      <c r="CBO192" s="332"/>
      <c r="CBP192" s="321"/>
      <c r="CBQ192" s="321"/>
      <c r="CBR192" s="331"/>
      <c r="CBS192" s="308"/>
      <c r="CBT192" s="301"/>
      <c r="CBU192" s="301"/>
      <c r="CBV192" s="302"/>
      <c r="CBW192" s="309"/>
      <c r="CBX192" s="329"/>
      <c r="CBY192" s="311"/>
      <c r="CBZ192" s="312"/>
      <c r="CCA192" s="326"/>
      <c r="CCB192" s="332"/>
      <c r="CCC192" s="321"/>
      <c r="CCD192" s="321"/>
      <c r="CCE192" s="331"/>
      <c r="CCF192" s="308"/>
      <c r="CCG192" s="301"/>
      <c r="CCH192" s="301"/>
      <c r="CCI192" s="302"/>
      <c r="CCJ192" s="309"/>
      <c r="CCK192" s="329"/>
      <c r="CCL192" s="311"/>
      <c r="CCM192" s="312"/>
      <c r="CCN192" s="326"/>
      <c r="CCO192" s="332"/>
      <c r="CCP192" s="321"/>
      <c r="CCQ192" s="321"/>
      <c r="CCR192" s="331"/>
      <c r="CCS192" s="308"/>
      <c r="CCT192" s="301"/>
      <c r="CCU192" s="301"/>
      <c r="CCV192" s="302"/>
      <c r="CCW192" s="309"/>
      <c r="CCX192" s="329"/>
      <c r="CCY192" s="311"/>
      <c r="CCZ192" s="312"/>
      <c r="CDA192" s="326"/>
      <c r="CDB192" s="332"/>
      <c r="CDC192" s="321"/>
      <c r="CDD192" s="321"/>
      <c r="CDE192" s="331"/>
      <c r="CDF192" s="308"/>
      <c r="CDG192" s="301"/>
      <c r="CDH192" s="301"/>
      <c r="CDI192" s="302"/>
      <c r="CDJ192" s="309"/>
      <c r="CDK192" s="329"/>
      <c r="CDL192" s="311"/>
      <c r="CDM192" s="312"/>
      <c r="CDN192" s="326"/>
      <c r="CDO192" s="332"/>
      <c r="CDP192" s="321"/>
      <c r="CDQ192" s="321"/>
      <c r="CDR192" s="331"/>
      <c r="CDS192" s="308"/>
      <c r="CDT192" s="301"/>
      <c r="CDU192" s="301"/>
      <c r="CDV192" s="302"/>
      <c r="CDW192" s="309"/>
      <c r="CDX192" s="329"/>
      <c r="CDY192" s="311"/>
      <c r="CDZ192" s="312"/>
      <c r="CEA192" s="326"/>
      <c r="CEB192" s="332"/>
      <c r="CEC192" s="321"/>
      <c r="CED192" s="321"/>
      <c r="CEE192" s="331"/>
      <c r="CEF192" s="308"/>
      <c r="CEG192" s="301"/>
      <c r="CEH192" s="301"/>
      <c r="CEI192" s="302"/>
      <c r="CEJ192" s="309"/>
      <c r="CEK192" s="329"/>
      <c r="CEL192" s="311"/>
      <c r="CEM192" s="312"/>
      <c r="CEN192" s="326"/>
      <c r="CEO192" s="332"/>
      <c r="CEP192" s="321"/>
      <c r="CEQ192" s="321"/>
      <c r="CER192" s="331"/>
      <c r="CES192" s="308"/>
      <c r="CET192" s="301"/>
      <c r="CEU192" s="301"/>
      <c r="CEV192" s="302"/>
      <c r="CEW192" s="309"/>
      <c r="CEX192" s="329"/>
      <c r="CEY192" s="311"/>
      <c r="CEZ192" s="312"/>
      <c r="CFA192" s="326"/>
      <c r="CFB192" s="332"/>
      <c r="CFC192" s="321"/>
      <c r="CFD192" s="321"/>
      <c r="CFE192" s="331"/>
      <c r="CFF192" s="308"/>
      <c r="CFG192" s="301"/>
      <c r="CFH192" s="301"/>
      <c r="CFI192" s="302"/>
      <c r="CFJ192" s="309"/>
      <c r="CFK192" s="329"/>
      <c r="CFL192" s="311"/>
      <c r="CFM192" s="312"/>
      <c r="CFN192" s="326"/>
      <c r="CFO192" s="332"/>
      <c r="CFP192" s="321"/>
      <c r="CFQ192" s="321"/>
      <c r="CFR192" s="331"/>
      <c r="CFS192" s="308"/>
      <c r="CFT192" s="301"/>
      <c r="CFU192" s="301"/>
      <c r="CFV192" s="302"/>
      <c r="CFW192" s="309"/>
      <c r="CFX192" s="329"/>
      <c r="CFY192" s="311"/>
      <c r="CFZ192" s="312"/>
      <c r="CGA192" s="326"/>
      <c r="CGB192" s="332"/>
      <c r="CGC192" s="321"/>
      <c r="CGD192" s="321"/>
      <c r="CGE192" s="331"/>
      <c r="CGF192" s="308"/>
      <c r="CGG192" s="301"/>
      <c r="CGH192" s="301"/>
      <c r="CGI192" s="302"/>
      <c r="CGJ192" s="309"/>
      <c r="CGK192" s="329"/>
      <c r="CGL192" s="311"/>
      <c r="CGM192" s="312"/>
      <c r="CGN192" s="326"/>
      <c r="CGO192" s="332"/>
      <c r="CGP192" s="321"/>
      <c r="CGQ192" s="321"/>
      <c r="CGR192" s="331"/>
      <c r="CGS192" s="308"/>
      <c r="CGT192" s="301"/>
      <c r="CGU192" s="301"/>
      <c r="CGV192" s="302"/>
      <c r="CGW192" s="309"/>
      <c r="CGX192" s="329"/>
      <c r="CGY192" s="311"/>
      <c r="CGZ192" s="312"/>
      <c r="CHA192" s="326"/>
      <c r="CHB192" s="332"/>
      <c r="CHC192" s="321"/>
      <c r="CHD192" s="321"/>
      <c r="CHE192" s="331"/>
      <c r="CHF192" s="308"/>
      <c r="CHG192" s="301"/>
      <c r="CHH192" s="301"/>
      <c r="CHI192" s="302"/>
      <c r="CHJ192" s="309"/>
      <c r="CHK192" s="329"/>
      <c r="CHL192" s="311"/>
      <c r="CHM192" s="312"/>
      <c r="CHN192" s="326"/>
      <c r="CHO192" s="332"/>
      <c r="CHP192" s="321"/>
      <c r="CHQ192" s="321"/>
      <c r="CHR192" s="331"/>
      <c r="CHS192" s="308"/>
      <c r="CHT192" s="301"/>
      <c r="CHU192" s="301"/>
      <c r="CHV192" s="302"/>
      <c r="CHW192" s="309"/>
      <c r="CHX192" s="329"/>
      <c r="CHY192" s="311"/>
      <c r="CHZ192" s="312"/>
      <c r="CIA192" s="326"/>
      <c r="CIB192" s="332"/>
      <c r="CIC192" s="321"/>
      <c r="CID192" s="321"/>
      <c r="CIE192" s="331"/>
      <c r="CIF192" s="308"/>
      <c r="CIG192" s="301"/>
      <c r="CIH192" s="301"/>
      <c r="CII192" s="302"/>
      <c r="CIJ192" s="309"/>
      <c r="CIK192" s="329"/>
      <c r="CIL192" s="311"/>
      <c r="CIM192" s="312"/>
      <c r="CIN192" s="326"/>
      <c r="CIO192" s="332"/>
      <c r="CIP192" s="321"/>
      <c r="CIQ192" s="321"/>
      <c r="CIR192" s="331"/>
      <c r="CIS192" s="308"/>
      <c r="CIT192" s="301"/>
      <c r="CIU192" s="301"/>
      <c r="CIV192" s="302"/>
      <c r="CIW192" s="309"/>
      <c r="CIX192" s="329"/>
      <c r="CIY192" s="311"/>
      <c r="CIZ192" s="312"/>
      <c r="CJA192" s="326"/>
      <c r="CJB192" s="332"/>
      <c r="CJC192" s="321"/>
      <c r="CJD192" s="321"/>
      <c r="CJE192" s="331"/>
      <c r="CJF192" s="308"/>
      <c r="CJG192" s="301"/>
      <c r="CJH192" s="301"/>
      <c r="CJI192" s="302"/>
      <c r="CJJ192" s="309"/>
      <c r="CJK192" s="329"/>
      <c r="CJL192" s="311"/>
      <c r="CJM192" s="312"/>
      <c r="CJN192" s="326"/>
      <c r="CJO192" s="332"/>
      <c r="CJP192" s="321"/>
      <c r="CJQ192" s="321"/>
      <c r="CJR192" s="331"/>
      <c r="CJS192" s="308"/>
      <c r="CJT192" s="301"/>
      <c r="CJU192" s="301"/>
      <c r="CJV192" s="302"/>
      <c r="CJW192" s="309"/>
      <c r="CJX192" s="329"/>
      <c r="CJY192" s="311"/>
      <c r="CJZ192" s="312"/>
      <c r="CKA192" s="326"/>
      <c r="CKB192" s="332"/>
      <c r="CKC192" s="321"/>
      <c r="CKD192" s="321"/>
      <c r="CKE192" s="331"/>
      <c r="CKF192" s="308"/>
      <c r="CKG192" s="301"/>
      <c r="CKH192" s="301"/>
      <c r="CKI192" s="302"/>
      <c r="CKJ192" s="309"/>
      <c r="CKK192" s="329"/>
      <c r="CKL192" s="311"/>
      <c r="CKM192" s="312"/>
      <c r="CKN192" s="326"/>
      <c r="CKO192" s="332"/>
      <c r="CKP192" s="321"/>
      <c r="CKQ192" s="321"/>
      <c r="CKR192" s="331"/>
      <c r="CKS192" s="308"/>
      <c r="CKT192" s="301"/>
      <c r="CKU192" s="301"/>
      <c r="CKV192" s="302"/>
      <c r="CKW192" s="309"/>
      <c r="CKX192" s="329"/>
      <c r="CKY192" s="311"/>
      <c r="CKZ192" s="312"/>
      <c r="CLA192" s="326"/>
      <c r="CLB192" s="332"/>
      <c r="CLC192" s="321"/>
      <c r="CLD192" s="321"/>
      <c r="CLE192" s="331"/>
      <c r="CLF192" s="308"/>
      <c r="CLG192" s="301"/>
      <c r="CLH192" s="301"/>
      <c r="CLI192" s="302"/>
      <c r="CLJ192" s="309"/>
      <c r="CLK192" s="329"/>
      <c r="CLL192" s="311"/>
      <c r="CLM192" s="312"/>
      <c r="CLN192" s="326"/>
      <c r="CLO192" s="332"/>
      <c r="CLP192" s="321"/>
      <c r="CLQ192" s="321"/>
      <c r="CLR192" s="331"/>
      <c r="CLS192" s="308"/>
      <c r="CLT192" s="301"/>
      <c r="CLU192" s="301"/>
      <c r="CLV192" s="302"/>
      <c r="CLW192" s="309"/>
      <c r="CLX192" s="329"/>
      <c r="CLY192" s="311"/>
      <c r="CLZ192" s="312"/>
      <c r="CMA192" s="326"/>
      <c r="CMB192" s="332"/>
      <c r="CMC192" s="321"/>
      <c r="CMD192" s="321"/>
      <c r="CME192" s="331"/>
      <c r="CMF192" s="308"/>
      <c r="CMG192" s="301"/>
      <c r="CMH192" s="301"/>
      <c r="CMI192" s="302"/>
      <c r="CMJ192" s="309"/>
      <c r="CMK192" s="329"/>
      <c r="CML192" s="311"/>
      <c r="CMM192" s="312"/>
      <c r="CMN192" s="326"/>
      <c r="CMO192" s="332"/>
      <c r="CMP192" s="321"/>
      <c r="CMQ192" s="321"/>
      <c r="CMR192" s="331"/>
      <c r="CMS192" s="308"/>
      <c r="CMT192" s="301"/>
      <c r="CMU192" s="301"/>
      <c r="CMV192" s="302"/>
      <c r="CMW192" s="309"/>
      <c r="CMX192" s="329"/>
      <c r="CMY192" s="311"/>
      <c r="CMZ192" s="312"/>
      <c r="CNA192" s="326"/>
      <c r="CNB192" s="332"/>
      <c r="CNC192" s="321"/>
      <c r="CND192" s="321"/>
      <c r="CNE192" s="331"/>
      <c r="CNF192" s="308"/>
      <c r="CNG192" s="301"/>
      <c r="CNH192" s="301"/>
      <c r="CNI192" s="302"/>
      <c r="CNJ192" s="309"/>
      <c r="CNK192" s="329"/>
      <c r="CNL192" s="311"/>
      <c r="CNM192" s="312"/>
      <c r="CNN192" s="326"/>
      <c r="CNO192" s="332"/>
      <c r="CNP192" s="321"/>
      <c r="CNQ192" s="321"/>
      <c r="CNR192" s="331"/>
      <c r="CNS192" s="308"/>
      <c r="CNT192" s="301"/>
      <c r="CNU192" s="301"/>
      <c r="CNV192" s="302"/>
      <c r="CNW192" s="309"/>
      <c r="CNX192" s="329"/>
      <c r="CNY192" s="311"/>
      <c r="CNZ192" s="312"/>
      <c r="COA192" s="326"/>
      <c r="COB192" s="332"/>
      <c r="COC192" s="321"/>
      <c r="COD192" s="321"/>
      <c r="COE192" s="331"/>
      <c r="COF192" s="308"/>
      <c r="COG192" s="301"/>
      <c r="COH192" s="301"/>
      <c r="COI192" s="302"/>
      <c r="COJ192" s="309"/>
      <c r="COK192" s="329"/>
      <c r="COL192" s="311"/>
      <c r="COM192" s="312"/>
      <c r="CON192" s="326"/>
      <c r="COO192" s="332"/>
      <c r="COP192" s="321"/>
      <c r="COQ192" s="321"/>
      <c r="COR192" s="331"/>
      <c r="COS192" s="308"/>
      <c r="COT192" s="301"/>
      <c r="COU192" s="301"/>
      <c r="COV192" s="302"/>
      <c r="COW192" s="309"/>
      <c r="COX192" s="329"/>
      <c r="COY192" s="311"/>
      <c r="COZ192" s="312"/>
      <c r="CPA192" s="326"/>
      <c r="CPB192" s="332"/>
      <c r="CPC192" s="321"/>
      <c r="CPD192" s="321"/>
      <c r="CPE192" s="331"/>
      <c r="CPF192" s="308"/>
      <c r="CPG192" s="301"/>
      <c r="CPH192" s="301"/>
      <c r="CPI192" s="302"/>
      <c r="CPJ192" s="309"/>
      <c r="CPK192" s="329"/>
      <c r="CPL192" s="311"/>
      <c r="CPM192" s="312"/>
      <c r="CPN192" s="326"/>
      <c r="CPO192" s="332"/>
      <c r="CPP192" s="321"/>
      <c r="CPQ192" s="321"/>
      <c r="CPR192" s="331"/>
      <c r="CPS192" s="308"/>
      <c r="CPT192" s="301"/>
      <c r="CPU192" s="301"/>
      <c r="CPV192" s="302"/>
      <c r="CPW192" s="309"/>
      <c r="CPX192" s="329"/>
      <c r="CPY192" s="311"/>
      <c r="CPZ192" s="312"/>
      <c r="CQA192" s="326"/>
      <c r="CQB192" s="332"/>
      <c r="CQC192" s="321"/>
      <c r="CQD192" s="321"/>
      <c r="CQE192" s="331"/>
      <c r="CQF192" s="308"/>
      <c r="CQG192" s="301"/>
      <c r="CQH192" s="301"/>
      <c r="CQI192" s="302"/>
      <c r="CQJ192" s="309"/>
      <c r="CQK192" s="329"/>
      <c r="CQL192" s="311"/>
      <c r="CQM192" s="312"/>
      <c r="CQN192" s="326"/>
      <c r="CQO192" s="332"/>
      <c r="CQP192" s="321"/>
      <c r="CQQ192" s="321"/>
      <c r="CQR192" s="331"/>
      <c r="CQS192" s="308"/>
      <c r="CQT192" s="301"/>
      <c r="CQU192" s="301"/>
      <c r="CQV192" s="302"/>
      <c r="CQW192" s="309"/>
      <c r="CQX192" s="329"/>
      <c r="CQY192" s="311"/>
      <c r="CQZ192" s="312"/>
      <c r="CRA192" s="326"/>
      <c r="CRB192" s="332"/>
      <c r="CRC192" s="321"/>
      <c r="CRD192" s="321"/>
      <c r="CRE192" s="331"/>
      <c r="CRF192" s="308"/>
      <c r="CRG192" s="301"/>
      <c r="CRH192" s="301"/>
      <c r="CRI192" s="302"/>
      <c r="CRJ192" s="309"/>
      <c r="CRK192" s="329"/>
      <c r="CRL192" s="311"/>
      <c r="CRM192" s="312"/>
      <c r="CRN192" s="326"/>
      <c r="CRO192" s="332"/>
      <c r="CRP192" s="321"/>
      <c r="CRQ192" s="321"/>
      <c r="CRR192" s="331"/>
      <c r="CRS192" s="308"/>
      <c r="CRT192" s="301"/>
      <c r="CRU192" s="301"/>
      <c r="CRV192" s="302"/>
      <c r="CRW192" s="309"/>
      <c r="CRX192" s="329"/>
      <c r="CRY192" s="311"/>
      <c r="CRZ192" s="312"/>
      <c r="CSA192" s="326"/>
      <c r="CSB192" s="332"/>
      <c r="CSC192" s="321"/>
      <c r="CSD192" s="321"/>
      <c r="CSE192" s="331"/>
      <c r="CSF192" s="308"/>
      <c r="CSG192" s="301"/>
      <c r="CSH192" s="301"/>
      <c r="CSI192" s="302"/>
      <c r="CSJ192" s="309"/>
      <c r="CSK192" s="329"/>
      <c r="CSL192" s="311"/>
      <c r="CSM192" s="312"/>
      <c r="CSN192" s="326"/>
      <c r="CSO192" s="332"/>
      <c r="CSP192" s="321"/>
      <c r="CSQ192" s="321"/>
      <c r="CSR192" s="331"/>
      <c r="CSS192" s="308"/>
      <c r="CST192" s="301"/>
      <c r="CSU192" s="301"/>
      <c r="CSV192" s="302"/>
      <c r="CSW192" s="309"/>
      <c r="CSX192" s="329"/>
      <c r="CSY192" s="311"/>
      <c r="CSZ192" s="312"/>
      <c r="CTA192" s="326"/>
      <c r="CTB192" s="332"/>
      <c r="CTC192" s="321"/>
      <c r="CTD192" s="321"/>
      <c r="CTE192" s="331"/>
      <c r="CTF192" s="308"/>
      <c r="CTG192" s="301"/>
      <c r="CTH192" s="301"/>
      <c r="CTI192" s="302"/>
      <c r="CTJ192" s="309"/>
      <c r="CTK192" s="329"/>
      <c r="CTL192" s="311"/>
      <c r="CTM192" s="312"/>
      <c r="CTN192" s="326"/>
      <c r="CTO192" s="332"/>
      <c r="CTP192" s="321"/>
      <c r="CTQ192" s="321"/>
      <c r="CTR192" s="331"/>
      <c r="CTS192" s="308"/>
      <c r="CTT192" s="301"/>
      <c r="CTU192" s="301"/>
      <c r="CTV192" s="302"/>
      <c r="CTW192" s="309"/>
      <c r="CTX192" s="329"/>
      <c r="CTY192" s="311"/>
      <c r="CTZ192" s="312"/>
      <c r="CUA192" s="326"/>
      <c r="CUB192" s="332"/>
      <c r="CUC192" s="321"/>
      <c r="CUD192" s="321"/>
      <c r="CUE192" s="331"/>
      <c r="CUF192" s="308"/>
      <c r="CUG192" s="301"/>
      <c r="CUH192" s="301"/>
      <c r="CUI192" s="302"/>
      <c r="CUJ192" s="309"/>
      <c r="CUK192" s="329"/>
      <c r="CUL192" s="311"/>
      <c r="CUM192" s="312"/>
      <c r="CUN192" s="326"/>
      <c r="CUO192" s="332"/>
      <c r="CUP192" s="321"/>
      <c r="CUQ192" s="321"/>
      <c r="CUR192" s="331"/>
      <c r="CUS192" s="308"/>
      <c r="CUT192" s="301"/>
      <c r="CUU192" s="301"/>
      <c r="CUV192" s="302"/>
      <c r="CUW192" s="309"/>
      <c r="CUX192" s="329"/>
      <c r="CUY192" s="311"/>
      <c r="CUZ192" s="312"/>
      <c r="CVA192" s="326"/>
      <c r="CVB192" s="332"/>
      <c r="CVC192" s="321"/>
      <c r="CVD192" s="321"/>
      <c r="CVE192" s="331"/>
      <c r="CVF192" s="308"/>
      <c r="CVG192" s="301"/>
      <c r="CVH192" s="301"/>
      <c r="CVI192" s="302"/>
      <c r="CVJ192" s="309"/>
      <c r="CVK192" s="329"/>
      <c r="CVL192" s="311"/>
      <c r="CVM192" s="312"/>
      <c r="CVN192" s="326"/>
      <c r="CVO192" s="332"/>
      <c r="CVP192" s="321"/>
      <c r="CVQ192" s="321"/>
      <c r="CVR192" s="331"/>
      <c r="CVS192" s="308"/>
      <c r="CVT192" s="301"/>
      <c r="CVU192" s="301"/>
      <c r="CVV192" s="302"/>
      <c r="CVW192" s="309"/>
      <c r="CVX192" s="329"/>
      <c r="CVY192" s="311"/>
      <c r="CVZ192" s="312"/>
      <c r="CWA192" s="326"/>
      <c r="CWB192" s="332"/>
      <c r="CWC192" s="321"/>
      <c r="CWD192" s="321"/>
      <c r="CWE192" s="331"/>
      <c r="CWF192" s="308"/>
      <c r="CWG192" s="301"/>
      <c r="CWH192" s="301"/>
      <c r="CWI192" s="302"/>
      <c r="CWJ192" s="309"/>
      <c r="CWK192" s="329"/>
      <c r="CWL192" s="311"/>
      <c r="CWM192" s="312"/>
      <c r="CWN192" s="326"/>
      <c r="CWO192" s="332"/>
      <c r="CWP192" s="321"/>
      <c r="CWQ192" s="321"/>
      <c r="CWR192" s="331"/>
      <c r="CWS192" s="308"/>
      <c r="CWT192" s="301"/>
      <c r="CWU192" s="301"/>
      <c r="CWV192" s="302"/>
      <c r="CWW192" s="309"/>
      <c r="CWX192" s="329"/>
      <c r="CWY192" s="311"/>
      <c r="CWZ192" s="312"/>
      <c r="CXA192" s="326"/>
      <c r="CXB192" s="332"/>
      <c r="CXC192" s="321"/>
      <c r="CXD192" s="321"/>
      <c r="CXE192" s="331"/>
      <c r="CXF192" s="308"/>
      <c r="CXG192" s="301"/>
      <c r="CXH192" s="301"/>
      <c r="CXI192" s="302"/>
      <c r="CXJ192" s="309"/>
      <c r="CXK192" s="329"/>
      <c r="CXL192" s="311"/>
      <c r="CXM192" s="312"/>
      <c r="CXN192" s="326"/>
      <c r="CXO192" s="332"/>
      <c r="CXP192" s="321"/>
      <c r="CXQ192" s="321"/>
      <c r="CXR192" s="331"/>
      <c r="CXS192" s="308"/>
      <c r="CXT192" s="301"/>
      <c r="CXU192" s="301"/>
      <c r="CXV192" s="302"/>
      <c r="CXW192" s="309"/>
      <c r="CXX192" s="329"/>
      <c r="CXY192" s="311"/>
      <c r="CXZ192" s="312"/>
      <c r="CYA192" s="326"/>
      <c r="CYB192" s="332"/>
      <c r="CYC192" s="321"/>
      <c r="CYD192" s="321"/>
      <c r="CYE192" s="331"/>
      <c r="CYF192" s="308"/>
      <c r="CYG192" s="301"/>
      <c r="CYH192" s="301"/>
      <c r="CYI192" s="302"/>
      <c r="CYJ192" s="309"/>
      <c r="CYK192" s="329"/>
      <c r="CYL192" s="311"/>
      <c r="CYM192" s="312"/>
      <c r="CYN192" s="326"/>
      <c r="CYO192" s="332"/>
      <c r="CYP192" s="321"/>
      <c r="CYQ192" s="321"/>
      <c r="CYR192" s="331"/>
      <c r="CYS192" s="308"/>
      <c r="CYT192" s="301"/>
      <c r="CYU192" s="301"/>
      <c r="CYV192" s="302"/>
      <c r="CYW192" s="309"/>
      <c r="CYX192" s="329"/>
      <c r="CYY192" s="311"/>
      <c r="CYZ192" s="312"/>
      <c r="CZA192" s="326"/>
      <c r="CZB192" s="332"/>
      <c r="CZC192" s="321"/>
      <c r="CZD192" s="321"/>
      <c r="CZE192" s="331"/>
      <c r="CZF192" s="308"/>
      <c r="CZG192" s="301"/>
      <c r="CZH192" s="301"/>
      <c r="CZI192" s="302"/>
      <c r="CZJ192" s="309"/>
      <c r="CZK192" s="329"/>
      <c r="CZL192" s="311"/>
      <c r="CZM192" s="312"/>
      <c r="CZN192" s="326"/>
      <c r="CZO192" s="332"/>
      <c r="CZP192" s="321"/>
      <c r="CZQ192" s="321"/>
      <c r="CZR192" s="331"/>
      <c r="CZS192" s="308"/>
      <c r="CZT192" s="301"/>
      <c r="CZU192" s="301"/>
      <c r="CZV192" s="302"/>
      <c r="CZW192" s="309"/>
      <c r="CZX192" s="329"/>
      <c r="CZY192" s="311"/>
      <c r="CZZ192" s="312"/>
      <c r="DAA192" s="326"/>
      <c r="DAB192" s="332"/>
      <c r="DAC192" s="321"/>
      <c r="DAD192" s="321"/>
      <c r="DAE192" s="331"/>
      <c r="DAF192" s="308"/>
      <c r="DAG192" s="301"/>
      <c r="DAH192" s="301"/>
      <c r="DAI192" s="302"/>
      <c r="DAJ192" s="309"/>
      <c r="DAK192" s="329"/>
      <c r="DAL192" s="311"/>
      <c r="DAM192" s="312"/>
      <c r="DAN192" s="326"/>
      <c r="DAO192" s="332"/>
      <c r="DAP192" s="321"/>
      <c r="DAQ192" s="321"/>
      <c r="DAR192" s="331"/>
      <c r="DAS192" s="308"/>
      <c r="DAT192" s="301"/>
      <c r="DAU192" s="301"/>
      <c r="DAV192" s="302"/>
      <c r="DAW192" s="309"/>
      <c r="DAX192" s="329"/>
      <c r="DAY192" s="311"/>
      <c r="DAZ192" s="312"/>
      <c r="DBA192" s="326"/>
      <c r="DBB192" s="332"/>
      <c r="DBC192" s="321"/>
      <c r="DBD192" s="321"/>
      <c r="DBE192" s="331"/>
      <c r="DBF192" s="308"/>
      <c r="DBG192" s="301"/>
      <c r="DBH192" s="301"/>
      <c r="DBI192" s="302"/>
      <c r="DBJ192" s="309"/>
      <c r="DBK192" s="329"/>
      <c r="DBL192" s="311"/>
      <c r="DBM192" s="312"/>
      <c r="DBN192" s="326"/>
      <c r="DBO192" s="332"/>
      <c r="DBP192" s="321"/>
      <c r="DBQ192" s="321"/>
      <c r="DBR192" s="331"/>
      <c r="DBS192" s="308"/>
      <c r="DBT192" s="301"/>
      <c r="DBU192" s="301"/>
      <c r="DBV192" s="302"/>
      <c r="DBW192" s="309"/>
      <c r="DBX192" s="329"/>
      <c r="DBY192" s="311"/>
      <c r="DBZ192" s="312"/>
      <c r="DCA192" s="326"/>
      <c r="DCB192" s="332"/>
      <c r="DCC192" s="321"/>
      <c r="DCD192" s="321"/>
      <c r="DCE192" s="331"/>
      <c r="DCF192" s="308"/>
      <c r="DCG192" s="301"/>
      <c r="DCH192" s="301"/>
      <c r="DCI192" s="302"/>
      <c r="DCJ192" s="309"/>
      <c r="DCK192" s="329"/>
      <c r="DCL192" s="311"/>
      <c r="DCM192" s="312"/>
      <c r="DCN192" s="326"/>
      <c r="DCO192" s="332"/>
      <c r="DCP192" s="321"/>
      <c r="DCQ192" s="321"/>
      <c r="DCR192" s="331"/>
      <c r="DCS192" s="308"/>
      <c r="DCT192" s="301"/>
      <c r="DCU192" s="301"/>
      <c r="DCV192" s="302"/>
      <c r="DCW192" s="309"/>
      <c r="DCX192" s="329"/>
      <c r="DCY192" s="311"/>
      <c r="DCZ192" s="312"/>
      <c r="DDA192" s="326"/>
      <c r="DDB192" s="332"/>
      <c r="DDC192" s="321"/>
      <c r="DDD192" s="321"/>
      <c r="DDE192" s="331"/>
      <c r="DDF192" s="308"/>
      <c r="DDG192" s="301"/>
      <c r="DDH192" s="301"/>
      <c r="DDI192" s="302"/>
      <c r="DDJ192" s="309"/>
      <c r="DDK192" s="329"/>
      <c r="DDL192" s="311"/>
      <c r="DDM192" s="312"/>
      <c r="DDN192" s="326"/>
      <c r="DDO192" s="332"/>
      <c r="DDP192" s="321"/>
      <c r="DDQ192" s="321"/>
      <c r="DDR192" s="331"/>
      <c r="DDS192" s="308"/>
      <c r="DDT192" s="301"/>
      <c r="DDU192" s="301"/>
      <c r="DDV192" s="302"/>
      <c r="DDW192" s="309"/>
      <c r="DDX192" s="329"/>
      <c r="DDY192" s="311"/>
      <c r="DDZ192" s="312"/>
      <c r="DEA192" s="326"/>
      <c r="DEB192" s="332"/>
      <c r="DEC192" s="321"/>
      <c r="DED192" s="321"/>
      <c r="DEE192" s="331"/>
      <c r="DEF192" s="308"/>
      <c r="DEG192" s="301"/>
      <c r="DEH192" s="301"/>
      <c r="DEI192" s="302"/>
      <c r="DEJ192" s="309"/>
      <c r="DEK192" s="329"/>
      <c r="DEL192" s="311"/>
      <c r="DEM192" s="312"/>
      <c r="DEN192" s="326"/>
      <c r="DEO192" s="332"/>
      <c r="DEP192" s="321"/>
      <c r="DEQ192" s="321"/>
      <c r="DER192" s="331"/>
      <c r="DES192" s="308"/>
      <c r="DET192" s="301"/>
      <c r="DEU192" s="301"/>
      <c r="DEV192" s="302"/>
      <c r="DEW192" s="309"/>
      <c r="DEX192" s="329"/>
      <c r="DEY192" s="311"/>
      <c r="DEZ192" s="312"/>
      <c r="DFA192" s="326"/>
      <c r="DFB192" s="332"/>
      <c r="DFC192" s="321"/>
      <c r="DFD192" s="321"/>
      <c r="DFE192" s="331"/>
      <c r="DFF192" s="308"/>
      <c r="DFG192" s="301"/>
      <c r="DFH192" s="301"/>
      <c r="DFI192" s="302"/>
      <c r="DFJ192" s="309"/>
      <c r="DFK192" s="329"/>
      <c r="DFL192" s="311"/>
      <c r="DFM192" s="312"/>
      <c r="DFN192" s="326"/>
      <c r="DFO192" s="332"/>
      <c r="DFP192" s="321"/>
      <c r="DFQ192" s="321"/>
      <c r="DFR192" s="331"/>
      <c r="DFS192" s="308"/>
      <c r="DFT192" s="301"/>
      <c r="DFU192" s="301"/>
      <c r="DFV192" s="302"/>
      <c r="DFW192" s="309"/>
      <c r="DFX192" s="329"/>
      <c r="DFY192" s="311"/>
      <c r="DFZ192" s="312"/>
      <c r="DGA192" s="326"/>
      <c r="DGB192" s="332"/>
      <c r="DGC192" s="321"/>
      <c r="DGD192" s="321"/>
      <c r="DGE192" s="331"/>
      <c r="DGF192" s="308"/>
      <c r="DGG192" s="301"/>
      <c r="DGH192" s="301"/>
      <c r="DGI192" s="302"/>
      <c r="DGJ192" s="309"/>
      <c r="DGK192" s="329"/>
      <c r="DGL192" s="311"/>
      <c r="DGM192" s="312"/>
      <c r="DGN192" s="326"/>
      <c r="DGO192" s="332"/>
      <c r="DGP192" s="321"/>
      <c r="DGQ192" s="321"/>
      <c r="DGR192" s="331"/>
      <c r="DGS192" s="308"/>
      <c r="DGT192" s="301"/>
      <c r="DGU192" s="301"/>
      <c r="DGV192" s="302"/>
      <c r="DGW192" s="309"/>
      <c r="DGX192" s="329"/>
      <c r="DGY192" s="311"/>
      <c r="DGZ192" s="312"/>
      <c r="DHA192" s="326"/>
      <c r="DHB192" s="332"/>
      <c r="DHC192" s="321"/>
      <c r="DHD192" s="321"/>
      <c r="DHE192" s="331"/>
      <c r="DHF192" s="308"/>
      <c r="DHG192" s="301"/>
      <c r="DHH192" s="301"/>
      <c r="DHI192" s="302"/>
      <c r="DHJ192" s="309"/>
      <c r="DHK192" s="329"/>
      <c r="DHL192" s="311"/>
      <c r="DHM192" s="312"/>
      <c r="DHN192" s="326"/>
      <c r="DHO192" s="332"/>
      <c r="DHP192" s="321"/>
      <c r="DHQ192" s="321"/>
      <c r="DHR192" s="331"/>
      <c r="DHS192" s="308"/>
      <c r="DHT192" s="301"/>
      <c r="DHU192" s="301"/>
      <c r="DHV192" s="302"/>
      <c r="DHW192" s="309"/>
      <c r="DHX192" s="329"/>
      <c r="DHY192" s="311"/>
      <c r="DHZ192" s="312"/>
      <c r="DIA192" s="326"/>
      <c r="DIB192" s="332"/>
      <c r="DIC192" s="321"/>
      <c r="DID192" s="321"/>
      <c r="DIE192" s="331"/>
      <c r="DIF192" s="308"/>
      <c r="DIG192" s="301"/>
      <c r="DIH192" s="301"/>
      <c r="DII192" s="302"/>
      <c r="DIJ192" s="309"/>
      <c r="DIK192" s="329"/>
      <c r="DIL192" s="311"/>
      <c r="DIM192" s="312"/>
      <c r="DIN192" s="326"/>
      <c r="DIO192" s="332"/>
      <c r="DIP192" s="321"/>
      <c r="DIQ192" s="321"/>
      <c r="DIR192" s="331"/>
      <c r="DIS192" s="308"/>
      <c r="DIT192" s="301"/>
      <c r="DIU192" s="301"/>
      <c r="DIV192" s="302"/>
      <c r="DIW192" s="309"/>
      <c r="DIX192" s="329"/>
      <c r="DIY192" s="311"/>
      <c r="DIZ192" s="312"/>
      <c r="DJA192" s="326"/>
      <c r="DJB192" s="332"/>
      <c r="DJC192" s="321"/>
      <c r="DJD192" s="321"/>
      <c r="DJE192" s="331"/>
      <c r="DJF192" s="308"/>
      <c r="DJG192" s="301"/>
      <c r="DJH192" s="301"/>
      <c r="DJI192" s="302"/>
      <c r="DJJ192" s="309"/>
      <c r="DJK192" s="329"/>
      <c r="DJL192" s="311"/>
      <c r="DJM192" s="312"/>
      <c r="DJN192" s="326"/>
      <c r="DJO192" s="332"/>
      <c r="DJP192" s="321"/>
      <c r="DJQ192" s="321"/>
      <c r="DJR192" s="331"/>
      <c r="DJS192" s="308"/>
      <c r="DJT192" s="301"/>
      <c r="DJU192" s="301"/>
      <c r="DJV192" s="302"/>
      <c r="DJW192" s="309"/>
      <c r="DJX192" s="329"/>
      <c r="DJY192" s="311"/>
      <c r="DJZ192" s="312"/>
      <c r="DKA192" s="326"/>
      <c r="DKB192" s="332"/>
      <c r="DKC192" s="321"/>
      <c r="DKD192" s="321"/>
      <c r="DKE192" s="331"/>
      <c r="DKF192" s="308"/>
      <c r="DKG192" s="301"/>
      <c r="DKH192" s="301"/>
      <c r="DKI192" s="302"/>
      <c r="DKJ192" s="309"/>
      <c r="DKK192" s="329"/>
      <c r="DKL192" s="311"/>
      <c r="DKM192" s="312"/>
      <c r="DKN192" s="326"/>
      <c r="DKO192" s="332"/>
      <c r="DKP192" s="321"/>
      <c r="DKQ192" s="321"/>
      <c r="DKR192" s="331"/>
      <c r="DKS192" s="308"/>
      <c r="DKT192" s="301"/>
      <c r="DKU192" s="301"/>
      <c r="DKV192" s="302"/>
      <c r="DKW192" s="309"/>
      <c r="DKX192" s="329"/>
      <c r="DKY192" s="311"/>
      <c r="DKZ192" s="312"/>
      <c r="DLA192" s="326"/>
      <c r="DLB192" s="332"/>
      <c r="DLC192" s="321"/>
      <c r="DLD192" s="321"/>
      <c r="DLE192" s="331"/>
      <c r="DLF192" s="308"/>
      <c r="DLG192" s="301"/>
      <c r="DLH192" s="301"/>
      <c r="DLI192" s="302"/>
      <c r="DLJ192" s="309"/>
      <c r="DLK192" s="329"/>
      <c r="DLL192" s="311"/>
      <c r="DLM192" s="312"/>
      <c r="DLN192" s="326"/>
      <c r="DLO192" s="332"/>
      <c r="DLP192" s="321"/>
      <c r="DLQ192" s="321"/>
      <c r="DLR192" s="331"/>
      <c r="DLS192" s="308"/>
      <c r="DLT192" s="301"/>
      <c r="DLU192" s="301"/>
      <c r="DLV192" s="302"/>
      <c r="DLW192" s="309"/>
      <c r="DLX192" s="329"/>
      <c r="DLY192" s="311"/>
      <c r="DLZ192" s="312"/>
      <c r="DMA192" s="326"/>
      <c r="DMB192" s="332"/>
      <c r="DMC192" s="321"/>
      <c r="DMD192" s="321"/>
      <c r="DME192" s="331"/>
      <c r="DMF192" s="308"/>
      <c r="DMG192" s="301"/>
      <c r="DMH192" s="301"/>
      <c r="DMI192" s="302"/>
      <c r="DMJ192" s="309"/>
      <c r="DMK192" s="329"/>
      <c r="DML192" s="311"/>
      <c r="DMM192" s="312"/>
      <c r="DMN192" s="326"/>
      <c r="DMO192" s="332"/>
      <c r="DMP192" s="321"/>
      <c r="DMQ192" s="321"/>
      <c r="DMR192" s="331"/>
      <c r="DMS192" s="308"/>
      <c r="DMT192" s="301"/>
      <c r="DMU192" s="301"/>
      <c r="DMV192" s="302"/>
      <c r="DMW192" s="309"/>
      <c r="DMX192" s="329"/>
      <c r="DMY192" s="311"/>
      <c r="DMZ192" s="312"/>
      <c r="DNA192" s="326"/>
      <c r="DNB192" s="332"/>
      <c r="DNC192" s="321"/>
      <c r="DND192" s="321"/>
      <c r="DNE192" s="331"/>
      <c r="DNF192" s="308"/>
      <c r="DNG192" s="301"/>
      <c r="DNH192" s="301"/>
      <c r="DNI192" s="302"/>
      <c r="DNJ192" s="309"/>
      <c r="DNK192" s="329"/>
      <c r="DNL192" s="311"/>
      <c r="DNM192" s="312"/>
      <c r="DNN192" s="326"/>
      <c r="DNO192" s="332"/>
      <c r="DNP192" s="321"/>
      <c r="DNQ192" s="321"/>
      <c r="DNR192" s="331"/>
      <c r="DNS192" s="308"/>
      <c r="DNT192" s="301"/>
      <c r="DNU192" s="301"/>
      <c r="DNV192" s="302"/>
      <c r="DNW192" s="309"/>
      <c r="DNX192" s="329"/>
      <c r="DNY192" s="311"/>
      <c r="DNZ192" s="312"/>
      <c r="DOA192" s="326"/>
      <c r="DOB192" s="332"/>
      <c r="DOC192" s="321"/>
      <c r="DOD192" s="321"/>
      <c r="DOE192" s="331"/>
      <c r="DOF192" s="308"/>
      <c r="DOG192" s="301"/>
      <c r="DOH192" s="301"/>
      <c r="DOI192" s="302"/>
      <c r="DOJ192" s="309"/>
      <c r="DOK192" s="329"/>
      <c r="DOL192" s="311"/>
      <c r="DOM192" s="312"/>
      <c r="DON192" s="326"/>
      <c r="DOO192" s="332"/>
      <c r="DOP192" s="321"/>
      <c r="DOQ192" s="321"/>
      <c r="DOR192" s="331"/>
      <c r="DOS192" s="308"/>
      <c r="DOT192" s="301"/>
      <c r="DOU192" s="301"/>
      <c r="DOV192" s="302"/>
      <c r="DOW192" s="309"/>
      <c r="DOX192" s="329"/>
      <c r="DOY192" s="311"/>
      <c r="DOZ192" s="312"/>
      <c r="DPA192" s="326"/>
      <c r="DPB192" s="332"/>
      <c r="DPC192" s="321"/>
      <c r="DPD192" s="321"/>
      <c r="DPE192" s="331"/>
      <c r="DPF192" s="308"/>
      <c r="DPG192" s="301"/>
      <c r="DPH192" s="301"/>
      <c r="DPI192" s="302"/>
      <c r="DPJ192" s="309"/>
      <c r="DPK192" s="329"/>
      <c r="DPL192" s="311"/>
      <c r="DPM192" s="312"/>
      <c r="DPN192" s="326"/>
      <c r="DPO192" s="332"/>
      <c r="DPP192" s="321"/>
      <c r="DPQ192" s="321"/>
      <c r="DPR192" s="331"/>
      <c r="DPS192" s="308"/>
      <c r="DPT192" s="301"/>
      <c r="DPU192" s="301"/>
      <c r="DPV192" s="302"/>
      <c r="DPW192" s="309"/>
      <c r="DPX192" s="329"/>
      <c r="DPY192" s="311"/>
      <c r="DPZ192" s="312"/>
      <c r="DQA192" s="326"/>
      <c r="DQB192" s="332"/>
      <c r="DQC192" s="321"/>
      <c r="DQD192" s="321"/>
      <c r="DQE192" s="331"/>
      <c r="DQF192" s="308"/>
      <c r="DQG192" s="301"/>
      <c r="DQH192" s="301"/>
      <c r="DQI192" s="302"/>
      <c r="DQJ192" s="309"/>
      <c r="DQK192" s="329"/>
      <c r="DQL192" s="311"/>
      <c r="DQM192" s="312"/>
      <c r="DQN192" s="326"/>
      <c r="DQO192" s="332"/>
      <c r="DQP192" s="321"/>
      <c r="DQQ192" s="321"/>
      <c r="DQR192" s="331"/>
      <c r="DQS192" s="308"/>
      <c r="DQT192" s="301"/>
      <c r="DQU192" s="301"/>
      <c r="DQV192" s="302"/>
      <c r="DQW192" s="309"/>
      <c r="DQX192" s="329"/>
      <c r="DQY192" s="311"/>
      <c r="DQZ192" s="312"/>
      <c r="DRA192" s="326"/>
      <c r="DRB192" s="332"/>
      <c r="DRC192" s="321"/>
      <c r="DRD192" s="321"/>
      <c r="DRE192" s="331"/>
      <c r="DRF192" s="308"/>
      <c r="DRG192" s="301"/>
      <c r="DRH192" s="301"/>
      <c r="DRI192" s="302"/>
      <c r="DRJ192" s="309"/>
      <c r="DRK192" s="329"/>
      <c r="DRL192" s="311"/>
      <c r="DRM192" s="312"/>
      <c r="DRN192" s="326"/>
      <c r="DRO192" s="332"/>
      <c r="DRP192" s="321"/>
      <c r="DRQ192" s="321"/>
      <c r="DRR192" s="331"/>
      <c r="DRS192" s="308"/>
      <c r="DRT192" s="301"/>
      <c r="DRU192" s="301"/>
      <c r="DRV192" s="302"/>
      <c r="DRW192" s="309"/>
      <c r="DRX192" s="329"/>
      <c r="DRY192" s="311"/>
      <c r="DRZ192" s="312"/>
      <c r="DSA192" s="326"/>
      <c r="DSB192" s="332"/>
      <c r="DSC192" s="321"/>
      <c r="DSD192" s="321"/>
      <c r="DSE192" s="331"/>
      <c r="DSF192" s="308"/>
      <c r="DSG192" s="301"/>
      <c r="DSH192" s="301"/>
      <c r="DSI192" s="302"/>
      <c r="DSJ192" s="309"/>
      <c r="DSK192" s="329"/>
      <c r="DSL192" s="311"/>
      <c r="DSM192" s="312"/>
      <c r="DSN192" s="326"/>
      <c r="DSO192" s="332"/>
      <c r="DSP192" s="321"/>
      <c r="DSQ192" s="321"/>
      <c r="DSR192" s="331"/>
      <c r="DSS192" s="308"/>
      <c r="DST192" s="301"/>
      <c r="DSU192" s="301"/>
      <c r="DSV192" s="302"/>
      <c r="DSW192" s="309"/>
      <c r="DSX192" s="329"/>
      <c r="DSY192" s="311"/>
      <c r="DSZ192" s="312"/>
      <c r="DTA192" s="326"/>
      <c r="DTB192" s="332"/>
      <c r="DTC192" s="321"/>
      <c r="DTD192" s="321"/>
      <c r="DTE192" s="331"/>
      <c r="DTF192" s="308"/>
      <c r="DTG192" s="301"/>
      <c r="DTH192" s="301"/>
      <c r="DTI192" s="302"/>
      <c r="DTJ192" s="309"/>
      <c r="DTK192" s="329"/>
      <c r="DTL192" s="311"/>
      <c r="DTM192" s="312"/>
      <c r="DTN192" s="326"/>
      <c r="DTO192" s="332"/>
      <c r="DTP192" s="321"/>
      <c r="DTQ192" s="321"/>
      <c r="DTR192" s="331"/>
      <c r="DTS192" s="308"/>
      <c r="DTT192" s="301"/>
      <c r="DTU192" s="301"/>
      <c r="DTV192" s="302"/>
      <c r="DTW192" s="309"/>
      <c r="DTX192" s="329"/>
      <c r="DTY192" s="311"/>
      <c r="DTZ192" s="312"/>
      <c r="DUA192" s="326"/>
      <c r="DUB192" s="332"/>
      <c r="DUC192" s="321"/>
      <c r="DUD192" s="321"/>
      <c r="DUE192" s="331"/>
      <c r="DUF192" s="308"/>
      <c r="DUG192" s="301"/>
      <c r="DUH192" s="301"/>
      <c r="DUI192" s="302"/>
      <c r="DUJ192" s="309"/>
      <c r="DUK192" s="329"/>
      <c r="DUL192" s="311"/>
      <c r="DUM192" s="312"/>
      <c r="DUN192" s="326"/>
      <c r="DUO192" s="332"/>
      <c r="DUP192" s="321"/>
      <c r="DUQ192" s="321"/>
      <c r="DUR192" s="331"/>
      <c r="DUS192" s="308"/>
      <c r="DUT192" s="301"/>
      <c r="DUU192" s="301"/>
      <c r="DUV192" s="302"/>
      <c r="DUW192" s="309"/>
      <c r="DUX192" s="329"/>
      <c r="DUY192" s="311"/>
      <c r="DUZ192" s="312"/>
      <c r="DVA192" s="326"/>
      <c r="DVB192" s="332"/>
      <c r="DVC192" s="321"/>
      <c r="DVD192" s="321"/>
      <c r="DVE192" s="331"/>
      <c r="DVF192" s="308"/>
      <c r="DVG192" s="301"/>
      <c r="DVH192" s="301"/>
      <c r="DVI192" s="302"/>
      <c r="DVJ192" s="309"/>
      <c r="DVK192" s="329"/>
      <c r="DVL192" s="311"/>
      <c r="DVM192" s="312"/>
      <c r="DVN192" s="326"/>
      <c r="DVO192" s="332"/>
      <c r="DVP192" s="321"/>
      <c r="DVQ192" s="321"/>
      <c r="DVR192" s="331"/>
      <c r="DVS192" s="308"/>
      <c r="DVT192" s="301"/>
      <c r="DVU192" s="301"/>
      <c r="DVV192" s="302"/>
      <c r="DVW192" s="309"/>
      <c r="DVX192" s="329"/>
      <c r="DVY192" s="311"/>
      <c r="DVZ192" s="312"/>
      <c r="DWA192" s="326"/>
      <c r="DWB192" s="332"/>
      <c r="DWC192" s="321"/>
      <c r="DWD192" s="321"/>
      <c r="DWE192" s="331"/>
      <c r="DWF192" s="308"/>
      <c r="DWG192" s="301"/>
      <c r="DWH192" s="301"/>
      <c r="DWI192" s="302"/>
      <c r="DWJ192" s="309"/>
      <c r="DWK192" s="329"/>
      <c r="DWL192" s="311"/>
      <c r="DWM192" s="312"/>
      <c r="DWN192" s="326"/>
      <c r="DWO192" s="332"/>
      <c r="DWP192" s="321"/>
      <c r="DWQ192" s="321"/>
      <c r="DWR192" s="331"/>
      <c r="DWS192" s="308"/>
      <c r="DWT192" s="301"/>
      <c r="DWU192" s="301"/>
      <c r="DWV192" s="302"/>
      <c r="DWW192" s="309"/>
      <c r="DWX192" s="329"/>
      <c r="DWY192" s="311"/>
      <c r="DWZ192" s="312"/>
      <c r="DXA192" s="326"/>
      <c r="DXB192" s="332"/>
      <c r="DXC192" s="321"/>
      <c r="DXD192" s="321"/>
      <c r="DXE192" s="331"/>
      <c r="DXF192" s="308"/>
      <c r="DXG192" s="301"/>
      <c r="DXH192" s="301"/>
      <c r="DXI192" s="302"/>
      <c r="DXJ192" s="309"/>
      <c r="DXK192" s="329"/>
      <c r="DXL192" s="311"/>
      <c r="DXM192" s="312"/>
      <c r="DXN192" s="326"/>
      <c r="DXO192" s="332"/>
      <c r="DXP192" s="321"/>
      <c r="DXQ192" s="321"/>
      <c r="DXR192" s="331"/>
      <c r="DXS192" s="308"/>
      <c r="DXT192" s="301"/>
      <c r="DXU192" s="301"/>
      <c r="DXV192" s="302"/>
      <c r="DXW192" s="309"/>
      <c r="DXX192" s="329"/>
      <c r="DXY192" s="311"/>
      <c r="DXZ192" s="312"/>
      <c r="DYA192" s="326"/>
      <c r="DYB192" s="332"/>
      <c r="DYC192" s="321"/>
      <c r="DYD192" s="321"/>
      <c r="DYE192" s="331"/>
      <c r="DYF192" s="308"/>
      <c r="DYG192" s="301"/>
      <c r="DYH192" s="301"/>
      <c r="DYI192" s="302"/>
      <c r="DYJ192" s="309"/>
      <c r="DYK192" s="329"/>
      <c r="DYL192" s="311"/>
      <c r="DYM192" s="312"/>
      <c r="DYN192" s="326"/>
      <c r="DYO192" s="332"/>
      <c r="DYP192" s="321"/>
      <c r="DYQ192" s="321"/>
      <c r="DYR192" s="331"/>
      <c r="DYS192" s="308"/>
      <c r="DYT192" s="301"/>
      <c r="DYU192" s="301"/>
      <c r="DYV192" s="302"/>
      <c r="DYW192" s="309"/>
      <c r="DYX192" s="329"/>
      <c r="DYY192" s="311"/>
      <c r="DYZ192" s="312"/>
      <c r="DZA192" s="326"/>
      <c r="DZB192" s="332"/>
      <c r="DZC192" s="321"/>
      <c r="DZD192" s="321"/>
      <c r="DZE192" s="331"/>
      <c r="DZF192" s="308"/>
      <c r="DZG192" s="301"/>
      <c r="DZH192" s="301"/>
      <c r="DZI192" s="302"/>
      <c r="DZJ192" s="309"/>
      <c r="DZK192" s="329"/>
      <c r="DZL192" s="311"/>
      <c r="DZM192" s="312"/>
      <c r="DZN192" s="326"/>
      <c r="DZO192" s="332"/>
      <c r="DZP192" s="321"/>
      <c r="DZQ192" s="321"/>
      <c r="DZR192" s="331"/>
      <c r="DZS192" s="308"/>
      <c r="DZT192" s="301"/>
      <c r="DZU192" s="301"/>
      <c r="DZV192" s="302"/>
      <c r="DZW192" s="309"/>
      <c r="DZX192" s="329"/>
      <c r="DZY192" s="311"/>
      <c r="DZZ192" s="312"/>
      <c r="EAA192" s="326"/>
      <c r="EAB192" s="332"/>
      <c r="EAC192" s="321"/>
      <c r="EAD192" s="321"/>
      <c r="EAE192" s="331"/>
      <c r="EAF192" s="308"/>
      <c r="EAG192" s="301"/>
      <c r="EAH192" s="301"/>
      <c r="EAI192" s="302"/>
      <c r="EAJ192" s="309"/>
      <c r="EAK192" s="329"/>
      <c r="EAL192" s="311"/>
      <c r="EAM192" s="312"/>
      <c r="EAN192" s="326"/>
      <c r="EAO192" s="332"/>
      <c r="EAP192" s="321"/>
      <c r="EAQ192" s="321"/>
      <c r="EAR192" s="331"/>
      <c r="EAS192" s="308"/>
      <c r="EAT192" s="301"/>
      <c r="EAU192" s="301"/>
      <c r="EAV192" s="302"/>
      <c r="EAW192" s="309"/>
      <c r="EAX192" s="329"/>
      <c r="EAY192" s="311"/>
      <c r="EAZ192" s="312"/>
      <c r="EBA192" s="326"/>
      <c r="EBB192" s="332"/>
      <c r="EBC192" s="321"/>
      <c r="EBD192" s="321"/>
      <c r="EBE192" s="331"/>
      <c r="EBF192" s="308"/>
      <c r="EBG192" s="301"/>
      <c r="EBH192" s="301"/>
      <c r="EBI192" s="302"/>
      <c r="EBJ192" s="309"/>
      <c r="EBK192" s="329"/>
      <c r="EBL192" s="311"/>
      <c r="EBM192" s="312"/>
      <c r="EBN192" s="326"/>
      <c r="EBO192" s="332"/>
      <c r="EBP192" s="321"/>
      <c r="EBQ192" s="321"/>
      <c r="EBR192" s="331"/>
      <c r="EBS192" s="308"/>
      <c r="EBT192" s="301"/>
      <c r="EBU192" s="301"/>
      <c r="EBV192" s="302"/>
      <c r="EBW192" s="309"/>
      <c r="EBX192" s="329"/>
      <c r="EBY192" s="311"/>
      <c r="EBZ192" s="312"/>
      <c r="ECA192" s="326"/>
      <c r="ECB192" s="332"/>
      <c r="ECC192" s="321"/>
      <c r="ECD192" s="321"/>
      <c r="ECE192" s="331"/>
      <c r="ECF192" s="308"/>
      <c r="ECG192" s="301"/>
      <c r="ECH192" s="301"/>
      <c r="ECI192" s="302"/>
      <c r="ECJ192" s="309"/>
      <c r="ECK192" s="329"/>
      <c r="ECL192" s="311"/>
      <c r="ECM192" s="312"/>
      <c r="ECN192" s="326"/>
      <c r="ECO192" s="332"/>
      <c r="ECP192" s="321"/>
      <c r="ECQ192" s="321"/>
      <c r="ECR192" s="331"/>
      <c r="ECS192" s="308"/>
      <c r="ECT192" s="301"/>
      <c r="ECU192" s="301"/>
      <c r="ECV192" s="302"/>
      <c r="ECW192" s="309"/>
      <c r="ECX192" s="329"/>
      <c r="ECY192" s="311"/>
      <c r="ECZ192" s="312"/>
      <c r="EDA192" s="326"/>
      <c r="EDB192" s="332"/>
      <c r="EDC192" s="321"/>
      <c r="EDD192" s="321"/>
      <c r="EDE192" s="331"/>
      <c r="EDF192" s="308"/>
      <c r="EDG192" s="301"/>
      <c r="EDH192" s="301"/>
      <c r="EDI192" s="302"/>
      <c r="EDJ192" s="309"/>
      <c r="EDK192" s="329"/>
      <c r="EDL192" s="311"/>
      <c r="EDM192" s="312"/>
      <c r="EDN192" s="326"/>
      <c r="EDO192" s="332"/>
      <c r="EDP192" s="321"/>
      <c r="EDQ192" s="321"/>
      <c r="EDR192" s="331"/>
      <c r="EDS192" s="308"/>
      <c r="EDT192" s="301"/>
      <c r="EDU192" s="301"/>
      <c r="EDV192" s="302"/>
      <c r="EDW192" s="309"/>
      <c r="EDX192" s="329"/>
      <c r="EDY192" s="311"/>
      <c r="EDZ192" s="312"/>
      <c r="EEA192" s="326"/>
      <c r="EEB192" s="332"/>
      <c r="EEC192" s="321"/>
      <c r="EED192" s="321"/>
      <c r="EEE192" s="331"/>
      <c r="EEF192" s="308"/>
      <c r="EEG192" s="301"/>
      <c r="EEH192" s="301"/>
      <c r="EEI192" s="302"/>
      <c r="EEJ192" s="309"/>
      <c r="EEK192" s="329"/>
      <c r="EEL192" s="311"/>
      <c r="EEM192" s="312"/>
      <c r="EEN192" s="326"/>
      <c r="EEO192" s="332"/>
      <c r="EEP192" s="321"/>
      <c r="EEQ192" s="321"/>
      <c r="EER192" s="331"/>
      <c r="EES192" s="308"/>
      <c r="EET192" s="301"/>
      <c r="EEU192" s="301"/>
      <c r="EEV192" s="302"/>
      <c r="EEW192" s="309"/>
      <c r="EEX192" s="329"/>
      <c r="EEY192" s="311"/>
      <c r="EEZ192" s="312"/>
      <c r="EFA192" s="326"/>
      <c r="EFB192" s="332"/>
      <c r="EFC192" s="321"/>
      <c r="EFD192" s="321"/>
      <c r="EFE192" s="331"/>
      <c r="EFF192" s="308"/>
      <c r="EFG192" s="301"/>
      <c r="EFH192" s="301"/>
      <c r="EFI192" s="302"/>
      <c r="EFJ192" s="309"/>
      <c r="EFK192" s="329"/>
      <c r="EFL192" s="311"/>
      <c r="EFM192" s="312"/>
      <c r="EFN192" s="326"/>
      <c r="EFO192" s="332"/>
      <c r="EFP192" s="321"/>
      <c r="EFQ192" s="321"/>
      <c r="EFR192" s="331"/>
      <c r="EFS192" s="308"/>
      <c r="EFT192" s="301"/>
      <c r="EFU192" s="301"/>
      <c r="EFV192" s="302"/>
      <c r="EFW192" s="309"/>
      <c r="EFX192" s="329"/>
      <c r="EFY192" s="311"/>
      <c r="EFZ192" s="312"/>
      <c r="EGA192" s="326"/>
      <c r="EGB192" s="332"/>
      <c r="EGC192" s="321"/>
      <c r="EGD192" s="321"/>
      <c r="EGE192" s="331"/>
      <c r="EGF192" s="308"/>
      <c r="EGG192" s="301"/>
      <c r="EGH192" s="301"/>
      <c r="EGI192" s="302"/>
      <c r="EGJ192" s="309"/>
      <c r="EGK192" s="329"/>
      <c r="EGL192" s="311"/>
      <c r="EGM192" s="312"/>
      <c r="EGN192" s="326"/>
      <c r="EGO192" s="332"/>
      <c r="EGP192" s="321"/>
      <c r="EGQ192" s="321"/>
      <c r="EGR192" s="331"/>
      <c r="EGS192" s="308"/>
      <c r="EGT192" s="301"/>
      <c r="EGU192" s="301"/>
      <c r="EGV192" s="302"/>
      <c r="EGW192" s="309"/>
      <c r="EGX192" s="329"/>
      <c r="EGY192" s="311"/>
      <c r="EGZ192" s="312"/>
      <c r="EHA192" s="326"/>
      <c r="EHB192" s="332"/>
      <c r="EHC192" s="321"/>
      <c r="EHD192" s="321"/>
      <c r="EHE192" s="331"/>
      <c r="EHF192" s="308"/>
      <c r="EHG192" s="301"/>
      <c r="EHH192" s="301"/>
      <c r="EHI192" s="302"/>
      <c r="EHJ192" s="309"/>
      <c r="EHK192" s="329"/>
      <c r="EHL192" s="311"/>
      <c r="EHM192" s="312"/>
      <c r="EHN192" s="326"/>
      <c r="EHO192" s="332"/>
      <c r="EHP192" s="321"/>
      <c r="EHQ192" s="321"/>
      <c r="EHR192" s="331"/>
      <c r="EHS192" s="308"/>
      <c r="EHT192" s="301"/>
      <c r="EHU192" s="301"/>
      <c r="EHV192" s="302"/>
      <c r="EHW192" s="309"/>
      <c r="EHX192" s="329"/>
      <c r="EHY192" s="311"/>
      <c r="EHZ192" s="312"/>
      <c r="EIA192" s="326"/>
      <c r="EIB192" s="332"/>
      <c r="EIC192" s="321"/>
      <c r="EID192" s="321"/>
      <c r="EIE192" s="331"/>
      <c r="EIF192" s="308"/>
      <c r="EIG192" s="301"/>
      <c r="EIH192" s="301"/>
      <c r="EII192" s="302"/>
      <c r="EIJ192" s="309"/>
      <c r="EIK192" s="329"/>
      <c r="EIL192" s="311"/>
      <c r="EIM192" s="312"/>
      <c r="EIN192" s="326"/>
      <c r="EIO192" s="332"/>
      <c r="EIP192" s="321"/>
      <c r="EIQ192" s="321"/>
      <c r="EIR192" s="331"/>
      <c r="EIS192" s="308"/>
      <c r="EIT192" s="301"/>
      <c r="EIU192" s="301"/>
      <c r="EIV192" s="302"/>
      <c r="EIW192" s="309"/>
      <c r="EIX192" s="329"/>
      <c r="EIY192" s="311"/>
      <c r="EIZ192" s="312"/>
      <c r="EJA192" s="326"/>
      <c r="EJB192" s="332"/>
      <c r="EJC192" s="321"/>
      <c r="EJD192" s="321"/>
      <c r="EJE192" s="331"/>
      <c r="EJF192" s="308"/>
      <c r="EJG192" s="301"/>
      <c r="EJH192" s="301"/>
      <c r="EJI192" s="302"/>
      <c r="EJJ192" s="309"/>
      <c r="EJK192" s="329"/>
      <c r="EJL192" s="311"/>
      <c r="EJM192" s="312"/>
      <c r="EJN192" s="326"/>
      <c r="EJO192" s="332"/>
      <c r="EJP192" s="321"/>
      <c r="EJQ192" s="321"/>
      <c r="EJR192" s="331"/>
      <c r="EJS192" s="308"/>
      <c r="EJT192" s="301"/>
      <c r="EJU192" s="301"/>
      <c r="EJV192" s="302"/>
      <c r="EJW192" s="309"/>
      <c r="EJX192" s="329"/>
      <c r="EJY192" s="311"/>
      <c r="EJZ192" s="312"/>
      <c r="EKA192" s="326"/>
      <c r="EKB192" s="332"/>
      <c r="EKC192" s="321"/>
      <c r="EKD192" s="321"/>
      <c r="EKE192" s="331"/>
      <c r="EKF192" s="308"/>
      <c r="EKG192" s="301"/>
      <c r="EKH192" s="301"/>
      <c r="EKI192" s="302"/>
      <c r="EKJ192" s="309"/>
      <c r="EKK192" s="329"/>
      <c r="EKL192" s="311"/>
      <c r="EKM192" s="312"/>
      <c r="EKN192" s="326"/>
      <c r="EKO192" s="332"/>
      <c r="EKP192" s="321"/>
      <c r="EKQ192" s="321"/>
      <c r="EKR192" s="331"/>
      <c r="EKS192" s="308"/>
      <c r="EKT192" s="301"/>
      <c r="EKU192" s="301"/>
      <c r="EKV192" s="302"/>
      <c r="EKW192" s="309"/>
      <c r="EKX192" s="329"/>
      <c r="EKY192" s="311"/>
      <c r="EKZ192" s="312"/>
      <c r="ELA192" s="326"/>
      <c r="ELB192" s="332"/>
      <c r="ELC192" s="321"/>
      <c r="ELD192" s="321"/>
      <c r="ELE192" s="331"/>
      <c r="ELF192" s="308"/>
      <c r="ELG192" s="301"/>
      <c r="ELH192" s="301"/>
      <c r="ELI192" s="302"/>
      <c r="ELJ192" s="309"/>
      <c r="ELK192" s="329"/>
      <c r="ELL192" s="311"/>
      <c r="ELM192" s="312"/>
      <c r="ELN192" s="326"/>
      <c r="ELO192" s="332"/>
      <c r="ELP192" s="321"/>
      <c r="ELQ192" s="321"/>
      <c r="ELR192" s="331"/>
      <c r="ELS192" s="308"/>
      <c r="ELT192" s="301"/>
      <c r="ELU192" s="301"/>
      <c r="ELV192" s="302"/>
      <c r="ELW192" s="309"/>
      <c r="ELX192" s="329"/>
      <c r="ELY192" s="311"/>
      <c r="ELZ192" s="312"/>
      <c r="EMA192" s="326"/>
      <c r="EMB192" s="332"/>
      <c r="EMC192" s="321"/>
      <c r="EMD192" s="321"/>
      <c r="EME192" s="331"/>
      <c r="EMF192" s="308"/>
      <c r="EMG192" s="301"/>
      <c r="EMH192" s="301"/>
      <c r="EMI192" s="302"/>
      <c r="EMJ192" s="309"/>
      <c r="EMK192" s="329"/>
      <c r="EML192" s="311"/>
      <c r="EMM192" s="312"/>
      <c r="EMN192" s="326"/>
      <c r="EMO192" s="332"/>
      <c r="EMP192" s="321"/>
      <c r="EMQ192" s="321"/>
      <c r="EMR192" s="331"/>
      <c r="EMS192" s="308"/>
      <c r="EMT192" s="301"/>
      <c r="EMU192" s="301"/>
      <c r="EMV192" s="302"/>
      <c r="EMW192" s="309"/>
      <c r="EMX192" s="329"/>
      <c r="EMY192" s="311"/>
      <c r="EMZ192" s="312"/>
      <c r="ENA192" s="326"/>
      <c r="ENB192" s="332"/>
      <c r="ENC192" s="321"/>
      <c r="END192" s="321"/>
      <c r="ENE192" s="331"/>
      <c r="ENF192" s="308"/>
      <c r="ENG192" s="301"/>
      <c r="ENH192" s="301"/>
      <c r="ENI192" s="302"/>
      <c r="ENJ192" s="309"/>
      <c r="ENK192" s="329"/>
      <c r="ENL192" s="311"/>
      <c r="ENM192" s="312"/>
      <c r="ENN192" s="326"/>
      <c r="ENO192" s="332"/>
      <c r="ENP192" s="321"/>
      <c r="ENQ192" s="321"/>
      <c r="ENR192" s="331"/>
      <c r="ENS192" s="308"/>
      <c r="ENT192" s="301"/>
      <c r="ENU192" s="301"/>
      <c r="ENV192" s="302"/>
      <c r="ENW192" s="309"/>
      <c r="ENX192" s="329"/>
      <c r="ENY192" s="311"/>
      <c r="ENZ192" s="312"/>
      <c r="EOA192" s="326"/>
      <c r="EOB192" s="332"/>
      <c r="EOC192" s="321"/>
      <c r="EOD192" s="321"/>
      <c r="EOE192" s="331"/>
      <c r="EOF192" s="308"/>
      <c r="EOG192" s="301"/>
      <c r="EOH192" s="301"/>
      <c r="EOI192" s="302"/>
      <c r="EOJ192" s="309"/>
      <c r="EOK192" s="329"/>
      <c r="EOL192" s="311"/>
      <c r="EOM192" s="312"/>
      <c r="EON192" s="326"/>
      <c r="EOO192" s="332"/>
      <c r="EOP192" s="321"/>
      <c r="EOQ192" s="321"/>
      <c r="EOR192" s="331"/>
      <c r="EOS192" s="308"/>
      <c r="EOT192" s="301"/>
      <c r="EOU192" s="301"/>
      <c r="EOV192" s="302"/>
      <c r="EOW192" s="309"/>
      <c r="EOX192" s="329"/>
      <c r="EOY192" s="311"/>
      <c r="EOZ192" s="312"/>
      <c r="EPA192" s="326"/>
      <c r="EPB192" s="332"/>
      <c r="EPC192" s="321"/>
      <c r="EPD192" s="321"/>
      <c r="EPE192" s="331"/>
      <c r="EPF192" s="308"/>
      <c r="EPG192" s="301"/>
      <c r="EPH192" s="301"/>
      <c r="EPI192" s="302"/>
      <c r="EPJ192" s="309"/>
      <c r="EPK192" s="329"/>
      <c r="EPL192" s="311"/>
      <c r="EPM192" s="312"/>
      <c r="EPN192" s="326"/>
      <c r="EPO192" s="332"/>
      <c r="EPP192" s="321"/>
      <c r="EPQ192" s="321"/>
      <c r="EPR192" s="331"/>
      <c r="EPS192" s="308"/>
      <c r="EPT192" s="301"/>
      <c r="EPU192" s="301"/>
      <c r="EPV192" s="302"/>
      <c r="EPW192" s="309"/>
      <c r="EPX192" s="329"/>
      <c r="EPY192" s="311"/>
      <c r="EPZ192" s="312"/>
      <c r="EQA192" s="326"/>
      <c r="EQB192" s="332"/>
      <c r="EQC192" s="321"/>
      <c r="EQD192" s="321"/>
      <c r="EQE192" s="331"/>
      <c r="EQF192" s="308"/>
      <c r="EQG192" s="301"/>
      <c r="EQH192" s="301"/>
      <c r="EQI192" s="302"/>
      <c r="EQJ192" s="309"/>
      <c r="EQK192" s="329"/>
      <c r="EQL192" s="311"/>
      <c r="EQM192" s="312"/>
      <c r="EQN192" s="326"/>
      <c r="EQO192" s="332"/>
      <c r="EQP192" s="321"/>
      <c r="EQQ192" s="321"/>
      <c r="EQR192" s="331"/>
      <c r="EQS192" s="308"/>
      <c r="EQT192" s="301"/>
      <c r="EQU192" s="301"/>
      <c r="EQV192" s="302"/>
      <c r="EQW192" s="309"/>
      <c r="EQX192" s="329"/>
      <c r="EQY192" s="311"/>
      <c r="EQZ192" s="312"/>
      <c r="ERA192" s="326"/>
      <c r="ERB192" s="332"/>
      <c r="ERC192" s="321"/>
      <c r="ERD192" s="321"/>
      <c r="ERE192" s="331"/>
      <c r="ERF192" s="308"/>
      <c r="ERG192" s="301"/>
      <c r="ERH192" s="301"/>
      <c r="ERI192" s="302"/>
      <c r="ERJ192" s="309"/>
      <c r="ERK192" s="329"/>
      <c r="ERL192" s="311"/>
      <c r="ERM192" s="312"/>
      <c r="ERN192" s="326"/>
      <c r="ERO192" s="332"/>
      <c r="ERP192" s="321"/>
      <c r="ERQ192" s="321"/>
      <c r="ERR192" s="331"/>
      <c r="ERS192" s="308"/>
      <c r="ERT192" s="301"/>
      <c r="ERU192" s="301"/>
      <c r="ERV192" s="302"/>
      <c r="ERW192" s="309"/>
      <c r="ERX192" s="329"/>
      <c r="ERY192" s="311"/>
      <c r="ERZ192" s="312"/>
      <c r="ESA192" s="326"/>
      <c r="ESB192" s="332"/>
      <c r="ESC192" s="321"/>
      <c r="ESD192" s="321"/>
      <c r="ESE192" s="331"/>
      <c r="ESF192" s="308"/>
      <c r="ESG192" s="301"/>
      <c r="ESH192" s="301"/>
      <c r="ESI192" s="302"/>
      <c r="ESJ192" s="309"/>
      <c r="ESK192" s="329"/>
      <c r="ESL192" s="311"/>
      <c r="ESM192" s="312"/>
      <c r="ESN192" s="326"/>
      <c r="ESO192" s="332"/>
      <c r="ESP192" s="321"/>
      <c r="ESQ192" s="321"/>
      <c r="ESR192" s="331"/>
      <c r="ESS192" s="308"/>
      <c r="EST192" s="301"/>
      <c r="ESU192" s="301"/>
      <c r="ESV192" s="302"/>
      <c r="ESW192" s="309"/>
      <c r="ESX192" s="329"/>
      <c r="ESY192" s="311"/>
      <c r="ESZ192" s="312"/>
      <c r="ETA192" s="326"/>
      <c r="ETB192" s="332"/>
      <c r="ETC192" s="321"/>
      <c r="ETD192" s="321"/>
      <c r="ETE192" s="331"/>
      <c r="ETF192" s="308"/>
      <c r="ETG192" s="301"/>
      <c r="ETH192" s="301"/>
      <c r="ETI192" s="302"/>
      <c r="ETJ192" s="309"/>
      <c r="ETK192" s="329"/>
      <c r="ETL192" s="311"/>
      <c r="ETM192" s="312"/>
      <c r="ETN192" s="326"/>
      <c r="ETO192" s="332"/>
      <c r="ETP192" s="321"/>
      <c r="ETQ192" s="321"/>
      <c r="ETR192" s="331"/>
      <c r="ETS192" s="308"/>
      <c r="ETT192" s="301"/>
      <c r="ETU192" s="301"/>
      <c r="ETV192" s="302"/>
      <c r="ETW192" s="309"/>
      <c r="ETX192" s="329"/>
      <c r="ETY192" s="311"/>
      <c r="ETZ192" s="312"/>
      <c r="EUA192" s="326"/>
      <c r="EUB192" s="332"/>
      <c r="EUC192" s="321"/>
      <c r="EUD192" s="321"/>
      <c r="EUE192" s="331"/>
      <c r="EUF192" s="308"/>
      <c r="EUG192" s="301"/>
      <c r="EUH192" s="301"/>
      <c r="EUI192" s="302"/>
      <c r="EUJ192" s="309"/>
      <c r="EUK192" s="329"/>
      <c r="EUL192" s="311"/>
      <c r="EUM192" s="312"/>
      <c r="EUN192" s="326"/>
      <c r="EUO192" s="332"/>
      <c r="EUP192" s="321"/>
      <c r="EUQ192" s="321"/>
      <c r="EUR192" s="331"/>
      <c r="EUS192" s="308"/>
      <c r="EUT192" s="301"/>
      <c r="EUU192" s="301"/>
      <c r="EUV192" s="302"/>
      <c r="EUW192" s="309"/>
      <c r="EUX192" s="329"/>
      <c r="EUY192" s="311"/>
      <c r="EUZ192" s="312"/>
      <c r="EVA192" s="326"/>
      <c r="EVB192" s="332"/>
      <c r="EVC192" s="321"/>
      <c r="EVD192" s="321"/>
      <c r="EVE192" s="331"/>
      <c r="EVF192" s="308"/>
      <c r="EVG192" s="301"/>
      <c r="EVH192" s="301"/>
      <c r="EVI192" s="302"/>
      <c r="EVJ192" s="309"/>
      <c r="EVK192" s="329"/>
      <c r="EVL192" s="311"/>
      <c r="EVM192" s="312"/>
      <c r="EVN192" s="326"/>
      <c r="EVO192" s="332"/>
      <c r="EVP192" s="321"/>
      <c r="EVQ192" s="321"/>
      <c r="EVR192" s="331"/>
      <c r="EVS192" s="308"/>
      <c r="EVT192" s="301"/>
      <c r="EVU192" s="301"/>
      <c r="EVV192" s="302"/>
      <c r="EVW192" s="309"/>
      <c r="EVX192" s="329"/>
      <c r="EVY192" s="311"/>
      <c r="EVZ192" s="312"/>
      <c r="EWA192" s="326"/>
      <c r="EWB192" s="332"/>
      <c r="EWC192" s="321"/>
      <c r="EWD192" s="321"/>
      <c r="EWE192" s="331"/>
      <c r="EWF192" s="308"/>
      <c r="EWG192" s="301"/>
      <c r="EWH192" s="301"/>
      <c r="EWI192" s="302"/>
      <c r="EWJ192" s="309"/>
      <c r="EWK192" s="329"/>
      <c r="EWL192" s="311"/>
      <c r="EWM192" s="312"/>
      <c r="EWN192" s="326"/>
      <c r="EWO192" s="332"/>
      <c r="EWP192" s="321"/>
      <c r="EWQ192" s="321"/>
      <c r="EWR192" s="331"/>
      <c r="EWS192" s="308"/>
      <c r="EWT192" s="301"/>
      <c r="EWU192" s="301"/>
      <c r="EWV192" s="302"/>
      <c r="EWW192" s="309"/>
      <c r="EWX192" s="329"/>
      <c r="EWY192" s="311"/>
      <c r="EWZ192" s="312"/>
      <c r="EXA192" s="326"/>
      <c r="EXB192" s="332"/>
      <c r="EXC192" s="321"/>
      <c r="EXD192" s="321"/>
      <c r="EXE192" s="331"/>
      <c r="EXF192" s="308"/>
      <c r="EXG192" s="301"/>
      <c r="EXH192" s="301"/>
      <c r="EXI192" s="302"/>
      <c r="EXJ192" s="309"/>
      <c r="EXK192" s="329"/>
      <c r="EXL192" s="311"/>
      <c r="EXM192" s="312"/>
      <c r="EXN192" s="326"/>
      <c r="EXO192" s="332"/>
      <c r="EXP192" s="321"/>
      <c r="EXQ192" s="321"/>
      <c r="EXR192" s="331"/>
      <c r="EXS192" s="308"/>
      <c r="EXT192" s="301"/>
      <c r="EXU192" s="301"/>
      <c r="EXV192" s="302"/>
      <c r="EXW192" s="309"/>
      <c r="EXX192" s="329"/>
      <c r="EXY192" s="311"/>
      <c r="EXZ192" s="312"/>
      <c r="EYA192" s="326"/>
      <c r="EYB192" s="332"/>
      <c r="EYC192" s="321"/>
      <c r="EYD192" s="321"/>
      <c r="EYE192" s="331"/>
      <c r="EYF192" s="308"/>
      <c r="EYG192" s="301"/>
      <c r="EYH192" s="301"/>
      <c r="EYI192" s="302"/>
      <c r="EYJ192" s="309"/>
      <c r="EYK192" s="329"/>
      <c r="EYL192" s="311"/>
      <c r="EYM192" s="312"/>
      <c r="EYN192" s="326"/>
      <c r="EYO192" s="332"/>
      <c r="EYP192" s="321"/>
      <c r="EYQ192" s="321"/>
      <c r="EYR192" s="331"/>
      <c r="EYS192" s="308"/>
      <c r="EYT192" s="301"/>
      <c r="EYU192" s="301"/>
      <c r="EYV192" s="302"/>
      <c r="EYW192" s="309"/>
      <c r="EYX192" s="329"/>
      <c r="EYY192" s="311"/>
      <c r="EYZ192" s="312"/>
      <c r="EZA192" s="326"/>
      <c r="EZB192" s="332"/>
      <c r="EZC192" s="321"/>
      <c r="EZD192" s="321"/>
      <c r="EZE192" s="331"/>
      <c r="EZF192" s="308"/>
      <c r="EZG192" s="301"/>
      <c r="EZH192" s="301"/>
      <c r="EZI192" s="302"/>
      <c r="EZJ192" s="309"/>
      <c r="EZK192" s="329"/>
      <c r="EZL192" s="311"/>
      <c r="EZM192" s="312"/>
      <c r="EZN192" s="326"/>
      <c r="EZO192" s="332"/>
      <c r="EZP192" s="321"/>
      <c r="EZQ192" s="321"/>
      <c r="EZR192" s="331"/>
      <c r="EZS192" s="308"/>
      <c r="EZT192" s="301"/>
      <c r="EZU192" s="301"/>
      <c r="EZV192" s="302"/>
      <c r="EZW192" s="309"/>
      <c r="EZX192" s="329"/>
      <c r="EZY192" s="311"/>
      <c r="EZZ192" s="312"/>
      <c r="FAA192" s="326"/>
      <c r="FAB192" s="332"/>
      <c r="FAC192" s="321"/>
      <c r="FAD192" s="321"/>
      <c r="FAE192" s="331"/>
      <c r="FAF192" s="308"/>
      <c r="FAG192" s="301"/>
      <c r="FAH192" s="301"/>
      <c r="FAI192" s="302"/>
      <c r="FAJ192" s="309"/>
      <c r="FAK192" s="329"/>
      <c r="FAL192" s="311"/>
      <c r="FAM192" s="312"/>
      <c r="FAN192" s="326"/>
      <c r="FAO192" s="332"/>
      <c r="FAP192" s="321"/>
      <c r="FAQ192" s="321"/>
      <c r="FAR192" s="331"/>
      <c r="FAS192" s="308"/>
      <c r="FAT192" s="301"/>
      <c r="FAU192" s="301"/>
      <c r="FAV192" s="302"/>
      <c r="FAW192" s="309"/>
      <c r="FAX192" s="329"/>
      <c r="FAY192" s="311"/>
      <c r="FAZ192" s="312"/>
      <c r="FBA192" s="326"/>
      <c r="FBB192" s="332"/>
      <c r="FBC192" s="321"/>
      <c r="FBD192" s="321"/>
      <c r="FBE192" s="331"/>
      <c r="FBF192" s="308"/>
      <c r="FBG192" s="301"/>
      <c r="FBH192" s="301"/>
      <c r="FBI192" s="302"/>
      <c r="FBJ192" s="309"/>
      <c r="FBK192" s="329"/>
      <c r="FBL192" s="311"/>
      <c r="FBM192" s="312"/>
      <c r="FBN192" s="326"/>
      <c r="FBO192" s="332"/>
      <c r="FBP192" s="321"/>
      <c r="FBQ192" s="321"/>
      <c r="FBR192" s="331"/>
      <c r="FBS192" s="308"/>
      <c r="FBT192" s="301"/>
      <c r="FBU192" s="301"/>
      <c r="FBV192" s="302"/>
      <c r="FBW192" s="309"/>
      <c r="FBX192" s="329"/>
      <c r="FBY192" s="311"/>
      <c r="FBZ192" s="312"/>
      <c r="FCA192" s="326"/>
      <c r="FCB192" s="332"/>
      <c r="FCC192" s="321"/>
      <c r="FCD192" s="321"/>
      <c r="FCE192" s="331"/>
      <c r="FCF192" s="308"/>
      <c r="FCG192" s="301"/>
      <c r="FCH192" s="301"/>
      <c r="FCI192" s="302"/>
      <c r="FCJ192" s="309"/>
      <c r="FCK192" s="329"/>
      <c r="FCL192" s="311"/>
      <c r="FCM192" s="312"/>
      <c r="FCN192" s="326"/>
      <c r="FCO192" s="332"/>
      <c r="FCP192" s="321"/>
      <c r="FCQ192" s="321"/>
      <c r="FCR192" s="331"/>
      <c r="FCS192" s="308"/>
      <c r="FCT192" s="301"/>
      <c r="FCU192" s="301"/>
      <c r="FCV192" s="302"/>
      <c r="FCW192" s="309"/>
      <c r="FCX192" s="329"/>
      <c r="FCY192" s="311"/>
      <c r="FCZ192" s="312"/>
      <c r="FDA192" s="326"/>
      <c r="FDB192" s="332"/>
      <c r="FDC192" s="321"/>
      <c r="FDD192" s="321"/>
      <c r="FDE192" s="331"/>
      <c r="FDF192" s="308"/>
      <c r="FDG192" s="301"/>
      <c r="FDH192" s="301"/>
      <c r="FDI192" s="302"/>
      <c r="FDJ192" s="309"/>
      <c r="FDK192" s="329"/>
      <c r="FDL192" s="311"/>
      <c r="FDM192" s="312"/>
      <c r="FDN192" s="326"/>
      <c r="FDO192" s="332"/>
      <c r="FDP192" s="321"/>
      <c r="FDQ192" s="321"/>
      <c r="FDR192" s="331"/>
      <c r="FDS192" s="308"/>
      <c r="FDT192" s="301"/>
      <c r="FDU192" s="301"/>
      <c r="FDV192" s="302"/>
      <c r="FDW192" s="309"/>
      <c r="FDX192" s="329"/>
      <c r="FDY192" s="311"/>
      <c r="FDZ192" s="312"/>
      <c r="FEA192" s="326"/>
      <c r="FEB192" s="332"/>
      <c r="FEC192" s="321"/>
      <c r="FED192" s="321"/>
      <c r="FEE192" s="331"/>
      <c r="FEF192" s="308"/>
      <c r="FEG192" s="301"/>
      <c r="FEH192" s="301"/>
      <c r="FEI192" s="302"/>
      <c r="FEJ192" s="309"/>
      <c r="FEK192" s="329"/>
      <c r="FEL192" s="311"/>
      <c r="FEM192" s="312"/>
      <c r="FEN192" s="326"/>
      <c r="FEO192" s="332"/>
      <c r="FEP192" s="321"/>
      <c r="FEQ192" s="321"/>
      <c r="FER192" s="331"/>
      <c r="FES192" s="308"/>
      <c r="FET192" s="301"/>
      <c r="FEU192" s="301"/>
      <c r="FEV192" s="302"/>
      <c r="FEW192" s="309"/>
      <c r="FEX192" s="329"/>
      <c r="FEY192" s="311"/>
      <c r="FEZ192" s="312"/>
      <c r="FFA192" s="326"/>
      <c r="FFB192" s="332"/>
      <c r="FFC192" s="321"/>
      <c r="FFD192" s="321"/>
      <c r="FFE192" s="331"/>
      <c r="FFF192" s="308"/>
      <c r="FFG192" s="301"/>
      <c r="FFH192" s="301"/>
      <c r="FFI192" s="302"/>
      <c r="FFJ192" s="309"/>
      <c r="FFK192" s="329"/>
      <c r="FFL192" s="311"/>
      <c r="FFM192" s="312"/>
      <c r="FFN192" s="326"/>
      <c r="FFO192" s="332"/>
      <c r="FFP192" s="321"/>
      <c r="FFQ192" s="321"/>
      <c r="FFR192" s="331"/>
      <c r="FFS192" s="308"/>
      <c r="FFT192" s="301"/>
      <c r="FFU192" s="301"/>
      <c r="FFV192" s="302"/>
      <c r="FFW192" s="309"/>
      <c r="FFX192" s="329"/>
      <c r="FFY192" s="311"/>
      <c r="FFZ192" s="312"/>
      <c r="FGA192" s="326"/>
      <c r="FGB192" s="332"/>
      <c r="FGC192" s="321"/>
      <c r="FGD192" s="321"/>
      <c r="FGE192" s="331"/>
      <c r="FGF192" s="308"/>
      <c r="FGG192" s="301"/>
      <c r="FGH192" s="301"/>
      <c r="FGI192" s="302"/>
      <c r="FGJ192" s="309"/>
      <c r="FGK192" s="329"/>
      <c r="FGL192" s="311"/>
      <c r="FGM192" s="312"/>
      <c r="FGN192" s="326"/>
      <c r="FGO192" s="332"/>
      <c r="FGP192" s="321"/>
      <c r="FGQ192" s="321"/>
      <c r="FGR192" s="331"/>
      <c r="FGS192" s="308"/>
      <c r="FGT192" s="301"/>
      <c r="FGU192" s="301"/>
      <c r="FGV192" s="302"/>
      <c r="FGW192" s="309"/>
      <c r="FGX192" s="329"/>
      <c r="FGY192" s="311"/>
      <c r="FGZ192" s="312"/>
      <c r="FHA192" s="326"/>
      <c r="FHB192" s="332"/>
      <c r="FHC192" s="321"/>
      <c r="FHD192" s="321"/>
      <c r="FHE192" s="331"/>
      <c r="FHF192" s="308"/>
      <c r="FHG192" s="301"/>
      <c r="FHH192" s="301"/>
      <c r="FHI192" s="302"/>
      <c r="FHJ192" s="309"/>
      <c r="FHK192" s="329"/>
      <c r="FHL192" s="311"/>
      <c r="FHM192" s="312"/>
      <c r="FHN192" s="326"/>
      <c r="FHO192" s="332"/>
      <c r="FHP192" s="321"/>
      <c r="FHQ192" s="321"/>
      <c r="FHR192" s="331"/>
      <c r="FHS192" s="308"/>
      <c r="FHT192" s="301"/>
      <c r="FHU192" s="301"/>
      <c r="FHV192" s="302"/>
      <c r="FHW192" s="309"/>
      <c r="FHX192" s="329"/>
      <c r="FHY192" s="311"/>
      <c r="FHZ192" s="312"/>
      <c r="FIA192" s="326"/>
      <c r="FIB192" s="332"/>
      <c r="FIC192" s="321"/>
      <c r="FID192" s="321"/>
      <c r="FIE192" s="331"/>
      <c r="FIF192" s="308"/>
      <c r="FIG192" s="301"/>
      <c r="FIH192" s="301"/>
      <c r="FII192" s="302"/>
      <c r="FIJ192" s="309"/>
      <c r="FIK192" s="329"/>
      <c r="FIL192" s="311"/>
      <c r="FIM192" s="312"/>
      <c r="FIN192" s="326"/>
      <c r="FIO192" s="332"/>
      <c r="FIP192" s="321"/>
      <c r="FIQ192" s="321"/>
      <c r="FIR192" s="331"/>
      <c r="FIS192" s="308"/>
      <c r="FIT192" s="301"/>
      <c r="FIU192" s="301"/>
      <c r="FIV192" s="302"/>
      <c r="FIW192" s="309"/>
      <c r="FIX192" s="329"/>
      <c r="FIY192" s="311"/>
      <c r="FIZ192" s="312"/>
      <c r="FJA192" s="326"/>
      <c r="FJB192" s="332"/>
      <c r="FJC192" s="321"/>
      <c r="FJD192" s="321"/>
      <c r="FJE192" s="331"/>
      <c r="FJF192" s="308"/>
      <c r="FJG192" s="301"/>
      <c r="FJH192" s="301"/>
      <c r="FJI192" s="302"/>
      <c r="FJJ192" s="309"/>
      <c r="FJK192" s="329"/>
      <c r="FJL192" s="311"/>
      <c r="FJM192" s="312"/>
      <c r="FJN192" s="326"/>
      <c r="FJO192" s="332"/>
      <c r="FJP192" s="321"/>
      <c r="FJQ192" s="321"/>
      <c r="FJR192" s="331"/>
      <c r="FJS192" s="308"/>
      <c r="FJT192" s="301"/>
      <c r="FJU192" s="301"/>
      <c r="FJV192" s="302"/>
      <c r="FJW192" s="309"/>
      <c r="FJX192" s="329"/>
      <c r="FJY192" s="311"/>
      <c r="FJZ192" s="312"/>
      <c r="FKA192" s="326"/>
      <c r="FKB192" s="332"/>
      <c r="FKC192" s="321"/>
      <c r="FKD192" s="321"/>
      <c r="FKE192" s="331"/>
      <c r="FKF192" s="308"/>
      <c r="FKG192" s="301"/>
      <c r="FKH192" s="301"/>
      <c r="FKI192" s="302"/>
      <c r="FKJ192" s="309"/>
      <c r="FKK192" s="329"/>
      <c r="FKL192" s="311"/>
      <c r="FKM192" s="312"/>
      <c r="FKN192" s="326"/>
      <c r="FKO192" s="332"/>
      <c r="FKP192" s="321"/>
      <c r="FKQ192" s="321"/>
      <c r="FKR192" s="331"/>
      <c r="FKS192" s="308"/>
      <c r="FKT192" s="301"/>
      <c r="FKU192" s="301"/>
      <c r="FKV192" s="302"/>
      <c r="FKW192" s="309"/>
      <c r="FKX192" s="329"/>
      <c r="FKY192" s="311"/>
      <c r="FKZ192" s="312"/>
      <c r="FLA192" s="326"/>
      <c r="FLB192" s="332"/>
      <c r="FLC192" s="321"/>
      <c r="FLD192" s="321"/>
      <c r="FLE192" s="331"/>
      <c r="FLF192" s="308"/>
      <c r="FLG192" s="301"/>
      <c r="FLH192" s="301"/>
      <c r="FLI192" s="302"/>
      <c r="FLJ192" s="309"/>
      <c r="FLK192" s="329"/>
      <c r="FLL192" s="311"/>
      <c r="FLM192" s="312"/>
      <c r="FLN192" s="326"/>
      <c r="FLO192" s="332"/>
      <c r="FLP192" s="321"/>
      <c r="FLQ192" s="321"/>
      <c r="FLR192" s="331"/>
      <c r="FLS192" s="308"/>
      <c r="FLT192" s="301"/>
      <c r="FLU192" s="301"/>
      <c r="FLV192" s="302"/>
      <c r="FLW192" s="309"/>
      <c r="FLX192" s="329"/>
      <c r="FLY192" s="311"/>
      <c r="FLZ192" s="312"/>
      <c r="FMA192" s="326"/>
      <c r="FMB192" s="332"/>
      <c r="FMC192" s="321"/>
      <c r="FMD192" s="321"/>
      <c r="FME192" s="331"/>
      <c r="FMF192" s="308"/>
      <c r="FMG192" s="301"/>
      <c r="FMH192" s="301"/>
      <c r="FMI192" s="302"/>
      <c r="FMJ192" s="309"/>
      <c r="FMK192" s="329"/>
      <c r="FML192" s="311"/>
      <c r="FMM192" s="312"/>
      <c r="FMN192" s="326"/>
      <c r="FMO192" s="332"/>
      <c r="FMP192" s="321"/>
      <c r="FMQ192" s="321"/>
      <c r="FMR192" s="331"/>
      <c r="FMS192" s="308"/>
      <c r="FMT192" s="301"/>
      <c r="FMU192" s="301"/>
      <c r="FMV192" s="302"/>
      <c r="FMW192" s="309"/>
      <c r="FMX192" s="329"/>
      <c r="FMY192" s="311"/>
      <c r="FMZ192" s="312"/>
      <c r="FNA192" s="326"/>
      <c r="FNB192" s="332"/>
      <c r="FNC192" s="321"/>
      <c r="FND192" s="321"/>
      <c r="FNE192" s="331"/>
      <c r="FNF192" s="308"/>
      <c r="FNG192" s="301"/>
      <c r="FNH192" s="301"/>
      <c r="FNI192" s="302"/>
      <c r="FNJ192" s="309"/>
      <c r="FNK192" s="329"/>
      <c r="FNL192" s="311"/>
      <c r="FNM192" s="312"/>
      <c r="FNN192" s="326"/>
      <c r="FNO192" s="332"/>
      <c r="FNP192" s="321"/>
      <c r="FNQ192" s="321"/>
      <c r="FNR192" s="331"/>
      <c r="FNS192" s="308"/>
      <c r="FNT192" s="301"/>
      <c r="FNU192" s="301"/>
      <c r="FNV192" s="302"/>
      <c r="FNW192" s="309"/>
      <c r="FNX192" s="329"/>
      <c r="FNY192" s="311"/>
      <c r="FNZ192" s="312"/>
      <c r="FOA192" s="326"/>
      <c r="FOB192" s="332"/>
      <c r="FOC192" s="321"/>
      <c r="FOD192" s="321"/>
      <c r="FOE192" s="331"/>
      <c r="FOF192" s="308"/>
      <c r="FOG192" s="301"/>
      <c r="FOH192" s="301"/>
      <c r="FOI192" s="302"/>
      <c r="FOJ192" s="309"/>
      <c r="FOK192" s="329"/>
      <c r="FOL192" s="311"/>
      <c r="FOM192" s="312"/>
      <c r="FON192" s="326"/>
      <c r="FOO192" s="332"/>
      <c r="FOP192" s="321"/>
      <c r="FOQ192" s="321"/>
      <c r="FOR192" s="331"/>
      <c r="FOS192" s="308"/>
      <c r="FOT192" s="301"/>
      <c r="FOU192" s="301"/>
      <c r="FOV192" s="302"/>
      <c r="FOW192" s="309"/>
      <c r="FOX192" s="329"/>
      <c r="FOY192" s="311"/>
      <c r="FOZ192" s="312"/>
      <c r="FPA192" s="326"/>
      <c r="FPB192" s="332"/>
      <c r="FPC192" s="321"/>
      <c r="FPD192" s="321"/>
      <c r="FPE192" s="331"/>
      <c r="FPF192" s="308"/>
      <c r="FPG192" s="301"/>
      <c r="FPH192" s="301"/>
      <c r="FPI192" s="302"/>
      <c r="FPJ192" s="309"/>
      <c r="FPK192" s="329"/>
      <c r="FPL192" s="311"/>
      <c r="FPM192" s="312"/>
      <c r="FPN192" s="326"/>
      <c r="FPO192" s="332"/>
      <c r="FPP192" s="321"/>
      <c r="FPQ192" s="321"/>
      <c r="FPR192" s="331"/>
      <c r="FPS192" s="308"/>
      <c r="FPT192" s="301"/>
      <c r="FPU192" s="301"/>
      <c r="FPV192" s="302"/>
      <c r="FPW192" s="309"/>
      <c r="FPX192" s="329"/>
      <c r="FPY192" s="311"/>
      <c r="FPZ192" s="312"/>
      <c r="FQA192" s="326"/>
      <c r="FQB192" s="332"/>
      <c r="FQC192" s="321"/>
      <c r="FQD192" s="321"/>
      <c r="FQE192" s="331"/>
      <c r="FQF192" s="308"/>
      <c r="FQG192" s="301"/>
      <c r="FQH192" s="301"/>
      <c r="FQI192" s="302"/>
      <c r="FQJ192" s="309"/>
      <c r="FQK192" s="329"/>
      <c r="FQL192" s="311"/>
      <c r="FQM192" s="312"/>
      <c r="FQN192" s="326"/>
      <c r="FQO192" s="332"/>
      <c r="FQP192" s="321"/>
      <c r="FQQ192" s="321"/>
      <c r="FQR192" s="331"/>
      <c r="FQS192" s="308"/>
      <c r="FQT192" s="301"/>
      <c r="FQU192" s="301"/>
      <c r="FQV192" s="302"/>
      <c r="FQW192" s="309"/>
      <c r="FQX192" s="329"/>
      <c r="FQY192" s="311"/>
      <c r="FQZ192" s="312"/>
      <c r="FRA192" s="326"/>
      <c r="FRB192" s="332"/>
      <c r="FRC192" s="321"/>
      <c r="FRD192" s="321"/>
      <c r="FRE192" s="331"/>
      <c r="FRF192" s="308"/>
      <c r="FRG192" s="301"/>
      <c r="FRH192" s="301"/>
      <c r="FRI192" s="302"/>
      <c r="FRJ192" s="309"/>
      <c r="FRK192" s="329"/>
      <c r="FRL192" s="311"/>
      <c r="FRM192" s="312"/>
      <c r="FRN192" s="326"/>
      <c r="FRO192" s="332"/>
      <c r="FRP192" s="321"/>
      <c r="FRQ192" s="321"/>
      <c r="FRR192" s="331"/>
      <c r="FRS192" s="308"/>
      <c r="FRT192" s="301"/>
      <c r="FRU192" s="301"/>
      <c r="FRV192" s="302"/>
      <c r="FRW192" s="309"/>
      <c r="FRX192" s="329"/>
      <c r="FRY192" s="311"/>
      <c r="FRZ192" s="312"/>
      <c r="FSA192" s="326"/>
      <c r="FSB192" s="332"/>
      <c r="FSC192" s="321"/>
      <c r="FSD192" s="321"/>
      <c r="FSE192" s="331"/>
      <c r="FSF192" s="308"/>
      <c r="FSG192" s="301"/>
      <c r="FSH192" s="301"/>
      <c r="FSI192" s="302"/>
      <c r="FSJ192" s="309"/>
      <c r="FSK192" s="329"/>
      <c r="FSL192" s="311"/>
      <c r="FSM192" s="312"/>
      <c r="FSN192" s="326"/>
      <c r="FSO192" s="332"/>
      <c r="FSP192" s="321"/>
      <c r="FSQ192" s="321"/>
      <c r="FSR192" s="331"/>
      <c r="FSS192" s="308"/>
      <c r="FST192" s="301"/>
      <c r="FSU192" s="301"/>
      <c r="FSV192" s="302"/>
      <c r="FSW192" s="309"/>
      <c r="FSX192" s="329"/>
      <c r="FSY192" s="311"/>
      <c r="FSZ192" s="312"/>
      <c r="FTA192" s="326"/>
      <c r="FTB192" s="332"/>
      <c r="FTC192" s="321"/>
      <c r="FTD192" s="321"/>
      <c r="FTE192" s="331"/>
      <c r="FTF192" s="308"/>
      <c r="FTG192" s="301"/>
      <c r="FTH192" s="301"/>
      <c r="FTI192" s="302"/>
      <c r="FTJ192" s="309"/>
      <c r="FTK192" s="329"/>
      <c r="FTL192" s="311"/>
      <c r="FTM192" s="312"/>
      <c r="FTN192" s="326"/>
      <c r="FTO192" s="332"/>
      <c r="FTP192" s="321"/>
      <c r="FTQ192" s="321"/>
      <c r="FTR192" s="331"/>
      <c r="FTS192" s="308"/>
      <c r="FTT192" s="301"/>
      <c r="FTU192" s="301"/>
      <c r="FTV192" s="302"/>
      <c r="FTW192" s="309"/>
      <c r="FTX192" s="329"/>
      <c r="FTY192" s="311"/>
      <c r="FTZ192" s="312"/>
      <c r="FUA192" s="326"/>
      <c r="FUB192" s="332"/>
      <c r="FUC192" s="321"/>
      <c r="FUD192" s="321"/>
      <c r="FUE192" s="331"/>
      <c r="FUF192" s="308"/>
      <c r="FUG192" s="301"/>
      <c r="FUH192" s="301"/>
      <c r="FUI192" s="302"/>
      <c r="FUJ192" s="309"/>
      <c r="FUK192" s="329"/>
      <c r="FUL192" s="311"/>
      <c r="FUM192" s="312"/>
      <c r="FUN192" s="326"/>
      <c r="FUO192" s="332"/>
      <c r="FUP192" s="321"/>
      <c r="FUQ192" s="321"/>
      <c r="FUR192" s="331"/>
      <c r="FUS192" s="308"/>
      <c r="FUT192" s="301"/>
      <c r="FUU192" s="301"/>
      <c r="FUV192" s="302"/>
      <c r="FUW192" s="309"/>
      <c r="FUX192" s="329"/>
      <c r="FUY192" s="311"/>
      <c r="FUZ192" s="312"/>
      <c r="FVA192" s="326"/>
      <c r="FVB192" s="332"/>
      <c r="FVC192" s="321"/>
      <c r="FVD192" s="321"/>
      <c r="FVE192" s="331"/>
      <c r="FVF192" s="308"/>
      <c r="FVG192" s="301"/>
      <c r="FVH192" s="301"/>
      <c r="FVI192" s="302"/>
      <c r="FVJ192" s="309"/>
      <c r="FVK192" s="329"/>
      <c r="FVL192" s="311"/>
      <c r="FVM192" s="312"/>
      <c r="FVN192" s="326"/>
      <c r="FVO192" s="332"/>
      <c r="FVP192" s="321"/>
      <c r="FVQ192" s="321"/>
      <c r="FVR192" s="331"/>
      <c r="FVS192" s="308"/>
      <c r="FVT192" s="301"/>
      <c r="FVU192" s="301"/>
      <c r="FVV192" s="302"/>
      <c r="FVW192" s="309"/>
      <c r="FVX192" s="329"/>
      <c r="FVY192" s="311"/>
      <c r="FVZ192" s="312"/>
      <c r="FWA192" s="326"/>
      <c r="FWB192" s="332"/>
      <c r="FWC192" s="321"/>
      <c r="FWD192" s="321"/>
      <c r="FWE192" s="331"/>
      <c r="FWF192" s="308"/>
      <c r="FWG192" s="301"/>
      <c r="FWH192" s="301"/>
      <c r="FWI192" s="302"/>
      <c r="FWJ192" s="309"/>
      <c r="FWK192" s="329"/>
      <c r="FWL192" s="311"/>
      <c r="FWM192" s="312"/>
      <c r="FWN192" s="326"/>
      <c r="FWO192" s="332"/>
      <c r="FWP192" s="321"/>
      <c r="FWQ192" s="321"/>
      <c r="FWR192" s="331"/>
      <c r="FWS192" s="308"/>
      <c r="FWT192" s="301"/>
      <c r="FWU192" s="301"/>
      <c r="FWV192" s="302"/>
      <c r="FWW192" s="309"/>
      <c r="FWX192" s="329"/>
      <c r="FWY192" s="311"/>
      <c r="FWZ192" s="312"/>
      <c r="FXA192" s="326"/>
      <c r="FXB192" s="332"/>
      <c r="FXC192" s="321"/>
      <c r="FXD192" s="321"/>
      <c r="FXE192" s="331"/>
      <c r="FXF192" s="308"/>
      <c r="FXG192" s="301"/>
      <c r="FXH192" s="301"/>
      <c r="FXI192" s="302"/>
      <c r="FXJ192" s="309"/>
      <c r="FXK192" s="329"/>
      <c r="FXL192" s="311"/>
      <c r="FXM192" s="312"/>
      <c r="FXN192" s="326"/>
      <c r="FXO192" s="332"/>
      <c r="FXP192" s="321"/>
      <c r="FXQ192" s="321"/>
      <c r="FXR192" s="331"/>
      <c r="FXS192" s="308"/>
      <c r="FXT192" s="301"/>
      <c r="FXU192" s="301"/>
      <c r="FXV192" s="302"/>
      <c r="FXW192" s="309"/>
      <c r="FXX192" s="329"/>
      <c r="FXY192" s="311"/>
      <c r="FXZ192" s="312"/>
      <c r="FYA192" s="326"/>
      <c r="FYB192" s="332"/>
      <c r="FYC192" s="321"/>
      <c r="FYD192" s="321"/>
      <c r="FYE192" s="331"/>
      <c r="FYF192" s="308"/>
      <c r="FYG192" s="301"/>
      <c r="FYH192" s="301"/>
      <c r="FYI192" s="302"/>
      <c r="FYJ192" s="309"/>
      <c r="FYK192" s="329"/>
      <c r="FYL192" s="311"/>
      <c r="FYM192" s="312"/>
      <c r="FYN192" s="326"/>
      <c r="FYO192" s="332"/>
      <c r="FYP192" s="321"/>
      <c r="FYQ192" s="321"/>
      <c r="FYR192" s="331"/>
      <c r="FYS192" s="308"/>
      <c r="FYT192" s="301"/>
      <c r="FYU192" s="301"/>
      <c r="FYV192" s="302"/>
      <c r="FYW192" s="309"/>
      <c r="FYX192" s="329"/>
      <c r="FYY192" s="311"/>
      <c r="FYZ192" s="312"/>
      <c r="FZA192" s="326"/>
      <c r="FZB192" s="332"/>
      <c r="FZC192" s="321"/>
      <c r="FZD192" s="321"/>
      <c r="FZE192" s="331"/>
      <c r="FZF192" s="308"/>
      <c r="FZG192" s="301"/>
      <c r="FZH192" s="301"/>
      <c r="FZI192" s="302"/>
      <c r="FZJ192" s="309"/>
      <c r="FZK192" s="329"/>
      <c r="FZL192" s="311"/>
      <c r="FZM192" s="312"/>
      <c r="FZN192" s="326"/>
      <c r="FZO192" s="332"/>
      <c r="FZP192" s="321"/>
      <c r="FZQ192" s="321"/>
      <c r="FZR192" s="331"/>
      <c r="FZS192" s="308"/>
      <c r="FZT192" s="301"/>
      <c r="FZU192" s="301"/>
      <c r="FZV192" s="302"/>
      <c r="FZW192" s="309"/>
      <c r="FZX192" s="329"/>
      <c r="FZY192" s="311"/>
      <c r="FZZ192" s="312"/>
      <c r="GAA192" s="326"/>
      <c r="GAB192" s="332"/>
      <c r="GAC192" s="321"/>
      <c r="GAD192" s="321"/>
      <c r="GAE192" s="331"/>
      <c r="GAF192" s="308"/>
      <c r="GAG192" s="301"/>
      <c r="GAH192" s="301"/>
      <c r="GAI192" s="302"/>
      <c r="GAJ192" s="309"/>
      <c r="GAK192" s="329"/>
      <c r="GAL192" s="311"/>
      <c r="GAM192" s="312"/>
      <c r="GAN192" s="326"/>
      <c r="GAO192" s="332"/>
      <c r="GAP192" s="321"/>
      <c r="GAQ192" s="321"/>
      <c r="GAR192" s="331"/>
      <c r="GAS192" s="308"/>
      <c r="GAT192" s="301"/>
      <c r="GAU192" s="301"/>
      <c r="GAV192" s="302"/>
      <c r="GAW192" s="309"/>
      <c r="GAX192" s="329"/>
      <c r="GAY192" s="311"/>
      <c r="GAZ192" s="312"/>
      <c r="GBA192" s="326"/>
      <c r="GBB192" s="332"/>
      <c r="GBC192" s="321"/>
      <c r="GBD192" s="321"/>
      <c r="GBE192" s="331"/>
      <c r="GBF192" s="308"/>
      <c r="GBG192" s="301"/>
      <c r="GBH192" s="301"/>
      <c r="GBI192" s="302"/>
      <c r="GBJ192" s="309"/>
      <c r="GBK192" s="329"/>
      <c r="GBL192" s="311"/>
      <c r="GBM192" s="312"/>
      <c r="GBN192" s="326"/>
      <c r="GBO192" s="332"/>
      <c r="GBP192" s="321"/>
      <c r="GBQ192" s="321"/>
      <c r="GBR192" s="331"/>
      <c r="GBS192" s="308"/>
      <c r="GBT192" s="301"/>
      <c r="GBU192" s="301"/>
      <c r="GBV192" s="302"/>
      <c r="GBW192" s="309"/>
      <c r="GBX192" s="329"/>
      <c r="GBY192" s="311"/>
      <c r="GBZ192" s="312"/>
      <c r="GCA192" s="326"/>
      <c r="GCB192" s="332"/>
      <c r="GCC192" s="321"/>
      <c r="GCD192" s="321"/>
      <c r="GCE192" s="331"/>
      <c r="GCF192" s="308"/>
      <c r="GCG192" s="301"/>
      <c r="GCH192" s="301"/>
      <c r="GCI192" s="302"/>
      <c r="GCJ192" s="309"/>
      <c r="GCK192" s="329"/>
      <c r="GCL192" s="311"/>
      <c r="GCM192" s="312"/>
      <c r="GCN192" s="326"/>
      <c r="GCO192" s="332"/>
      <c r="GCP192" s="321"/>
      <c r="GCQ192" s="321"/>
      <c r="GCR192" s="331"/>
      <c r="GCS192" s="308"/>
      <c r="GCT192" s="301"/>
      <c r="GCU192" s="301"/>
      <c r="GCV192" s="302"/>
      <c r="GCW192" s="309"/>
      <c r="GCX192" s="329"/>
      <c r="GCY192" s="311"/>
      <c r="GCZ192" s="312"/>
      <c r="GDA192" s="326"/>
      <c r="GDB192" s="332"/>
      <c r="GDC192" s="321"/>
      <c r="GDD192" s="321"/>
      <c r="GDE192" s="331"/>
      <c r="GDF192" s="308"/>
      <c r="GDG192" s="301"/>
      <c r="GDH192" s="301"/>
      <c r="GDI192" s="302"/>
      <c r="GDJ192" s="309"/>
      <c r="GDK192" s="329"/>
      <c r="GDL192" s="311"/>
      <c r="GDM192" s="312"/>
      <c r="GDN192" s="326"/>
      <c r="GDO192" s="332"/>
      <c r="GDP192" s="321"/>
      <c r="GDQ192" s="321"/>
      <c r="GDR192" s="331"/>
      <c r="GDS192" s="308"/>
      <c r="GDT192" s="301"/>
      <c r="GDU192" s="301"/>
      <c r="GDV192" s="302"/>
      <c r="GDW192" s="309"/>
      <c r="GDX192" s="329"/>
      <c r="GDY192" s="311"/>
      <c r="GDZ192" s="312"/>
      <c r="GEA192" s="326"/>
      <c r="GEB192" s="332"/>
      <c r="GEC192" s="321"/>
      <c r="GED192" s="321"/>
      <c r="GEE192" s="331"/>
      <c r="GEF192" s="308"/>
      <c r="GEG192" s="301"/>
      <c r="GEH192" s="301"/>
      <c r="GEI192" s="302"/>
      <c r="GEJ192" s="309"/>
      <c r="GEK192" s="329"/>
      <c r="GEL192" s="311"/>
      <c r="GEM192" s="312"/>
      <c r="GEN192" s="326"/>
      <c r="GEO192" s="332"/>
      <c r="GEP192" s="321"/>
      <c r="GEQ192" s="321"/>
      <c r="GER192" s="331"/>
      <c r="GES192" s="308"/>
      <c r="GET192" s="301"/>
      <c r="GEU192" s="301"/>
      <c r="GEV192" s="302"/>
      <c r="GEW192" s="309"/>
      <c r="GEX192" s="329"/>
      <c r="GEY192" s="311"/>
      <c r="GEZ192" s="312"/>
      <c r="GFA192" s="326"/>
      <c r="GFB192" s="332"/>
      <c r="GFC192" s="321"/>
      <c r="GFD192" s="321"/>
      <c r="GFE192" s="331"/>
      <c r="GFF192" s="308"/>
      <c r="GFG192" s="301"/>
      <c r="GFH192" s="301"/>
      <c r="GFI192" s="302"/>
      <c r="GFJ192" s="309"/>
      <c r="GFK192" s="329"/>
      <c r="GFL192" s="311"/>
      <c r="GFM192" s="312"/>
      <c r="GFN192" s="326"/>
      <c r="GFO192" s="332"/>
      <c r="GFP192" s="321"/>
      <c r="GFQ192" s="321"/>
      <c r="GFR192" s="331"/>
      <c r="GFS192" s="308"/>
      <c r="GFT192" s="301"/>
      <c r="GFU192" s="301"/>
      <c r="GFV192" s="302"/>
      <c r="GFW192" s="309"/>
      <c r="GFX192" s="329"/>
      <c r="GFY192" s="311"/>
      <c r="GFZ192" s="312"/>
      <c r="GGA192" s="326"/>
      <c r="GGB192" s="332"/>
      <c r="GGC192" s="321"/>
      <c r="GGD192" s="321"/>
      <c r="GGE192" s="331"/>
      <c r="GGF192" s="308"/>
      <c r="GGG192" s="301"/>
      <c r="GGH192" s="301"/>
      <c r="GGI192" s="302"/>
      <c r="GGJ192" s="309"/>
      <c r="GGK192" s="329"/>
      <c r="GGL192" s="311"/>
      <c r="GGM192" s="312"/>
      <c r="GGN192" s="326"/>
      <c r="GGO192" s="332"/>
      <c r="GGP192" s="321"/>
      <c r="GGQ192" s="321"/>
      <c r="GGR192" s="331"/>
      <c r="GGS192" s="308"/>
      <c r="GGT192" s="301"/>
      <c r="GGU192" s="301"/>
      <c r="GGV192" s="302"/>
      <c r="GGW192" s="309"/>
      <c r="GGX192" s="329"/>
      <c r="GGY192" s="311"/>
      <c r="GGZ192" s="312"/>
      <c r="GHA192" s="326"/>
      <c r="GHB192" s="332"/>
      <c r="GHC192" s="321"/>
      <c r="GHD192" s="321"/>
      <c r="GHE192" s="331"/>
      <c r="GHF192" s="308"/>
      <c r="GHG192" s="301"/>
      <c r="GHH192" s="301"/>
      <c r="GHI192" s="302"/>
      <c r="GHJ192" s="309"/>
      <c r="GHK192" s="329"/>
      <c r="GHL192" s="311"/>
      <c r="GHM192" s="312"/>
      <c r="GHN192" s="326"/>
      <c r="GHO192" s="332"/>
      <c r="GHP192" s="321"/>
      <c r="GHQ192" s="321"/>
      <c r="GHR192" s="331"/>
      <c r="GHS192" s="308"/>
      <c r="GHT192" s="301"/>
      <c r="GHU192" s="301"/>
      <c r="GHV192" s="302"/>
      <c r="GHW192" s="309"/>
      <c r="GHX192" s="329"/>
      <c r="GHY192" s="311"/>
      <c r="GHZ192" s="312"/>
      <c r="GIA192" s="326"/>
      <c r="GIB192" s="332"/>
      <c r="GIC192" s="321"/>
      <c r="GID192" s="321"/>
      <c r="GIE192" s="331"/>
      <c r="GIF192" s="308"/>
      <c r="GIG192" s="301"/>
      <c r="GIH192" s="301"/>
      <c r="GII192" s="302"/>
      <c r="GIJ192" s="309"/>
      <c r="GIK192" s="329"/>
      <c r="GIL192" s="311"/>
      <c r="GIM192" s="312"/>
      <c r="GIN192" s="326"/>
      <c r="GIO192" s="332"/>
      <c r="GIP192" s="321"/>
      <c r="GIQ192" s="321"/>
      <c r="GIR192" s="331"/>
      <c r="GIS192" s="308"/>
      <c r="GIT192" s="301"/>
      <c r="GIU192" s="301"/>
      <c r="GIV192" s="302"/>
      <c r="GIW192" s="309"/>
      <c r="GIX192" s="329"/>
      <c r="GIY192" s="311"/>
      <c r="GIZ192" s="312"/>
      <c r="GJA192" s="326"/>
      <c r="GJB192" s="332"/>
      <c r="GJC192" s="321"/>
      <c r="GJD192" s="321"/>
      <c r="GJE192" s="331"/>
      <c r="GJF192" s="308"/>
      <c r="GJG192" s="301"/>
      <c r="GJH192" s="301"/>
      <c r="GJI192" s="302"/>
      <c r="GJJ192" s="309"/>
      <c r="GJK192" s="329"/>
      <c r="GJL192" s="311"/>
      <c r="GJM192" s="312"/>
      <c r="GJN192" s="326"/>
      <c r="GJO192" s="332"/>
      <c r="GJP192" s="321"/>
      <c r="GJQ192" s="321"/>
      <c r="GJR192" s="331"/>
      <c r="GJS192" s="308"/>
      <c r="GJT192" s="301"/>
      <c r="GJU192" s="301"/>
      <c r="GJV192" s="302"/>
      <c r="GJW192" s="309"/>
      <c r="GJX192" s="329"/>
      <c r="GJY192" s="311"/>
      <c r="GJZ192" s="312"/>
      <c r="GKA192" s="326"/>
      <c r="GKB192" s="332"/>
      <c r="GKC192" s="321"/>
      <c r="GKD192" s="321"/>
      <c r="GKE192" s="331"/>
      <c r="GKF192" s="308"/>
      <c r="GKG192" s="301"/>
      <c r="GKH192" s="301"/>
      <c r="GKI192" s="302"/>
      <c r="GKJ192" s="309"/>
      <c r="GKK192" s="329"/>
      <c r="GKL192" s="311"/>
      <c r="GKM192" s="312"/>
      <c r="GKN192" s="326"/>
      <c r="GKO192" s="332"/>
      <c r="GKP192" s="321"/>
      <c r="GKQ192" s="321"/>
      <c r="GKR192" s="331"/>
      <c r="GKS192" s="308"/>
      <c r="GKT192" s="301"/>
      <c r="GKU192" s="301"/>
      <c r="GKV192" s="302"/>
      <c r="GKW192" s="309"/>
      <c r="GKX192" s="329"/>
      <c r="GKY192" s="311"/>
      <c r="GKZ192" s="312"/>
      <c r="GLA192" s="326"/>
      <c r="GLB192" s="332"/>
      <c r="GLC192" s="321"/>
      <c r="GLD192" s="321"/>
      <c r="GLE192" s="331"/>
      <c r="GLF192" s="308"/>
      <c r="GLG192" s="301"/>
      <c r="GLH192" s="301"/>
      <c r="GLI192" s="302"/>
      <c r="GLJ192" s="309"/>
      <c r="GLK192" s="329"/>
      <c r="GLL192" s="311"/>
      <c r="GLM192" s="312"/>
      <c r="GLN192" s="326"/>
      <c r="GLO192" s="332"/>
      <c r="GLP192" s="321"/>
      <c r="GLQ192" s="321"/>
      <c r="GLR192" s="331"/>
      <c r="GLS192" s="308"/>
      <c r="GLT192" s="301"/>
      <c r="GLU192" s="301"/>
      <c r="GLV192" s="302"/>
      <c r="GLW192" s="309"/>
      <c r="GLX192" s="329"/>
      <c r="GLY192" s="311"/>
      <c r="GLZ192" s="312"/>
      <c r="GMA192" s="326"/>
      <c r="GMB192" s="332"/>
      <c r="GMC192" s="321"/>
      <c r="GMD192" s="321"/>
      <c r="GME192" s="331"/>
      <c r="GMF192" s="308"/>
      <c r="GMG192" s="301"/>
      <c r="GMH192" s="301"/>
      <c r="GMI192" s="302"/>
      <c r="GMJ192" s="309"/>
      <c r="GMK192" s="329"/>
      <c r="GML192" s="311"/>
      <c r="GMM192" s="312"/>
      <c r="GMN192" s="326"/>
      <c r="GMO192" s="332"/>
      <c r="GMP192" s="321"/>
      <c r="GMQ192" s="321"/>
      <c r="GMR192" s="331"/>
      <c r="GMS192" s="308"/>
      <c r="GMT192" s="301"/>
      <c r="GMU192" s="301"/>
      <c r="GMV192" s="302"/>
      <c r="GMW192" s="309"/>
      <c r="GMX192" s="329"/>
      <c r="GMY192" s="311"/>
      <c r="GMZ192" s="312"/>
      <c r="GNA192" s="326"/>
      <c r="GNB192" s="332"/>
      <c r="GNC192" s="321"/>
      <c r="GND192" s="321"/>
      <c r="GNE192" s="331"/>
      <c r="GNF192" s="308"/>
      <c r="GNG192" s="301"/>
      <c r="GNH192" s="301"/>
      <c r="GNI192" s="302"/>
      <c r="GNJ192" s="309"/>
      <c r="GNK192" s="329"/>
      <c r="GNL192" s="311"/>
      <c r="GNM192" s="312"/>
      <c r="GNN192" s="326"/>
      <c r="GNO192" s="332"/>
      <c r="GNP192" s="321"/>
      <c r="GNQ192" s="321"/>
      <c r="GNR192" s="331"/>
      <c r="GNS192" s="308"/>
      <c r="GNT192" s="301"/>
      <c r="GNU192" s="301"/>
      <c r="GNV192" s="302"/>
      <c r="GNW192" s="309"/>
      <c r="GNX192" s="329"/>
      <c r="GNY192" s="311"/>
      <c r="GNZ192" s="312"/>
      <c r="GOA192" s="326"/>
      <c r="GOB192" s="332"/>
      <c r="GOC192" s="321"/>
      <c r="GOD192" s="321"/>
      <c r="GOE192" s="331"/>
      <c r="GOF192" s="308"/>
      <c r="GOG192" s="301"/>
      <c r="GOH192" s="301"/>
      <c r="GOI192" s="302"/>
      <c r="GOJ192" s="309"/>
      <c r="GOK192" s="329"/>
      <c r="GOL192" s="311"/>
      <c r="GOM192" s="312"/>
      <c r="GON192" s="326"/>
      <c r="GOO192" s="332"/>
      <c r="GOP192" s="321"/>
      <c r="GOQ192" s="321"/>
      <c r="GOR192" s="331"/>
      <c r="GOS192" s="308"/>
      <c r="GOT192" s="301"/>
      <c r="GOU192" s="301"/>
      <c r="GOV192" s="302"/>
      <c r="GOW192" s="309"/>
      <c r="GOX192" s="329"/>
      <c r="GOY192" s="311"/>
      <c r="GOZ192" s="312"/>
      <c r="GPA192" s="326"/>
      <c r="GPB192" s="332"/>
      <c r="GPC192" s="321"/>
      <c r="GPD192" s="321"/>
      <c r="GPE192" s="331"/>
      <c r="GPF192" s="308"/>
      <c r="GPG192" s="301"/>
      <c r="GPH192" s="301"/>
      <c r="GPI192" s="302"/>
      <c r="GPJ192" s="309"/>
      <c r="GPK192" s="329"/>
      <c r="GPL192" s="311"/>
      <c r="GPM192" s="312"/>
      <c r="GPN192" s="326"/>
      <c r="GPO192" s="332"/>
      <c r="GPP192" s="321"/>
      <c r="GPQ192" s="321"/>
      <c r="GPR192" s="331"/>
      <c r="GPS192" s="308"/>
      <c r="GPT192" s="301"/>
      <c r="GPU192" s="301"/>
      <c r="GPV192" s="302"/>
      <c r="GPW192" s="309"/>
      <c r="GPX192" s="329"/>
      <c r="GPY192" s="311"/>
      <c r="GPZ192" s="312"/>
      <c r="GQA192" s="326"/>
      <c r="GQB192" s="332"/>
      <c r="GQC192" s="321"/>
      <c r="GQD192" s="321"/>
      <c r="GQE192" s="331"/>
      <c r="GQF192" s="308"/>
      <c r="GQG192" s="301"/>
      <c r="GQH192" s="301"/>
      <c r="GQI192" s="302"/>
      <c r="GQJ192" s="309"/>
      <c r="GQK192" s="329"/>
      <c r="GQL192" s="311"/>
      <c r="GQM192" s="312"/>
      <c r="GQN192" s="326"/>
      <c r="GQO192" s="332"/>
      <c r="GQP192" s="321"/>
      <c r="GQQ192" s="321"/>
      <c r="GQR192" s="331"/>
      <c r="GQS192" s="308"/>
      <c r="GQT192" s="301"/>
      <c r="GQU192" s="301"/>
      <c r="GQV192" s="302"/>
      <c r="GQW192" s="309"/>
      <c r="GQX192" s="329"/>
      <c r="GQY192" s="311"/>
      <c r="GQZ192" s="312"/>
      <c r="GRA192" s="326"/>
      <c r="GRB192" s="332"/>
      <c r="GRC192" s="321"/>
      <c r="GRD192" s="321"/>
      <c r="GRE192" s="331"/>
      <c r="GRF192" s="308"/>
      <c r="GRG192" s="301"/>
      <c r="GRH192" s="301"/>
      <c r="GRI192" s="302"/>
      <c r="GRJ192" s="309"/>
      <c r="GRK192" s="329"/>
      <c r="GRL192" s="311"/>
      <c r="GRM192" s="312"/>
      <c r="GRN192" s="326"/>
      <c r="GRO192" s="332"/>
      <c r="GRP192" s="321"/>
      <c r="GRQ192" s="321"/>
      <c r="GRR192" s="331"/>
      <c r="GRS192" s="308"/>
      <c r="GRT192" s="301"/>
      <c r="GRU192" s="301"/>
      <c r="GRV192" s="302"/>
      <c r="GRW192" s="309"/>
      <c r="GRX192" s="329"/>
      <c r="GRY192" s="311"/>
      <c r="GRZ192" s="312"/>
      <c r="GSA192" s="326"/>
      <c r="GSB192" s="332"/>
      <c r="GSC192" s="321"/>
      <c r="GSD192" s="321"/>
      <c r="GSE192" s="331"/>
      <c r="GSF192" s="308"/>
      <c r="GSG192" s="301"/>
      <c r="GSH192" s="301"/>
      <c r="GSI192" s="302"/>
      <c r="GSJ192" s="309"/>
      <c r="GSK192" s="329"/>
      <c r="GSL192" s="311"/>
      <c r="GSM192" s="312"/>
      <c r="GSN192" s="326"/>
      <c r="GSO192" s="332"/>
      <c r="GSP192" s="321"/>
      <c r="GSQ192" s="321"/>
      <c r="GSR192" s="331"/>
      <c r="GSS192" s="308"/>
      <c r="GST192" s="301"/>
      <c r="GSU192" s="301"/>
      <c r="GSV192" s="302"/>
      <c r="GSW192" s="309"/>
      <c r="GSX192" s="329"/>
      <c r="GSY192" s="311"/>
      <c r="GSZ192" s="312"/>
      <c r="GTA192" s="326"/>
      <c r="GTB192" s="332"/>
      <c r="GTC192" s="321"/>
      <c r="GTD192" s="321"/>
      <c r="GTE192" s="331"/>
      <c r="GTF192" s="308"/>
      <c r="GTG192" s="301"/>
      <c r="GTH192" s="301"/>
      <c r="GTI192" s="302"/>
      <c r="GTJ192" s="309"/>
      <c r="GTK192" s="329"/>
      <c r="GTL192" s="311"/>
      <c r="GTM192" s="312"/>
      <c r="GTN192" s="326"/>
      <c r="GTO192" s="332"/>
      <c r="GTP192" s="321"/>
      <c r="GTQ192" s="321"/>
      <c r="GTR192" s="331"/>
      <c r="GTS192" s="308"/>
      <c r="GTT192" s="301"/>
      <c r="GTU192" s="301"/>
      <c r="GTV192" s="302"/>
      <c r="GTW192" s="309"/>
      <c r="GTX192" s="329"/>
      <c r="GTY192" s="311"/>
      <c r="GTZ192" s="312"/>
      <c r="GUA192" s="326"/>
      <c r="GUB192" s="332"/>
      <c r="GUC192" s="321"/>
      <c r="GUD192" s="321"/>
      <c r="GUE192" s="331"/>
      <c r="GUF192" s="308"/>
      <c r="GUG192" s="301"/>
      <c r="GUH192" s="301"/>
      <c r="GUI192" s="302"/>
      <c r="GUJ192" s="309"/>
      <c r="GUK192" s="329"/>
      <c r="GUL192" s="311"/>
      <c r="GUM192" s="312"/>
      <c r="GUN192" s="326"/>
      <c r="GUO192" s="332"/>
      <c r="GUP192" s="321"/>
      <c r="GUQ192" s="321"/>
      <c r="GUR192" s="331"/>
      <c r="GUS192" s="308"/>
      <c r="GUT192" s="301"/>
      <c r="GUU192" s="301"/>
      <c r="GUV192" s="302"/>
      <c r="GUW192" s="309"/>
      <c r="GUX192" s="329"/>
      <c r="GUY192" s="311"/>
      <c r="GUZ192" s="312"/>
      <c r="GVA192" s="326"/>
      <c r="GVB192" s="332"/>
      <c r="GVC192" s="321"/>
      <c r="GVD192" s="321"/>
      <c r="GVE192" s="331"/>
      <c r="GVF192" s="308"/>
      <c r="GVG192" s="301"/>
      <c r="GVH192" s="301"/>
      <c r="GVI192" s="302"/>
      <c r="GVJ192" s="309"/>
      <c r="GVK192" s="329"/>
      <c r="GVL192" s="311"/>
      <c r="GVM192" s="312"/>
      <c r="GVN192" s="326"/>
      <c r="GVO192" s="332"/>
      <c r="GVP192" s="321"/>
      <c r="GVQ192" s="321"/>
      <c r="GVR192" s="331"/>
      <c r="GVS192" s="308"/>
      <c r="GVT192" s="301"/>
      <c r="GVU192" s="301"/>
      <c r="GVV192" s="302"/>
      <c r="GVW192" s="309"/>
      <c r="GVX192" s="329"/>
      <c r="GVY192" s="311"/>
      <c r="GVZ192" s="312"/>
      <c r="GWA192" s="326"/>
      <c r="GWB192" s="332"/>
      <c r="GWC192" s="321"/>
      <c r="GWD192" s="321"/>
      <c r="GWE192" s="331"/>
      <c r="GWF192" s="308"/>
      <c r="GWG192" s="301"/>
      <c r="GWH192" s="301"/>
      <c r="GWI192" s="302"/>
      <c r="GWJ192" s="309"/>
      <c r="GWK192" s="329"/>
      <c r="GWL192" s="311"/>
      <c r="GWM192" s="312"/>
      <c r="GWN192" s="326"/>
      <c r="GWO192" s="332"/>
      <c r="GWP192" s="321"/>
      <c r="GWQ192" s="321"/>
      <c r="GWR192" s="331"/>
      <c r="GWS192" s="308"/>
      <c r="GWT192" s="301"/>
      <c r="GWU192" s="301"/>
      <c r="GWV192" s="302"/>
      <c r="GWW192" s="309"/>
      <c r="GWX192" s="329"/>
      <c r="GWY192" s="311"/>
      <c r="GWZ192" s="312"/>
      <c r="GXA192" s="326"/>
      <c r="GXB192" s="332"/>
      <c r="GXC192" s="321"/>
      <c r="GXD192" s="321"/>
      <c r="GXE192" s="331"/>
      <c r="GXF192" s="308"/>
      <c r="GXG192" s="301"/>
      <c r="GXH192" s="301"/>
      <c r="GXI192" s="302"/>
      <c r="GXJ192" s="309"/>
      <c r="GXK192" s="329"/>
      <c r="GXL192" s="311"/>
      <c r="GXM192" s="312"/>
      <c r="GXN192" s="326"/>
      <c r="GXO192" s="332"/>
      <c r="GXP192" s="321"/>
      <c r="GXQ192" s="321"/>
      <c r="GXR192" s="331"/>
      <c r="GXS192" s="308"/>
      <c r="GXT192" s="301"/>
      <c r="GXU192" s="301"/>
      <c r="GXV192" s="302"/>
      <c r="GXW192" s="309"/>
      <c r="GXX192" s="329"/>
      <c r="GXY192" s="311"/>
      <c r="GXZ192" s="312"/>
      <c r="GYA192" s="326"/>
      <c r="GYB192" s="332"/>
      <c r="GYC192" s="321"/>
      <c r="GYD192" s="321"/>
      <c r="GYE192" s="331"/>
      <c r="GYF192" s="308"/>
      <c r="GYG192" s="301"/>
      <c r="GYH192" s="301"/>
      <c r="GYI192" s="302"/>
      <c r="GYJ192" s="309"/>
      <c r="GYK192" s="329"/>
      <c r="GYL192" s="311"/>
      <c r="GYM192" s="312"/>
      <c r="GYN192" s="326"/>
      <c r="GYO192" s="332"/>
      <c r="GYP192" s="321"/>
      <c r="GYQ192" s="321"/>
      <c r="GYR192" s="331"/>
      <c r="GYS192" s="308"/>
      <c r="GYT192" s="301"/>
      <c r="GYU192" s="301"/>
      <c r="GYV192" s="302"/>
      <c r="GYW192" s="309"/>
      <c r="GYX192" s="329"/>
      <c r="GYY192" s="311"/>
      <c r="GYZ192" s="312"/>
      <c r="GZA192" s="326"/>
      <c r="GZB192" s="332"/>
      <c r="GZC192" s="321"/>
      <c r="GZD192" s="321"/>
      <c r="GZE192" s="331"/>
      <c r="GZF192" s="308"/>
      <c r="GZG192" s="301"/>
      <c r="GZH192" s="301"/>
      <c r="GZI192" s="302"/>
      <c r="GZJ192" s="309"/>
      <c r="GZK192" s="329"/>
      <c r="GZL192" s="311"/>
      <c r="GZM192" s="312"/>
      <c r="GZN192" s="326"/>
      <c r="GZO192" s="332"/>
      <c r="GZP192" s="321"/>
      <c r="GZQ192" s="321"/>
      <c r="GZR192" s="331"/>
      <c r="GZS192" s="308"/>
      <c r="GZT192" s="301"/>
      <c r="GZU192" s="301"/>
      <c r="GZV192" s="302"/>
      <c r="GZW192" s="309"/>
      <c r="GZX192" s="329"/>
      <c r="GZY192" s="311"/>
      <c r="GZZ192" s="312"/>
      <c r="HAA192" s="326"/>
      <c r="HAB192" s="332"/>
      <c r="HAC192" s="321"/>
      <c r="HAD192" s="321"/>
      <c r="HAE192" s="331"/>
      <c r="HAF192" s="308"/>
      <c r="HAG192" s="301"/>
      <c r="HAH192" s="301"/>
      <c r="HAI192" s="302"/>
      <c r="HAJ192" s="309"/>
      <c r="HAK192" s="329"/>
      <c r="HAL192" s="311"/>
      <c r="HAM192" s="312"/>
      <c r="HAN192" s="326"/>
      <c r="HAO192" s="332"/>
      <c r="HAP192" s="321"/>
      <c r="HAQ192" s="321"/>
      <c r="HAR192" s="331"/>
      <c r="HAS192" s="308"/>
      <c r="HAT192" s="301"/>
      <c r="HAU192" s="301"/>
      <c r="HAV192" s="302"/>
      <c r="HAW192" s="309"/>
      <c r="HAX192" s="329"/>
      <c r="HAY192" s="311"/>
      <c r="HAZ192" s="312"/>
      <c r="HBA192" s="326"/>
      <c r="HBB192" s="332"/>
      <c r="HBC192" s="321"/>
      <c r="HBD192" s="321"/>
      <c r="HBE192" s="331"/>
      <c r="HBF192" s="308"/>
      <c r="HBG192" s="301"/>
      <c r="HBH192" s="301"/>
      <c r="HBI192" s="302"/>
      <c r="HBJ192" s="309"/>
      <c r="HBK192" s="329"/>
      <c r="HBL192" s="311"/>
      <c r="HBM192" s="312"/>
      <c r="HBN192" s="326"/>
      <c r="HBO192" s="332"/>
      <c r="HBP192" s="321"/>
      <c r="HBQ192" s="321"/>
      <c r="HBR192" s="331"/>
      <c r="HBS192" s="308"/>
      <c r="HBT192" s="301"/>
      <c r="HBU192" s="301"/>
      <c r="HBV192" s="302"/>
      <c r="HBW192" s="309"/>
      <c r="HBX192" s="329"/>
      <c r="HBY192" s="311"/>
      <c r="HBZ192" s="312"/>
      <c r="HCA192" s="326"/>
      <c r="HCB192" s="332"/>
      <c r="HCC192" s="321"/>
      <c r="HCD192" s="321"/>
      <c r="HCE192" s="331"/>
      <c r="HCF192" s="308"/>
      <c r="HCG192" s="301"/>
      <c r="HCH192" s="301"/>
      <c r="HCI192" s="302"/>
      <c r="HCJ192" s="309"/>
      <c r="HCK192" s="329"/>
      <c r="HCL192" s="311"/>
      <c r="HCM192" s="312"/>
      <c r="HCN192" s="326"/>
      <c r="HCO192" s="332"/>
      <c r="HCP192" s="321"/>
      <c r="HCQ192" s="321"/>
      <c r="HCR192" s="331"/>
      <c r="HCS192" s="308"/>
      <c r="HCT192" s="301"/>
      <c r="HCU192" s="301"/>
      <c r="HCV192" s="302"/>
      <c r="HCW192" s="309"/>
      <c r="HCX192" s="329"/>
      <c r="HCY192" s="311"/>
      <c r="HCZ192" s="312"/>
      <c r="HDA192" s="326"/>
      <c r="HDB192" s="332"/>
      <c r="HDC192" s="321"/>
      <c r="HDD192" s="321"/>
      <c r="HDE192" s="331"/>
      <c r="HDF192" s="308"/>
      <c r="HDG192" s="301"/>
      <c r="HDH192" s="301"/>
      <c r="HDI192" s="302"/>
      <c r="HDJ192" s="309"/>
      <c r="HDK192" s="329"/>
      <c r="HDL192" s="311"/>
      <c r="HDM192" s="312"/>
      <c r="HDN192" s="326"/>
      <c r="HDO192" s="332"/>
      <c r="HDP192" s="321"/>
      <c r="HDQ192" s="321"/>
      <c r="HDR192" s="331"/>
      <c r="HDS192" s="308"/>
      <c r="HDT192" s="301"/>
      <c r="HDU192" s="301"/>
      <c r="HDV192" s="302"/>
      <c r="HDW192" s="309"/>
      <c r="HDX192" s="329"/>
      <c r="HDY192" s="311"/>
      <c r="HDZ192" s="312"/>
      <c r="HEA192" s="326"/>
      <c r="HEB192" s="332"/>
      <c r="HEC192" s="321"/>
      <c r="HED192" s="321"/>
      <c r="HEE192" s="331"/>
      <c r="HEF192" s="308"/>
      <c r="HEG192" s="301"/>
      <c r="HEH192" s="301"/>
      <c r="HEI192" s="302"/>
      <c r="HEJ192" s="309"/>
      <c r="HEK192" s="329"/>
      <c r="HEL192" s="311"/>
      <c r="HEM192" s="312"/>
      <c r="HEN192" s="326"/>
      <c r="HEO192" s="332"/>
      <c r="HEP192" s="321"/>
      <c r="HEQ192" s="321"/>
      <c r="HER192" s="331"/>
      <c r="HES192" s="308"/>
      <c r="HET192" s="301"/>
      <c r="HEU192" s="301"/>
      <c r="HEV192" s="302"/>
      <c r="HEW192" s="309"/>
      <c r="HEX192" s="329"/>
      <c r="HEY192" s="311"/>
      <c r="HEZ192" s="312"/>
      <c r="HFA192" s="326"/>
      <c r="HFB192" s="332"/>
      <c r="HFC192" s="321"/>
      <c r="HFD192" s="321"/>
      <c r="HFE192" s="331"/>
      <c r="HFF192" s="308"/>
      <c r="HFG192" s="301"/>
      <c r="HFH192" s="301"/>
      <c r="HFI192" s="302"/>
      <c r="HFJ192" s="309"/>
      <c r="HFK192" s="329"/>
      <c r="HFL192" s="311"/>
      <c r="HFM192" s="312"/>
      <c r="HFN192" s="326"/>
      <c r="HFO192" s="332"/>
      <c r="HFP192" s="321"/>
      <c r="HFQ192" s="321"/>
      <c r="HFR192" s="331"/>
      <c r="HFS192" s="308"/>
      <c r="HFT192" s="301"/>
      <c r="HFU192" s="301"/>
      <c r="HFV192" s="302"/>
      <c r="HFW192" s="309"/>
      <c r="HFX192" s="329"/>
      <c r="HFY192" s="311"/>
      <c r="HFZ192" s="312"/>
      <c r="HGA192" s="326"/>
      <c r="HGB192" s="332"/>
      <c r="HGC192" s="321"/>
      <c r="HGD192" s="321"/>
      <c r="HGE192" s="331"/>
      <c r="HGF192" s="308"/>
      <c r="HGG192" s="301"/>
      <c r="HGH192" s="301"/>
      <c r="HGI192" s="302"/>
      <c r="HGJ192" s="309"/>
      <c r="HGK192" s="329"/>
      <c r="HGL192" s="311"/>
      <c r="HGM192" s="312"/>
      <c r="HGN192" s="326"/>
      <c r="HGO192" s="332"/>
      <c r="HGP192" s="321"/>
      <c r="HGQ192" s="321"/>
      <c r="HGR192" s="331"/>
      <c r="HGS192" s="308"/>
      <c r="HGT192" s="301"/>
      <c r="HGU192" s="301"/>
      <c r="HGV192" s="302"/>
      <c r="HGW192" s="309"/>
      <c r="HGX192" s="329"/>
      <c r="HGY192" s="311"/>
      <c r="HGZ192" s="312"/>
      <c r="HHA192" s="326"/>
      <c r="HHB192" s="332"/>
      <c r="HHC192" s="321"/>
      <c r="HHD192" s="321"/>
      <c r="HHE192" s="331"/>
      <c r="HHF192" s="308"/>
      <c r="HHG192" s="301"/>
      <c r="HHH192" s="301"/>
      <c r="HHI192" s="302"/>
      <c r="HHJ192" s="309"/>
      <c r="HHK192" s="329"/>
      <c r="HHL192" s="311"/>
      <c r="HHM192" s="312"/>
      <c r="HHN192" s="326"/>
      <c r="HHO192" s="332"/>
      <c r="HHP192" s="321"/>
      <c r="HHQ192" s="321"/>
      <c r="HHR192" s="331"/>
      <c r="HHS192" s="308"/>
      <c r="HHT192" s="301"/>
      <c r="HHU192" s="301"/>
      <c r="HHV192" s="302"/>
      <c r="HHW192" s="309"/>
      <c r="HHX192" s="329"/>
      <c r="HHY192" s="311"/>
      <c r="HHZ192" s="312"/>
      <c r="HIA192" s="326"/>
      <c r="HIB192" s="332"/>
      <c r="HIC192" s="321"/>
      <c r="HID192" s="321"/>
      <c r="HIE192" s="331"/>
      <c r="HIF192" s="308"/>
      <c r="HIG192" s="301"/>
      <c r="HIH192" s="301"/>
      <c r="HII192" s="302"/>
      <c r="HIJ192" s="309"/>
      <c r="HIK192" s="329"/>
      <c r="HIL192" s="311"/>
      <c r="HIM192" s="312"/>
      <c r="HIN192" s="326"/>
      <c r="HIO192" s="332"/>
      <c r="HIP192" s="321"/>
      <c r="HIQ192" s="321"/>
      <c r="HIR192" s="331"/>
      <c r="HIS192" s="308"/>
      <c r="HIT192" s="301"/>
      <c r="HIU192" s="301"/>
      <c r="HIV192" s="302"/>
      <c r="HIW192" s="309"/>
      <c r="HIX192" s="329"/>
      <c r="HIY192" s="311"/>
      <c r="HIZ192" s="312"/>
      <c r="HJA192" s="326"/>
      <c r="HJB192" s="332"/>
      <c r="HJC192" s="321"/>
      <c r="HJD192" s="321"/>
      <c r="HJE192" s="331"/>
      <c r="HJF192" s="308"/>
      <c r="HJG192" s="301"/>
      <c r="HJH192" s="301"/>
      <c r="HJI192" s="302"/>
      <c r="HJJ192" s="309"/>
      <c r="HJK192" s="329"/>
      <c r="HJL192" s="311"/>
      <c r="HJM192" s="312"/>
      <c r="HJN192" s="326"/>
      <c r="HJO192" s="332"/>
      <c r="HJP192" s="321"/>
      <c r="HJQ192" s="321"/>
      <c r="HJR192" s="331"/>
      <c r="HJS192" s="308"/>
      <c r="HJT192" s="301"/>
      <c r="HJU192" s="301"/>
      <c r="HJV192" s="302"/>
      <c r="HJW192" s="309"/>
      <c r="HJX192" s="329"/>
      <c r="HJY192" s="311"/>
      <c r="HJZ192" s="312"/>
      <c r="HKA192" s="326"/>
      <c r="HKB192" s="332"/>
      <c r="HKC192" s="321"/>
      <c r="HKD192" s="321"/>
      <c r="HKE192" s="331"/>
      <c r="HKF192" s="308"/>
      <c r="HKG192" s="301"/>
      <c r="HKH192" s="301"/>
      <c r="HKI192" s="302"/>
      <c r="HKJ192" s="309"/>
      <c r="HKK192" s="329"/>
      <c r="HKL192" s="311"/>
      <c r="HKM192" s="312"/>
      <c r="HKN192" s="326"/>
      <c r="HKO192" s="332"/>
      <c r="HKP192" s="321"/>
      <c r="HKQ192" s="321"/>
      <c r="HKR192" s="331"/>
      <c r="HKS192" s="308"/>
      <c r="HKT192" s="301"/>
      <c r="HKU192" s="301"/>
      <c r="HKV192" s="302"/>
      <c r="HKW192" s="309"/>
      <c r="HKX192" s="329"/>
      <c r="HKY192" s="311"/>
      <c r="HKZ192" s="312"/>
      <c r="HLA192" s="326"/>
      <c r="HLB192" s="332"/>
      <c r="HLC192" s="321"/>
      <c r="HLD192" s="321"/>
      <c r="HLE192" s="331"/>
      <c r="HLF192" s="308"/>
      <c r="HLG192" s="301"/>
      <c r="HLH192" s="301"/>
      <c r="HLI192" s="302"/>
      <c r="HLJ192" s="309"/>
      <c r="HLK192" s="329"/>
      <c r="HLL192" s="311"/>
      <c r="HLM192" s="312"/>
      <c r="HLN192" s="326"/>
      <c r="HLO192" s="332"/>
      <c r="HLP192" s="321"/>
      <c r="HLQ192" s="321"/>
      <c r="HLR192" s="331"/>
      <c r="HLS192" s="308"/>
      <c r="HLT192" s="301"/>
      <c r="HLU192" s="301"/>
      <c r="HLV192" s="302"/>
      <c r="HLW192" s="309"/>
      <c r="HLX192" s="329"/>
      <c r="HLY192" s="311"/>
      <c r="HLZ192" s="312"/>
      <c r="HMA192" s="326"/>
      <c r="HMB192" s="332"/>
      <c r="HMC192" s="321"/>
      <c r="HMD192" s="321"/>
      <c r="HME192" s="331"/>
      <c r="HMF192" s="308"/>
      <c r="HMG192" s="301"/>
      <c r="HMH192" s="301"/>
      <c r="HMI192" s="302"/>
      <c r="HMJ192" s="309"/>
      <c r="HMK192" s="329"/>
      <c r="HML192" s="311"/>
      <c r="HMM192" s="312"/>
      <c r="HMN192" s="326"/>
      <c r="HMO192" s="332"/>
      <c r="HMP192" s="321"/>
      <c r="HMQ192" s="321"/>
      <c r="HMR192" s="331"/>
      <c r="HMS192" s="308"/>
      <c r="HMT192" s="301"/>
      <c r="HMU192" s="301"/>
      <c r="HMV192" s="302"/>
      <c r="HMW192" s="309"/>
      <c r="HMX192" s="329"/>
      <c r="HMY192" s="311"/>
      <c r="HMZ192" s="312"/>
      <c r="HNA192" s="326"/>
      <c r="HNB192" s="332"/>
      <c r="HNC192" s="321"/>
      <c r="HND192" s="321"/>
      <c r="HNE192" s="331"/>
      <c r="HNF192" s="308"/>
      <c r="HNG192" s="301"/>
      <c r="HNH192" s="301"/>
      <c r="HNI192" s="302"/>
      <c r="HNJ192" s="309"/>
      <c r="HNK192" s="329"/>
      <c r="HNL192" s="311"/>
      <c r="HNM192" s="312"/>
      <c r="HNN192" s="326"/>
      <c r="HNO192" s="332"/>
      <c r="HNP192" s="321"/>
      <c r="HNQ192" s="321"/>
      <c r="HNR192" s="331"/>
      <c r="HNS192" s="308"/>
      <c r="HNT192" s="301"/>
      <c r="HNU192" s="301"/>
      <c r="HNV192" s="302"/>
      <c r="HNW192" s="309"/>
      <c r="HNX192" s="329"/>
      <c r="HNY192" s="311"/>
      <c r="HNZ192" s="312"/>
      <c r="HOA192" s="326"/>
      <c r="HOB192" s="332"/>
      <c r="HOC192" s="321"/>
      <c r="HOD192" s="321"/>
      <c r="HOE192" s="331"/>
      <c r="HOF192" s="308"/>
      <c r="HOG192" s="301"/>
      <c r="HOH192" s="301"/>
      <c r="HOI192" s="302"/>
      <c r="HOJ192" s="309"/>
      <c r="HOK192" s="329"/>
      <c r="HOL192" s="311"/>
      <c r="HOM192" s="312"/>
      <c r="HON192" s="326"/>
      <c r="HOO192" s="332"/>
      <c r="HOP192" s="321"/>
      <c r="HOQ192" s="321"/>
      <c r="HOR192" s="331"/>
      <c r="HOS192" s="308"/>
      <c r="HOT192" s="301"/>
      <c r="HOU192" s="301"/>
      <c r="HOV192" s="302"/>
      <c r="HOW192" s="309"/>
      <c r="HOX192" s="329"/>
      <c r="HOY192" s="311"/>
      <c r="HOZ192" s="312"/>
      <c r="HPA192" s="326"/>
      <c r="HPB192" s="332"/>
      <c r="HPC192" s="321"/>
      <c r="HPD192" s="321"/>
      <c r="HPE192" s="331"/>
      <c r="HPF192" s="308"/>
      <c r="HPG192" s="301"/>
      <c r="HPH192" s="301"/>
      <c r="HPI192" s="302"/>
      <c r="HPJ192" s="309"/>
      <c r="HPK192" s="329"/>
      <c r="HPL192" s="311"/>
      <c r="HPM192" s="312"/>
      <c r="HPN192" s="326"/>
      <c r="HPO192" s="332"/>
      <c r="HPP192" s="321"/>
      <c r="HPQ192" s="321"/>
      <c r="HPR192" s="331"/>
      <c r="HPS192" s="308"/>
      <c r="HPT192" s="301"/>
      <c r="HPU192" s="301"/>
      <c r="HPV192" s="302"/>
      <c r="HPW192" s="309"/>
      <c r="HPX192" s="329"/>
      <c r="HPY192" s="311"/>
      <c r="HPZ192" s="312"/>
      <c r="HQA192" s="326"/>
      <c r="HQB192" s="332"/>
      <c r="HQC192" s="321"/>
      <c r="HQD192" s="321"/>
      <c r="HQE192" s="331"/>
      <c r="HQF192" s="308"/>
      <c r="HQG192" s="301"/>
      <c r="HQH192" s="301"/>
      <c r="HQI192" s="302"/>
      <c r="HQJ192" s="309"/>
      <c r="HQK192" s="329"/>
      <c r="HQL192" s="311"/>
      <c r="HQM192" s="312"/>
      <c r="HQN192" s="326"/>
      <c r="HQO192" s="332"/>
      <c r="HQP192" s="321"/>
      <c r="HQQ192" s="321"/>
      <c r="HQR192" s="331"/>
      <c r="HQS192" s="308"/>
      <c r="HQT192" s="301"/>
      <c r="HQU192" s="301"/>
      <c r="HQV192" s="302"/>
      <c r="HQW192" s="309"/>
      <c r="HQX192" s="329"/>
      <c r="HQY192" s="311"/>
      <c r="HQZ192" s="312"/>
      <c r="HRA192" s="326"/>
      <c r="HRB192" s="332"/>
      <c r="HRC192" s="321"/>
      <c r="HRD192" s="321"/>
      <c r="HRE192" s="331"/>
      <c r="HRF192" s="308"/>
      <c r="HRG192" s="301"/>
      <c r="HRH192" s="301"/>
      <c r="HRI192" s="302"/>
      <c r="HRJ192" s="309"/>
      <c r="HRK192" s="329"/>
      <c r="HRL192" s="311"/>
      <c r="HRM192" s="312"/>
      <c r="HRN192" s="326"/>
      <c r="HRO192" s="332"/>
      <c r="HRP192" s="321"/>
      <c r="HRQ192" s="321"/>
      <c r="HRR192" s="331"/>
      <c r="HRS192" s="308"/>
      <c r="HRT192" s="301"/>
      <c r="HRU192" s="301"/>
      <c r="HRV192" s="302"/>
      <c r="HRW192" s="309"/>
      <c r="HRX192" s="329"/>
      <c r="HRY192" s="311"/>
      <c r="HRZ192" s="312"/>
      <c r="HSA192" s="326"/>
      <c r="HSB192" s="332"/>
      <c r="HSC192" s="321"/>
      <c r="HSD192" s="321"/>
      <c r="HSE192" s="331"/>
      <c r="HSF192" s="308"/>
      <c r="HSG192" s="301"/>
      <c r="HSH192" s="301"/>
      <c r="HSI192" s="302"/>
      <c r="HSJ192" s="309"/>
      <c r="HSK192" s="329"/>
      <c r="HSL192" s="311"/>
      <c r="HSM192" s="312"/>
      <c r="HSN192" s="326"/>
      <c r="HSO192" s="332"/>
      <c r="HSP192" s="321"/>
      <c r="HSQ192" s="321"/>
      <c r="HSR192" s="331"/>
      <c r="HSS192" s="308"/>
      <c r="HST192" s="301"/>
      <c r="HSU192" s="301"/>
      <c r="HSV192" s="302"/>
      <c r="HSW192" s="309"/>
      <c r="HSX192" s="329"/>
      <c r="HSY192" s="311"/>
      <c r="HSZ192" s="312"/>
      <c r="HTA192" s="326"/>
      <c r="HTB192" s="332"/>
      <c r="HTC192" s="321"/>
      <c r="HTD192" s="321"/>
      <c r="HTE192" s="331"/>
      <c r="HTF192" s="308"/>
      <c r="HTG192" s="301"/>
      <c r="HTH192" s="301"/>
      <c r="HTI192" s="302"/>
      <c r="HTJ192" s="309"/>
      <c r="HTK192" s="329"/>
      <c r="HTL192" s="311"/>
      <c r="HTM192" s="312"/>
      <c r="HTN192" s="326"/>
      <c r="HTO192" s="332"/>
      <c r="HTP192" s="321"/>
      <c r="HTQ192" s="321"/>
      <c r="HTR192" s="331"/>
      <c r="HTS192" s="308"/>
      <c r="HTT192" s="301"/>
      <c r="HTU192" s="301"/>
      <c r="HTV192" s="302"/>
      <c r="HTW192" s="309"/>
      <c r="HTX192" s="329"/>
      <c r="HTY192" s="311"/>
      <c r="HTZ192" s="312"/>
      <c r="HUA192" s="326"/>
      <c r="HUB192" s="332"/>
      <c r="HUC192" s="321"/>
      <c r="HUD192" s="321"/>
      <c r="HUE192" s="331"/>
      <c r="HUF192" s="308"/>
      <c r="HUG192" s="301"/>
      <c r="HUH192" s="301"/>
      <c r="HUI192" s="302"/>
      <c r="HUJ192" s="309"/>
      <c r="HUK192" s="329"/>
      <c r="HUL192" s="311"/>
      <c r="HUM192" s="312"/>
      <c r="HUN192" s="326"/>
      <c r="HUO192" s="332"/>
      <c r="HUP192" s="321"/>
      <c r="HUQ192" s="321"/>
      <c r="HUR192" s="331"/>
      <c r="HUS192" s="308"/>
      <c r="HUT192" s="301"/>
      <c r="HUU192" s="301"/>
      <c r="HUV192" s="302"/>
      <c r="HUW192" s="309"/>
      <c r="HUX192" s="329"/>
      <c r="HUY192" s="311"/>
      <c r="HUZ192" s="312"/>
      <c r="HVA192" s="326"/>
      <c r="HVB192" s="332"/>
      <c r="HVC192" s="321"/>
      <c r="HVD192" s="321"/>
      <c r="HVE192" s="331"/>
      <c r="HVF192" s="308"/>
      <c r="HVG192" s="301"/>
      <c r="HVH192" s="301"/>
      <c r="HVI192" s="302"/>
      <c r="HVJ192" s="309"/>
      <c r="HVK192" s="329"/>
      <c r="HVL192" s="311"/>
      <c r="HVM192" s="312"/>
      <c r="HVN192" s="326"/>
      <c r="HVO192" s="332"/>
      <c r="HVP192" s="321"/>
      <c r="HVQ192" s="321"/>
      <c r="HVR192" s="331"/>
      <c r="HVS192" s="308"/>
      <c r="HVT192" s="301"/>
      <c r="HVU192" s="301"/>
      <c r="HVV192" s="302"/>
      <c r="HVW192" s="309"/>
      <c r="HVX192" s="329"/>
      <c r="HVY192" s="311"/>
      <c r="HVZ192" s="312"/>
      <c r="HWA192" s="326"/>
      <c r="HWB192" s="332"/>
      <c r="HWC192" s="321"/>
      <c r="HWD192" s="321"/>
      <c r="HWE192" s="331"/>
      <c r="HWF192" s="308"/>
      <c r="HWG192" s="301"/>
      <c r="HWH192" s="301"/>
      <c r="HWI192" s="302"/>
      <c r="HWJ192" s="309"/>
      <c r="HWK192" s="329"/>
      <c r="HWL192" s="311"/>
      <c r="HWM192" s="312"/>
      <c r="HWN192" s="326"/>
      <c r="HWO192" s="332"/>
      <c r="HWP192" s="321"/>
      <c r="HWQ192" s="321"/>
      <c r="HWR192" s="331"/>
      <c r="HWS192" s="308"/>
      <c r="HWT192" s="301"/>
      <c r="HWU192" s="301"/>
      <c r="HWV192" s="302"/>
      <c r="HWW192" s="309"/>
      <c r="HWX192" s="329"/>
      <c r="HWY192" s="311"/>
      <c r="HWZ192" s="312"/>
      <c r="HXA192" s="326"/>
      <c r="HXB192" s="332"/>
      <c r="HXC192" s="321"/>
      <c r="HXD192" s="321"/>
      <c r="HXE192" s="331"/>
      <c r="HXF192" s="308"/>
      <c r="HXG192" s="301"/>
      <c r="HXH192" s="301"/>
      <c r="HXI192" s="302"/>
      <c r="HXJ192" s="309"/>
      <c r="HXK192" s="329"/>
      <c r="HXL192" s="311"/>
      <c r="HXM192" s="312"/>
      <c r="HXN192" s="326"/>
      <c r="HXO192" s="332"/>
      <c r="HXP192" s="321"/>
      <c r="HXQ192" s="321"/>
      <c r="HXR192" s="331"/>
      <c r="HXS192" s="308"/>
      <c r="HXT192" s="301"/>
      <c r="HXU192" s="301"/>
      <c r="HXV192" s="302"/>
      <c r="HXW192" s="309"/>
      <c r="HXX192" s="329"/>
      <c r="HXY192" s="311"/>
      <c r="HXZ192" s="312"/>
      <c r="HYA192" s="326"/>
      <c r="HYB192" s="332"/>
      <c r="HYC192" s="321"/>
      <c r="HYD192" s="321"/>
      <c r="HYE192" s="331"/>
      <c r="HYF192" s="308"/>
      <c r="HYG192" s="301"/>
      <c r="HYH192" s="301"/>
      <c r="HYI192" s="302"/>
      <c r="HYJ192" s="309"/>
      <c r="HYK192" s="329"/>
      <c r="HYL192" s="311"/>
      <c r="HYM192" s="312"/>
      <c r="HYN192" s="326"/>
      <c r="HYO192" s="332"/>
      <c r="HYP192" s="321"/>
      <c r="HYQ192" s="321"/>
      <c r="HYR192" s="331"/>
      <c r="HYS192" s="308"/>
      <c r="HYT192" s="301"/>
      <c r="HYU192" s="301"/>
      <c r="HYV192" s="302"/>
      <c r="HYW192" s="309"/>
      <c r="HYX192" s="329"/>
      <c r="HYY192" s="311"/>
      <c r="HYZ192" s="312"/>
      <c r="HZA192" s="326"/>
      <c r="HZB192" s="332"/>
      <c r="HZC192" s="321"/>
      <c r="HZD192" s="321"/>
      <c r="HZE192" s="331"/>
      <c r="HZF192" s="308"/>
      <c r="HZG192" s="301"/>
      <c r="HZH192" s="301"/>
      <c r="HZI192" s="302"/>
      <c r="HZJ192" s="309"/>
      <c r="HZK192" s="329"/>
      <c r="HZL192" s="311"/>
      <c r="HZM192" s="312"/>
      <c r="HZN192" s="326"/>
      <c r="HZO192" s="332"/>
      <c r="HZP192" s="321"/>
      <c r="HZQ192" s="321"/>
      <c r="HZR192" s="331"/>
      <c r="HZS192" s="308"/>
      <c r="HZT192" s="301"/>
      <c r="HZU192" s="301"/>
      <c r="HZV192" s="302"/>
      <c r="HZW192" s="309"/>
      <c r="HZX192" s="329"/>
      <c r="HZY192" s="311"/>
      <c r="HZZ192" s="312"/>
      <c r="IAA192" s="326"/>
      <c r="IAB192" s="332"/>
      <c r="IAC192" s="321"/>
      <c r="IAD192" s="321"/>
      <c r="IAE192" s="331"/>
      <c r="IAF192" s="308"/>
      <c r="IAG192" s="301"/>
      <c r="IAH192" s="301"/>
      <c r="IAI192" s="302"/>
      <c r="IAJ192" s="309"/>
      <c r="IAK192" s="329"/>
      <c r="IAL192" s="311"/>
      <c r="IAM192" s="312"/>
      <c r="IAN192" s="326"/>
      <c r="IAO192" s="332"/>
      <c r="IAP192" s="321"/>
      <c r="IAQ192" s="321"/>
      <c r="IAR192" s="331"/>
      <c r="IAS192" s="308"/>
      <c r="IAT192" s="301"/>
      <c r="IAU192" s="301"/>
      <c r="IAV192" s="302"/>
      <c r="IAW192" s="309"/>
      <c r="IAX192" s="329"/>
      <c r="IAY192" s="311"/>
      <c r="IAZ192" s="312"/>
      <c r="IBA192" s="326"/>
      <c r="IBB192" s="332"/>
      <c r="IBC192" s="321"/>
      <c r="IBD192" s="321"/>
      <c r="IBE192" s="331"/>
      <c r="IBF192" s="308"/>
      <c r="IBG192" s="301"/>
      <c r="IBH192" s="301"/>
      <c r="IBI192" s="302"/>
      <c r="IBJ192" s="309"/>
      <c r="IBK192" s="329"/>
      <c r="IBL192" s="311"/>
      <c r="IBM192" s="312"/>
      <c r="IBN192" s="326"/>
      <c r="IBO192" s="332"/>
      <c r="IBP192" s="321"/>
      <c r="IBQ192" s="321"/>
      <c r="IBR192" s="331"/>
      <c r="IBS192" s="308"/>
      <c r="IBT192" s="301"/>
      <c r="IBU192" s="301"/>
      <c r="IBV192" s="302"/>
      <c r="IBW192" s="309"/>
      <c r="IBX192" s="329"/>
      <c r="IBY192" s="311"/>
      <c r="IBZ192" s="312"/>
      <c r="ICA192" s="326"/>
      <c r="ICB192" s="332"/>
      <c r="ICC192" s="321"/>
      <c r="ICD192" s="321"/>
      <c r="ICE192" s="331"/>
      <c r="ICF192" s="308"/>
      <c r="ICG192" s="301"/>
      <c r="ICH192" s="301"/>
      <c r="ICI192" s="302"/>
      <c r="ICJ192" s="309"/>
      <c r="ICK192" s="329"/>
      <c r="ICL192" s="311"/>
      <c r="ICM192" s="312"/>
      <c r="ICN192" s="326"/>
      <c r="ICO192" s="332"/>
      <c r="ICP192" s="321"/>
      <c r="ICQ192" s="321"/>
      <c r="ICR192" s="331"/>
      <c r="ICS192" s="308"/>
      <c r="ICT192" s="301"/>
      <c r="ICU192" s="301"/>
      <c r="ICV192" s="302"/>
      <c r="ICW192" s="309"/>
      <c r="ICX192" s="329"/>
      <c r="ICY192" s="311"/>
      <c r="ICZ192" s="312"/>
      <c r="IDA192" s="326"/>
      <c r="IDB192" s="332"/>
      <c r="IDC192" s="321"/>
      <c r="IDD192" s="321"/>
      <c r="IDE192" s="331"/>
      <c r="IDF192" s="308"/>
      <c r="IDG192" s="301"/>
      <c r="IDH192" s="301"/>
      <c r="IDI192" s="302"/>
      <c r="IDJ192" s="309"/>
      <c r="IDK192" s="329"/>
      <c r="IDL192" s="311"/>
      <c r="IDM192" s="312"/>
      <c r="IDN192" s="326"/>
      <c r="IDO192" s="332"/>
      <c r="IDP192" s="321"/>
      <c r="IDQ192" s="321"/>
      <c r="IDR192" s="331"/>
      <c r="IDS192" s="308"/>
      <c r="IDT192" s="301"/>
      <c r="IDU192" s="301"/>
      <c r="IDV192" s="302"/>
      <c r="IDW192" s="309"/>
      <c r="IDX192" s="329"/>
      <c r="IDY192" s="311"/>
      <c r="IDZ192" s="312"/>
      <c r="IEA192" s="326"/>
      <c r="IEB192" s="332"/>
      <c r="IEC192" s="321"/>
      <c r="IED192" s="321"/>
      <c r="IEE192" s="331"/>
      <c r="IEF192" s="308"/>
      <c r="IEG192" s="301"/>
      <c r="IEH192" s="301"/>
      <c r="IEI192" s="302"/>
      <c r="IEJ192" s="309"/>
      <c r="IEK192" s="329"/>
      <c r="IEL192" s="311"/>
      <c r="IEM192" s="312"/>
      <c r="IEN192" s="326"/>
      <c r="IEO192" s="332"/>
      <c r="IEP192" s="321"/>
      <c r="IEQ192" s="321"/>
      <c r="IER192" s="331"/>
      <c r="IES192" s="308"/>
      <c r="IET192" s="301"/>
      <c r="IEU192" s="301"/>
      <c r="IEV192" s="302"/>
      <c r="IEW192" s="309"/>
      <c r="IEX192" s="329"/>
      <c r="IEY192" s="311"/>
      <c r="IEZ192" s="312"/>
      <c r="IFA192" s="326"/>
      <c r="IFB192" s="332"/>
      <c r="IFC192" s="321"/>
      <c r="IFD192" s="321"/>
      <c r="IFE192" s="331"/>
      <c r="IFF192" s="308"/>
      <c r="IFG192" s="301"/>
      <c r="IFH192" s="301"/>
      <c r="IFI192" s="302"/>
      <c r="IFJ192" s="309"/>
      <c r="IFK192" s="329"/>
      <c r="IFL192" s="311"/>
      <c r="IFM192" s="312"/>
      <c r="IFN192" s="326"/>
      <c r="IFO192" s="332"/>
      <c r="IFP192" s="321"/>
      <c r="IFQ192" s="321"/>
      <c r="IFR192" s="331"/>
      <c r="IFS192" s="308"/>
      <c r="IFT192" s="301"/>
      <c r="IFU192" s="301"/>
      <c r="IFV192" s="302"/>
      <c r="IFW192" s="309"/>
      <c r="IFX192" s="329"/>
      <c r="IFY192" s="311"/>
      <c r="IFZ192" s="312"/>
      <c r="IGA192" s="326"/>
      <c r="IGB192" s="332"/>
      <c r="IGC192" s="321"/>
      <c r="IGD192" s="321"/>
      <c r="IGE192" s="331"/>
      <c r="IGF192" s="308"/>
      <c r="IGG192" s="301"/>
      <c r="IGH192" s="301"/>
      <c r="IGI192" s="302"/>
      <c r="IGJ192" s="309"/>
      <c r="IGK192" s="329"/>
      <c r="IGL192" s="311"/>
      <c r="IGM192" s="312"/>
      <c r="IGN192" s="326"/>
      <c r="IGO192" s="332"/>
      <c r="IGP192" s="321"/>
      <c r="IGQ192" s="321"/>
      <c r="IGR192" s="331"/>
      <c r="IGS192" s="308"/>
      <c r="IGT192" s="301"/>
      <c r="IGU192" s="301"/>
      <c r="IGV192" s="302"/>
      <c r="IGW192" s="309"/>
      <c r="IGX192" s="329"/>
      <c r="IGY192" s="311"/>
      <c r="IGZ192" s="312"/>
      <c r="IHA192" s="326"/>
      <c r="IHB192" s="332"/>
      <c r="IHC192" s="321"/>
      <c r="IHD192" s="321"/>
      <c r="IHE192" s="331"/>
      <c r="IHF192" s="308"/>
      <c r="IHG192" s="301"/>
      <c r="IHH192" s="301"/>
      <c r="IHI192" s="302"/>
      <c r="IHJ192" s="309"/>
      <c r="IHK192" s="329"/>
      <c r="IHL192" s="311"/>
      <c r="IHM192" s="312"/>
      <c r="IHN192" s="326"/>
      <c r="IHO192" s="332"/>
      <c r="IHP192" s="321"/>
      <c r="IHQ192" s="321"/>
      <c r="IHR192" s="331"/>
      <c r="IHS192" s="308"/>
      <c r="IHT192" s="301"/>
      <c r="IHU192" s="301"/>
      <c r="IHV192" s="302"/>
      <c r="IHW192" s="309"/>
      <c r="IHX192" s="329"/>
      <c r="IHY192" s="311"/>
      <c r="IHZ192" s="312"/>
      <c r="IIA192" s="326"/>
      <c r="IIB192" s="332"/>
      <c r="IIC192" s="321"/>
      <c r="IID192" s="321"/>
      <c r="IIE192" s="331"/>
      <c r="IIF192" s="308"/>
      <c r="IIG192" s="301"/>
      <c r="IIH192" s="301"/>
      <c r="III192" s="302"/>
      <c r="IIJ192" s="309"/>
      <c r="IIK192" s="329"/>
      <c r="IIL192" s="311"/>
      <c r="IIM192" s="312"/>
      <c r="IIN192" s="326"/>
      <c r="IIO192" s="332"/>
      <c r="IIP192" s="321"/>
      <c r="IIQ192" s="321"/>
      <c r="IIR192" s="331"/>
      <c r="IIS192" s="308"/>
      <c r="IIT192" s="301"/>
      <c r="IIU192" s="301"/>
      <c r="IIV192" s="302"/>
      <c r="IIW192" s="309"/>
      <c r="IIX192" s="329"/>
      <c r="IIY192" s="311"/>
      <c r="IIZ192" s="312"/>
      <c r="IJA192" s="326"/>
      <c r="IJB192" s="332"/>
      <c r="IJC192" s="321"/>
      <c r="IJD192" s="321"/>
      <c r="IJE192" s="331"/>
      <c r="IJF192" s="308"/>
      <c r="IJG192" s="301"/>
      <c r="IJH192" s="301"/>
      <c r="IJI192" s="302"/>
      <c r="IJJ192" s="309"/>
      <c r="IJK192" s="329"/>
      <c r="IJL192" s="311"/>
      <c r="IJM192" s="312"/>
      <c r="IJN192" s="326"/>
      <c r="IJO192" s="332"/>
      <c r="IJP192" s="321"/>
      <c r="IJQ192" s="321"/>
      <c r="IJR192" s="331"/>
      <c r="IJS192" s="308"/>
      <c r="IJT192" s="301"/>
      <c r="IJU192" s="301"/>
      <c r="IJV192" s="302"/>
      <c r="IJW192" s="309"/>
      <c r="IJX192" s="329"/>
      <c r="IJY192" s="311"/>
      <c r="IJZ192" s="312"/>
      <c r="IKA192" s="326"/>
      <c r="IKB192" s="332"/>
      <c r="IKC192" s="321"/>
      <c r="IKD192" s="321"/>
      <c r="IKE192" s="331"/>
      <c r="IKF192" s="308"/>
      <c r="IKG192" s="301"/>
      <c r="IKH192" s="301"/>
      <c r="IKI192" s="302"/>
      <c r="IKJ192" s="309"/>
      <c r="IKK192" s="329"/>
      <c r="IKL192" s="311"/>
      <c r="IKM192" s="312"/>
      <c r="IKN192" s="326"/>
      <c r="IKO192" s="332"/>
      <c r="IKP192" s="321"/>
      <c r="IKQ192" s="321"/>
      <c r="IKR192" s="331"/>
      <c r="IKS192" s="308"/>
      <c r="IKT192" s="301"/>
      <c r="IKU192" s="301"/>
      <c r="IKV192" s="302"/>
      <c r="IKW192" s="309"/>
      <c r="IKX192" s="329"/>
      <c r="IKY192" s="311"/>
      <c r="IKZ192" s="312"/>
      <c r="ILA192" s="326"/>
      <c r="ILB192" s="332"/>
      <c r="ILC192" s="321"/>
      <c r="ILD192" s="321"/>
      <c r="ILE192" s="331"/>
      <c r="ILF192" s="308"/>
      <c r="ILG192" s="301"/>
      <c r="ILH192" s="301"/>
      <c r="ILI192" s="302"/>
      <c r="ILJ192" s="309"/>
      <c r="ILK192" s="329"/>
      <c r="ILL192" s="311"/>
      <c r="ILM192" s="312"/>
      <c r="ILN192" s="326"/>
      <c r="ILO192" s="332"/>
      <c r="ILP192" s="321"/>
      <c r="ILQ192" s="321"/>
      <c r="ILR192" s="331"/>
      <c r="ILS192" s="308"/>
      <c r="ILT192" s="301"/>
      <c r="ILU192" s="301"/>
      <c r="ILV192" s="302"/>
      <c r="ILW192" s="309"/>
      <c r="ILX192" s="329"/>
      <c r="ILY192" s="311"/>
      <c r="ILZ192" s="312"/>
      <c r="IMA192" s="326"/>
      <c r="IMB192" s="332"/>
      <c r="IMC192" s="321"/>
      <c r="IMD192" s="321"/>
      <c r="IME192" s="331"/>
      <c r="IMF192" s="308"/>
      <c r="IMG192" s="301"/>
      <c r="IMH192" s="301"/>
      <c r="IMI192" s="302"/>
      <c r="IMJ192" s="309"/>
      <c r="IMK192" s="329"/>
      <c r="IML192" s="311"/>
      <c r="IMM192" s="312"/>
      <c r="IMN192" s="326"/>
      <c r="IMO192" s="332"/>
      <c r="IMP192" s="321"/>
      <c r="IMQ192" s="321"/>
      <c r="IMR192" s="331"/>
      <c r="IMS192" s="308"/>
      <c r="IMT192" s="301"/>
      <c r="IMU192" s="301"/>
      <c r="IMV192" s="302"/>
      <c r="IMW192" s="309"/>
      <c r="IMX192" s="329"/>
      <c r="IMY192" s="311"/>
      <c r="IMZ192" s="312"/>
      <c r="INA192" s="326"/>
      <c r="INB192" s="332"/>
      <c r="INC192" s="321"/>
      <c r="IND192" s="321"/>
      <c r="INE192" s="331"/>
      <c r="INF192" s="308"/>
      <c r="ING192" s="301"/>
      <c r="INH192" s="301"/>
      <c r="INI192" s="302"/>
      <c r="INJ192" s="309"/>
      <c r="INK192" s="329"/>
      <c r="INL192" s="311"/>
      <c r="INM192" s="312"/>
      <c r="INN192" s="326"/>
      <c r="INO192" s="332"/>
      <c r="INP192" s="321"/>
      <c r="INQ192" s="321"/>
      <c r="INR192" s="331"/>
      <c r="INS192" s="308"/>
      <c r="INT192" s="301"/>
      <c r="INU192" s="301"/>
      <c r="INV192" s="302"/>
      <c r="INW192" s="309"/>
      <c r="INX192" s="329"/>
      <c r="INY192" s="311"/>
      <c r="INZ192" s="312"/>
      <c r="IOA192" s="326"/>
      <c r="IOB192" s="332"/>
      <c r="IOC192" s="321"/>
      <c r="IOD192" s="321"/>
      <c r="IOE192" s="331"/>
      <c r="IOF192" s="308"/>
      <c r="IOG192" s="301"/>
      <c r="IOH192" s="301"/>
      <c r="IOI192" s="302"/>
      <c r="IOJ192" s="309"/>
      <c r="IOK192" s="329"/>
      <c r="IOL192" s="311"/>
      <c r="IOM192" s="312"/>
      <c r="ION192" s="326"/>
      <c r="IOO192" s="332"/>
      <c r="IOP192" s="321"/>
      <c r="IOQ192" s="321"/>
      <c r="IOR192" s="331"/>
      <c r="IOS192" s="308"/>
      <c r="IOT192" s="301"/>
      <c r="IOU192" s="301"/>
      <c r="IOV192" s="302"/>
      <c r="IOW192" s="309"/>
      <c r="IOX192" s="329"/>
      <c r="IOY192" s="311"/>
      <c r="IOZ192" s="312"/>
      <c r="IPA192" s="326"/>
      <c r="IPB192" s="332"/>
      <c r="IPC192" s="321"/>
      <c r="IPD192" s="321"/>
      <c r="IPE192" s="331"/>
      <c r="IPF192" s="308"/>
      <c r="IPG192" s="301"/>
      <c r="IPH192" s="301"/>
      <c r="IPI192" s="302"/>
      <c r="IPJ192" s="309"/>
      <c r="IPK192" s="329"/>
      <c r="IPL192" s="311"/>
      <c r="IPM192" s="312"/>
      <c r="IPN192" s="326"/>
      <c r="IPO192" s="332"/>
      <c r="IPP192" s="321"/>
      <c r="IPQ192" s="321"/>
      <c r="IPR192" s="331"/>
      <c r="IPS192" s="308"/>
      <c r="IPT192" s="301"/>
      <c r="IPU192" s="301"/>
      <c r="IPV192" s="302"/>
      <c r="IPW192" s="309"/>
      <c r="IPX192" s="329"/>
      <c r="IPY192" s="311"/>
      <c r="IPZ192" s="312"/>
      <c r="IQA192" s="326"/>
      <c r="IQB192" s="332"/>
      <c r="IQC192" s="321"/>
      <c r="IQD192" s="321"/>
      <c r="IQE192" s="331"/>
      <c r="IQF192" s="308"/>
      <c r="IQG192" s="301"/>
      <c r="IQH192" s="301"/>
      <c r="IQI192" s="302"/>
      <c r="IQJ192" s="309"/>
      <c r="IQK192" s="329"/>
      <c r="IQL192" s="311"/>
      <c r="IQM192" s="312"/>
      <c r="IQN192" s="326"/>
      <c r="IQO192" s="332"/>
      <c r="IQP192" s="321"/>
      <c r="IQQ192" s="321"/>
      <c r="IQR192" s="331"/>
      <c r="IQS192" s="308"/>
      <c r="IQT192" s="301"/>
      <c r="IQU192" s="301"/>
      <c r="IQV192" s="302"/>
      <c r="IQW192" s="309"/>
      <c r="IQX192" s="329"/>
      <c r="IQY192" s="311"/>
      <c r="IQZ192" s="312"/>
      <c r="IRA192" s="326"/>
      <c r="IRB192" s="332"/>
      <c r="IRC192" s="321"/>
      <c r="IRD192" s="321"/>
      <c r="IRE192" s="331"/>
      <c r="IRF192" s="308"/>
      <c r="IRG192" s="301"/>
      <c r="IRH192" s="301"/>
      <c r="IRI192" s="302"/>
      <c r="IRJ192" s="309"/>
      <c r="IRK192" s="329"/>
      <c r="IRL192" s="311"/>
      <c r="IRM192" s="312"/>
      <c r="IRN192" s="326"/>
      <c r="IRO192" s="332"/>
      <c r="IRP192" s="321"/>
      <c r="IRQ192" s="321"/>
      <c r="IRR192" s="331"/>
      <c r="IRS192" s="308"/>
      <c r="IRT192" s="301"/>
      <c r="IRU192" s="301"/>
      <c r="IRV192" s="302"/>
      <c r="IRW192" s="309"/>
      <c r="IRX192" s="329"/>
      <c r="IRY192" s="311"/>
      <c r="IRZ192" s="312"/>
      <c r="ISA192" s="326"/>
      <c r="ISB192" s="332"/>
      <c r="ISC192" s="321"/>
      <c r="ISD192" s="321"/>
      <c r="ISE192" s="331"/>
      <c r="ISF192" s="308"/>
      <c r="ISG192" s="301"/>
      <c r="ISH192" s="301"/>
      <c r="ISI192" s="302"/>
      <c r="ISJ192" s="309"/>
      <c r="ISK192" s="329"/>
      <c r="ISL192" s="311"/>
      <c r="ISM192" s="312"/>
      <c r="ISN192" s="326"/>
      <c r="ISO192" s="332"/>
      <c r="ISP192" s="321"/>
      <c r="ISQ192" s="321"/>
      <c r="ISR192" s="331"/>
      <c r="ISS192" s="308"/>
      <c r="IST192" s="301"/>
      <c r="ISU192" s="301"/>
      <c r="ISV192" s="302"/>
      <c r="ISW192" s="309"/>
      <c r="ISX192" s="329"/>
      <c r="ISY192" s="311"/>
      <c r="ISZ192" s="312"/>
      <c r="ITA192" s="326"/>
      <c r="ITB192" s="332"/>
      <c r="ITC192" s="321"/>
      <c r="ITD192" s="321"/>
      <c r="ITE192" s="331"/>
      <c r="ITF192" s="308"/>
      <c r="ITG192" s="301"/>
      <c r="ITH192" s="301"/>
      <c r="ITI192" s="302"/>
      <c r="ITJ192" s="309"/>
      <c r="ITK192" s="329"/>
      <c r="ITL192" s="311"/>
      <c r="ITM192" s="312"/>
      <c r="ITN192" s="326"/>
      <c r="ITO192" s="332"/>
      <c r="ITP192" s="321"/>
      <c r="ITQ192" s="321"/>
      <c r="ITR192" s="331"/>
      <c r="ITS192" s="308"/>
      <c r="ITT192" s="301"/>
      <c r="ITU192" s="301"/>
      <c r="ITV192" s="302"/>
      <c r="ITW192" s="309"/>
      <c r="ITX192" s="329"/>
      <c r="ITY192" s="311"/>
      <c r="ITZ192" s="312"/>
      <c r="IUA192" s="326"/>
      <c r="IUB192" s="332"/>
      <c r="IUC192" s="321"/>
      <c r="IUD192" s="321"/>
      <c r="IUE192" s="331"/>
      <c r="IUF192" s="308"/>
      <c r="IUG192" s="301"/>
      <c r="IUH192" s="301"/>
      <c r="IUI192" s="302"/>
      <c r="IUJ192" s="309"/>
      <c r="IUK192" s="329"/>
      <c r="IUL192" s="311"/>
      <c r="IUM192" s="312"/>
      <c r="IUN192" s="326"/>
      <c r="IUO192" s="332"/>
      <c r="IUP192" s="321"/>
      <c r="IUQ192" s="321"/>
      <c r="IUR192" s="331"/>
      <c r="IUS192" s="308"/>
      <c r="IUT192" s="301"/>
      <c r="IUU192" s="301"/>
      <c r="IUV192" s="302"/>
      <c r="IUW192" s="309"/>
      <c r="IUX192" s="329"/>
      <c r="IUY192" s="311"/>
      <c r="IUZ192" s="312"/>
      <c r="IVA192" s="326"/>
      <c r="IVB192" s="332"/>
      <c r="IVC192" s="321"/>
      <c r="IVD192" s="321"/>
      <c r="IVE192" s="331"/>
      <c r="IVF192" s="308"/>
      <c r="IVG192" s="301"/>
      <c r="IVH192" s="301"/>
      <c r="IVI192" s="302"/>
      <c r="IVJ192" s="309"/>
      <c r="IVK192" s="329"/>
      <c r="IVL192" s="311"/>
      <c r="IVM192" s="312"/>
      <c r="IVN192" s="326"/>
      <c r="IVO192" s="332"/>
      <c r="IVP192" s="321"/>
      <c r="IVQ192" s="321"/>
      <c r="IVR192" s="331"/>
      <c r="IVS192" s="308"/>
      <c r="IVT192" s="301"/>
      <c r="IVU192" s="301"/>
      <c r="IVV192" s="302"/>
      <c r="IVW192" s="309"/>
      <c r="IVX192" s="329"/>
      <c r="IVY192" s="311"/>
      <c r="IVZ192" s="312"/>
      <c r="IWA192" s="326"/>
      <c r="IWB192" s="332"/>
      <c r="IWC192" s="321"/>
      <c r="IWD192" s="321"/>
      <c r="IWE192" s="331"/>
      <c r="IWF192" s="308"/>
      <c r="IWG192" s="301"/>
      <c r="IWH192" s="301"/>
      <c r="IWI192" s="302"/>
      <c r="IWJ192" s="309"/>
      <c r="IWK192" s="329"/>
      <c r="IWL192" s="311"/>
      <c r="IWM192" s="312"/>
      <c r="IWN192" s="326"/>
      <c r="IWO192" s="332"/>
      <c r="IWP192" s="321"/>
      <c r="IWQ192" s="321"/>
      <c r="IWR192" s="331"/>
      <c r="IWS192" s="308"/>
      <c r="IWT192" s="301"/>
      <c r="IWU192" s="301"/>
      <c r="IWV192" s="302"/>
      <c r="IWW192" s="309"/>
      <c r="IWX192" s="329"/>
      <c r="IWY192" s="311"/>
      <c r="IWZ192" s="312"/>
      <c r="IXA192" s="326"/>
      <c r="IXB192" s="332"/>
      <c r="IXC192" s="321"/>
      <c r="IXD192" s="321"/>
      <c r="IXE192" s="331"/>
      <c r="IXF192" s="308"/>
      <c r="IXG192" s="301"/>
      <c r="IXH192" s="301"/>
      <c r="IXI192" s="302"/>
      <c r="IXJ192" s="309"/>
      <c r="IXK192" s="329"/>
      <c r="IXL192" s="311"/>
      <c r="IXM192" s="312"/>
      <c r="IXN192" s="326"/>
      <c r="IXO192" s="332"/>
      <c r="IXP192" s="321"/>
      <c r="IXQ192" s="321"/>
      <c r="IXR192" s="331"/>
      <c r="IXS192" s="308"/>
      <c r="IXT192" s="301"/>
      <c r="IXU192" s="301"/>
      <c r="IXV192" s="302"/>
      <c r="IXW192" s="309"/>
      <c r="IXX192" s="329"/>
      <c r="IXY192" s="311"/>
      <c r="IXZ192" s="312"/>
      <c r="IYA192" s="326"/>
      <c r="IYB192" s="332"/>
      <c r="IYC192" s="321"/>
      <c r="IYD192" s="321"/>
      <c r="IYE192" s="331"/>
      <c r="IYF192" s="308"/>
      <c r="IYG192" s="301"/>
      <c r="IYH192" s="301"/>
      <c r="IYI192" s="302"/>
      <c r="IYJ192" s="309"/>
      <c r="IYK192" s="329"/>
      <c r="IYL192" s="311"/>
      <c r="IYM192" s="312"/>
      <c r="IYN192" s="326"/>
      <c r="IYO192" s="332"/>
      <c r="IYP192" s="321"/>
      <c r="IYQ192" s="321"/>
      <c r="IYR192" s="331"/>
      <c r="IYS192" s="308"/>
      <c r="IYT192" s="301"/>
      <c r="IYU192" s="301"/>
      <c r="IYV192" s="302"/>
      <c r="IYW192" s="309"/>
      <c r="IYX192" s="329"/>
      <c r="IYY192" s="311"/>
      <c r="IYZ192" s="312"/>
      <c r="IZA192" s="326"/>
      <c r="IZB192" s="332"/>
      <c r="IZC192" s="321"/>
      <c r="IZD192" s="321"/>
      <c r="IZE192" s="331"/>
      <c r="IZF192" s="308"/>
      <c r="IZG192" s="301"/>
      <c r="IZH192" s="301"/>
      <c r="IZI192" s="302"/>
      <c r="IZJ192" s="309"/>
      <c r="IZK192" s="329"/>
      <c r="IZL192" s="311"/>
      <c r="IZM192" s="312"/>
      <c r="IZN192" s="326"/>
      <c r="IZO192" s="332"/>
      <c r="IZP192" s="321"/>
      <c r="IZQ192" s="321"/>
      <c r="IZR192" s="331"/>
      <c r="IZS192" s="308"/>
      <c r="IZT192" s="301"/>
      <c r="IZU192" s="301"/>
      <c r="IZV192" s="302"/>
      <c r="IZW192" s="309"/>
      <c r="IZX192" s="329"/>
      <c r="IZY192" s="311"/>
      <c r="IZZ192" s="312"/>
      <c r="JAA192" s="326"/>
      <c r="JAB192" s="332"/>
      <c r="JAC192" s="321"/>
      <c r="JAD192" s="321"/>
      <c r="JAE192" s="331"/>
      <c r="JAF192" s="308"/>
      <c r="JAG192" s="301"/>
      <c r="JAH192" s="301"/>
      <c r="JAI192" s="302"/>
      <c r="JAJ192" s="309"/>
      <c r="JAK192" s="329"/>
      <c r="JAL192" s="311"/>
      <c r="JAM192" s="312"/>
      <c r="JAN192" s="326"/>
      <c r="JAO192" s="332"/>
      <c r="JAP192" s="321"/>
      <c r="JAQ192" s="321"/>
      <c r="JAR192" s="331"/>
      <c r="JAS192" s="308"/>
      <c r="JAT192" s="301"/>
      <c r="JAU192" s="301"/>
      <c r="JAV192" s="302"/>
      <c r="JAW192" s="309"/>
      <c r="JAX192" s="329"/>
      <c r="JAY192" s="311"/>
      <c r="JAZ192" s="312"/>
      <c r="JBA192" s="326"/>
      <c r="JBB192" s="332"/>
      <c r="JBC192" s="321"/>
      <c r="JBD192" s="321"/>
      <c r="JBE192" s="331"/>
      <c r="JBF192" s="308"/>
      <c r="JBG192" s="301"/>
      <c r="JBH192" s="301"/>
      <c r="JBI192" s="302"/>
      <c r="JBJ192" s="309"/>
      <c r="JBK192" s="329"/>
      <c r="JBL192" s="311"/>
      <c r="JBM192" s="312"/>
      <c r="JBN192" s="326"/>
      <c r="JBO192" s="332"/>
      <c r="JBP192" s="321"/>
      <c r="JBQ192" s="321"/>
      <c r="JBR192" s="331"/>
      <c r="JBS192" s="308"/>
      <c r="JBT192" s="301"/>
      <c r="JBU192" s="301"/>
      <c r="JBV192" s="302"/>
      <c r="JBW192" s="309"/>
      <c r="JBX192" s="329"/>
      <c r="JBY192" s="311"/>
      <c r="JBZ192" s="312"/>
      <c r="JCA192" s="326"/>
      <c r="JCB192" s="332"/>
      <c r="JCC192" s="321"/>
      <c r="JCD192" s="321"/>
      <c r="JCE192" s="331"/>
      <c r="JCF192" s="308"/>
      <c r="JCG192" s="301"/>
      <c r="JCH192" s="301"/>
      <c r="JCI192" s="302"/>
      <c r="JCJ192" s="309"/>
      <c r="JCK192" s="329"/>
      <c r="JCL192" s="311"/>
      <c r="JCM192" s="312"/>
      <c r="JCN192" s="326"/>
      <c r="JCO192" s="332"/>
      <c r="JCP192" s="321"/>
      <c r="JCQ192" s="321"/>
      <c r="JCR192" s="331"/>
      <c r="JCS192" s="308"/>
      <c r="JCT192" s="301"/>
      <c r="JCU192" s="301"/>
      <c r="JCV192" s="302"/>
      <c r="JCW192" s="309"/>
      <c r="JCX192" s="329"/>
      <c r="JCY192" s="311"/>
      <c r="JCZ192" s="312"/>
      <c r="JDA192" s="326"/>
      <c r="JDB192" s="332"/>
      <c r="JDC192" s="321"/>
      <c r="JDD192" s="321"/>
      <c r="JDE192" s="331"/>
      <c r="JDF192" s="308"/>
      <c r="JDG192" s="301"/>
      <c r="JDH192" s="301"/>
      <c r="JDI192" s="302"/>
      <c r="JDJ192" s="309"/>
      <c r="JDK192" s="329"/>
      <c r="JDL192" s="311"/>
      <c r="JDM192" s="312"/>
      <c r="JDN192" s="326"/>
      <c r="JDO192" s="332"/>
      <c r="JDP192" s="321"/>
      <c r="JDQ192" s="321"/>
      <c r="JDR192" s="331"/>
      <c r="JDS192" s="308"/>
      <c r="JDT192" s="301"/>
      <c r="JDU192" s="301"/>
      <c r="JDV192" s="302"/>
      <c r="JDW192" s="309"/>
      <c r="JDX192" s="329"/>
      <c r="JDY192" s="311"/>
      <c r="JDZ192" s="312"/>
      <c r="JEA192" s="326"/>
      <c r="JEB192" s="332"/>
      <c r="JEC192" s="321"/>
      <c r="JED192" s="321"/>
      <c r="JEE192" s="331"/>
      <c r="JEF192" s="308"/>
      <c r="JEG192" s="301"/>
      <c r="JEH192" s="301"/>
      <c r="JEI192" s="302"/>
      <c r="JEJ192" s="309"/>
      <c r="JEK192" s="329"/>
      <c r="JEL192" s="311"/>
      <c r="JEM192" s="312"/>
      <c r="JEN192" s="326"/>
      <c r="JEO192" s="332"/>
      <c r="JEP192" s="321"/>
      <c r="JEQ192" s="321"/>
      <c r="JER192" s="331"/>
      <c r="JES192" s="308"/>
      <c r="JET192" s="301"/>
      <c r="JEU192" s="301"/>
      <c r="JEV192" s="302"/>
      <c r="JEW192" s="309"/>
      <c r="JEX192" s="329"/>
      <c r="JEY192" s="311"/>
      <c r="JEZ192" s="312"/>
      <c r="JFA192" s="326"/>
      <c r="JFB192" s="332"/>
      <c r="JFC192" s="321"/>
      <c r="JFD192" s="321"/>
      <c r="JFE192" s="331"/>
      <c r="JFF192" s="308"/>
      <c r="JFG192" s="301"/>
      <c r="JFH192" s="301"/>
      <c r="JFI192" s="302"/>
      <c r="JFJ192" s="309"/>
      <c r="JFK192" s="329"/>
      <c r="JFL192" s="311"/>
      <c r="JFM192" s="312"/>
      <c r="JFN192" s="326"/>
      <c r="JFO192" s="332"/>
      <c r="JFP192" s="321"/>
      <c r="JFQ192" s="321"/>
      <c r="JFR192" s="331"/>
      <c r="JFS192" s="308"/>
      <c r="JFT192" s="301"/>
      <c r="JFU192" s="301"/>
      <c r="JFV192" s="302"/>
      <c r="JFW192" s="309"/>
      <c r="JFX192" s="329"/>
      <c r="JFY192" s="311"/>
      <c r="JFZ192" s="312"/>
      <c r="JGA192" s="326"/>
      <c r="JGB192" s="332"/>
      <c r="JGC192" s="321"/>
      <c r="JGD192" s="321"/>
      <c r="JGE192" s="331"/>
      <c r="JGF192" s="308"/>
      <c r="JGG192" s="301"/>
      <c r="JGH192" s="301"/>
      <c r="JGI192" s="302"/>
      <c r="JGJ192" s="309"/>
      <c r="JGK192" s="329"/>
      <c r="JGL192" s="311"/>
      <c r="JGM192" s="312"/>
      <c r="JGN192" s="326"/>
      <c r="JGO192" s="332"/>
      <c r="JGP192" s="321"/>
      <c r="JGQ192" s="321"/>
      <c r="JGR192" s="331"/>
      <c r="JGS192" s="308"/>
      <c r="JGT192" s="301"/>
      <c r="JGU192" s="301"/>
      <c r="JGV192" s="302"/>
      <c r="JGW192" s="309"/>
      <c r="JGX192" s="329"/>
      <c r="JGY192" s="311"/>
      <c r="JGZ192" s="312"/>
      <c r="JHA192" s="326"/>
      <c r="JHB192" s="332"/>
      <c r="JHC192" s="321"/>
      <c r="JHD192" s="321"/>
      <c r="JHE192" s="331"/>
      <c r="JHF192" s="308"/>
      <c r="JHG192" s="301"/>
      <c r="JHH192" s="301"/>
      <c r="JHI192" s="302"/>
      <c r="JHJ192" s="309"/>
      <c r="JHK192" s="329"/>
      <c r="JHL192" s="311"/>
      <c r="JHM192" s="312"/>
      <c r="JHN192" s="326"/>
      <c r="JHO192" s="332"/>
      <c r="JHP192" s="321"/>
      <c r="JHQ192" s="321"/>
      <c r="JHR192" s="331"/>
      <c r="JHS192" s="308"/>
      <c r="JHT192" s="301"/>
      <c r="JHU192" s="301"/>
      <c r="JHV192" s="302"/>
      <c r="JHW192" s="309"/>
      <c r="JHX192" s="329"/>
      <c r="JHY192" s="311"/>
      <c r="JHZ192" s="312"/>
      <c r="JIA192" s="326"/>
      <c r="JIB192" s="332"/>
      <c r="JIC192" s="321"/>
      <c r="JID192" s="321"/>
      <c r="JIE192" s="331"/>
      <c r="JIF192" s="308"/>
      <c r="JIG192" s="301"/>
      <c r="JIH192" s="301"/>
      <c r="JII192" s="302"/>
      <c r="JIJ192" s="309"/>
      <c r="JIK192" s="329"/>
      <c r="JIL192" s="311"/>
      <c r="JIM192" s="312"/>
      <c r="JIN192" s="326"/>
      <c r="JIO192" s="332"/>
      <c r="JIP192" s="321"/>
      <c r="JIQ192" s="321"/>
      <c r="JIR192" s="331"/>
      <c r="JIS192" s="308"/>
      <c r="JIT192" s="301"/>
      <c r="JIU192" s="301"/>
      <c r="JIV192" s="302"/>
      <c r="JIW192" s="309"/>
      <c r="JIX192" s="329"/>
      <c r="JIY192" s="311"/>
      <c r="JIZ192" s="312"/>
      <c r="JJA192" s="326"/>
      <c r="JJB192" s="332"/>
      <c r="JJC192" s="321"/>
      <c r="JJD192" s="321"/>
      <c r="JJE192" s="331"/>
      <c r="JJF192" s="308"/>
      <c r="JJG192" s="301"/>
      <c r="JJH192" s="301"/>
      <c r="JJI192" s="302"/>
      <c r="JJJ192" s="309"/>
      <c r="JJK192" s="329"/>
      <c r="JJL192" s="311"/>
      <c r="JJM192" s="312"/>
      <c r="JJN192" s="326"/>
      <c r="JJO192" s="332"/>
      <c r="JJP192" s="321"/>
      <c r="JJQ192" s="321"/>
      <c r="JJR192" s="331"/>
      <c r="JJS192" s="308"/>
      <c r="JJT192" s="301"/>
      <c r="JJU192" s="301"/>
      <c r="JJV192" s="302"/>
      <c r="JJW192" s="309"/>
      <c r="JJX192" s="329"/>
      <c r="JJY192" s="311"/>
      <c r="JJZ192" s="312"/>
      <c r="JKA192" s="326"/>
      <c r="JKB192" s="332"/>
      <c r="JKC192" s="321"/>
      <c r="JKD192" s="321"/>
      <c r="JKE192" s="331"/>
      <c r="JKF192" s="308"/>
      <c r="JKG192" s="301"/>
      <c r="JKH192" s="301"/>
      <c r="JKI192" s="302"/>
      <c r="JKJ192" s="309"/>
      <c r="JKK192" s="329"/>
      <c r="JKL192" s="311"/>
      <c r="JKM192" s="312"/>
      <c r="JKN192" s="326"/>
      <c r="JKO192" s="332"/>
      <c r="JKP192" s="321"/>
      <c r="JKQ192" s="321"/>
      <c r="JKR192" s="331"/>
      <c r="JKS192" s="308"/>
      <c r="JKT192" s="301"/>
      <c r="JKU192" s="301"/>
      <c r="JKV192" s="302"/>
      <c r="JKW192" s="309"/>
      <c r="JKX192" s="329"/>
      <c r="JKY192" s="311"/>
      <c r="JKZ192" s="312"/>
      <c r="JLA192" s="326"/>
      <c r="JLB192" s="332"/>
      <c r="JLC192" s="321"/>
      <c r="JLD192" s="321"/>
      <c r="JLE192" s="331"/>
      <c r="JLF192" s="308"/>
      <c r="JLG192" s="301"/>
      <c r="JLH192" s="301"/>
      <c r="JLI192" s="302"/>
      <c r="JLJ192" s="309"/>
      <c r="JLK192" s="329"/>
      <c r="JLL192" s="311"/>
      <c r="JLM192" s="312"/>
      <c r="JLN192" s="326"/>
      <c r="JLO192" s="332"/>
      <c r="JLP192" s="321"/>
      <c r="JLQ192" s="321"/>
      <c r="JLR192" s="331"/>
      <c r="JLS192" s="308"/>
      <c r="JLT192" s="301"/>
      <c r="JLU192" s="301"/>
      <c r="JLV192" s="302"/>
      <c r="JLW192" s="309"/>
      <c r="JLX192" s="329"/>
      <c r="JLY192" s="311"/>
      <c r="JLZ192" s="312"/>
      <c r="JMA192" s="326"/>
      <c r="JMB192" s="332"/>
      <c r="JMC192" s="321"/>
      <c r="JMD192" s="321"/>
      <c r="JME192" s="331"/>
      <c r="JMF192" s="308"/>
      <c r="JMG192" s="301"/>
      <c r="JMH192" s="301"/>
      <c r="JMI192" s="302"/>
      <c r="JMJ192" s="309"/>
      <c r="JMK192" s="329"/>
      <c r="JML192" s="311"/>
      <c r="JMM192" s="312"/>
      <c r="JMN192" s="326"/>
      <c r="JMO192" s="332"/>
      <c r="JMP192" s="321"/>
      <c r="JMQ192" s="321"/>
      <c r="JMR192" s="331"/>
      <c r="JMS192" s="308"/>
      <c r="JMT192" s="301"/>
      <c r="JMU192" s="301"/>
      <c r="JMV192" s="302"/>
      <c r="JMW192" s="309"/>
      <c r="JMX192" s="329"/>
      <c r="JMY192" s="311"/>
      <c r="JMZ192" s="312"/>
      <c r="JNA192" s="326"/>
      <c r="JNB192" s="332"/>
      <c r="JNC192" s="321"/>
      <c r="JND192" s="321"/>
      <c r="JNE192" s="331"/>
      <c r="JNF192" s="308"/>
      <c r="JNG192" s="301"/>
      <c r="JNH192" s="301"/>
      <c r="JNI192" s="302"/>
      <c r="JNJ192" s="309"/>
      <c r="JNK192" s="329"/>
      <c r="JNL192" s="311"/>
      <c r="JNM192" s="312"/>
      <c r="JNN192" s="326"/>
      <c r="JNO192" s="332"/>
      <c r="JNP192" s="321"/>
      <c r="JNQ192" s="321"/>
      <c r="JNR192" s="331"/>
      <c r="JNS192" s="308"/>
      <c r="JNT192" s="301"/>
      <c r="JNU192" s="301"/>
      <c r="JNV192" s="302"/>
      <c r="JNW192" s="309"/>
      <c r="JNX192" s="329"/>
      <c r="JNY192" s="311"/>
      <c r="JNZ192" s="312"/>
      <c r="JOA192" s="326"/>
      <c r="JOB192" s="332"/>
      <c r="JOC192" s="321"/>
      <c r="JOD192" s="321"/>
      <c r="JOE192" s="331"/>
      <c r="JOF192" s="308"/>
      <c r="JOG192" s="301"/>
      <c r="JOH192" s="301"/>
      <c r="JOI192" s="302"/>
      <c r="JOJ192" s="309"/>
      <c r="JOK192" s="329"/>
      <c r="JOL192" s="311"/>
      <c r="JOM192" s="312"/>
      <c r="JON192" s="326"/>
      <c r="JOO192" s="332"/>
      <c r="JOP192" s="321"/>
      <c r="JOQ192" s="321"/>
      <c r="JOR192" s="331"/>
      <c r="JOS192" s="308"/>
      <c r="JOT192" s="301"/>
      <c r="JOU192" s="301"/>
      <c r="JOV192" s="302"/>
      <c r="JOW192" s="309"/>
      <c r="JOX192" s="329"/>
      <c r="JOY192" s="311"/>
      <c r="JOZ192" s="312"/>
      <c r="JPA192" s="326"/>
      <c r="JPB192" s="332"/>
      <c r="JPC192" s="321"/>
      <c r="JPD192" s="321"/>
      <c r="JPE192" s="331"/>
      <c r="JPF192" s="308"/>
      <c r="JPG192" s="301"/>
      <c r="JPH192" s="301"/>
      <c r="JPI192" s="302"/>
      <c r="JPJ192" s="309"/>
      <c r="JPK192" s="329"/>
      <c r="JPL192" s="311"/>
      <c r="JPM192" s="312"/>
      <c r="JPN192" s="326"/>
      <c r="JPO192" s="332"/>
      <c r="JPP192" s="321"/>
      <c r="JPQ192" s="321"/>
      <c r="JPR192" s="331"/>
      <c r="JPS192" s="308"/>
      <c r="JPT192" s="301"/>
      <c r="JPU192" s="301"/>
      <c r="JPV192" s="302"/>
      <c r="JPW192" s="309"/>
      <c r="JPX192" s="329"/>
      <c r="JPY192" s="311"/>
      <c r="JPZ192" s="312"/>
      <c r="JQA192" s="326"/>
      <c r="JQB192" s="332"/>
      <c r="JQC192" s="321"/>
      <c r="JQD192" s="321"/>
      <c r="JQE192" s="331"/>
      <c r="JQF192" s="308"/>
      <c r="JQG192" s="301"/>
      <c r="JQH192" s="301"/>
      <c r="JQI192" s="302"/>
      <c r="JQJ192" s="309"/>
      <c r="JQK192" s="329"/>
      <c r="JQL192" s="311"/>
      <c r="JQM192" s="312"/>
      <c r="JQN192" s="326"/>
      <c r="JQO192" s="332"/>
      <c r="JQP192" s="321"/>
      <c r="JQQ192" s="321"/>
      <c r="JQR192" s="331"/>
      <c r="JQS192" s="308"/>
      <c r="JQT192" s="301"/>
      <c r="JQU192" s="301"/>
      <c r="JQV192" s="302"/>
      <c r="JQW192" s="309"/>
      <c r="JQX192" s="329"/>
      <c r="JQY192" s="311"/>
      <c r="JQZ192" s="312"/>
      <c r="JRA192" s="326"/>
      <c r="JRB192" s="332"/>
      <c r="JRC192" s="321"/>
      <c r="JRD192" s="321"/>
      <c r="JRE192" s="331"/>
      <c r="JRF192" s="308"/>
      <c r="JRG192" s="301"/>
      <c r="JRH192" s="301"/>
      <c r="JRI192" s="302"/>
      <c r="JRJ192" s="309"/>
      <c r="JRK192" s="329"/>
      <c r="JRL192" s="311"/>
      <c r="JRM192" s="312"/>
      <c r="JRN192" s="326"/>
      <c r="JRO192" s="332"/>
      <c r="JRP192" s="321"/>
      <c r="JRQ192" s="321"/>
      <c r="JRR192" s="331"/>
      <c r="JRS192" s="308"/>
      <c r="JRT192" s="301"/>
      <c r="JRU192" s="301"/>
      <c r="JRV192" s="302"/>
      <c r="JRW192" s="309"/>
      <c r="JRX192" s="329"/>
      <c r="JRY192" s="311"/>
      <c r="JRZ192" s="312"/>
      <c r="JSA192" s="326"/>
      <c r="JSB192" s="332"/>
      <c r="JSC192" s="321"/>
      <c r="JSD192" s="321"/>
      <c r="JSE192" s="331"/>
      <c r="JSF192" s="308"/>
      <c r="JSG192" s="301"/>
      <c r="JSH192" s="301"/>
      <c r="JSI192" s="302"/>
      <c r="JSJ192" s="309"/>
      <c r="JSK192" s="329"/>
      <c r="JSL192" s="311"/>
      <c r="JSM192" s="312"/>
      <c r="JSN192" s="326"/>
      <c r="JSO192" s="332"/>
      <c r="JSP192" s="321"/>
      <c r="JSQ192" s="321"/>
      <c r="JSR192" s="331"/>
      <c r="JSS192" s="308"/>
      <c r="JST192" s="301"/>
      <c r="JSU192" s="301"/>
      <c r="JSV192" s="302"/>
      <c r="JSW192" s="309"/>
      <c r="JSX192" s="329"/>
      <c r="JSY192" s="311"/>
      <c r="JSZ192" s="312"/>
      <c r="JTA192" s="326"/>
      <c r="JTB192" s="332"/>
      <c r="JTC192" s="321"/>
      <c r="JTD192" s="321"/>
      <c r="JTE192" s="331"/>
      <c r="JTF192" s="308"/>
      <c r="JTG192" s="301"/>
      <c r="JTH192" s="301"/>
      <c r="JTI192" s="302"/>
      <c r="JTJ192" s="309"/>
      <c r="JTK192" s="329"/>
      <c r="JTL192" s="311"/>
      <c r="JTM192" s="312"/>
      <c r="JTN192" s="326"/>
      <c r="JTO192" s="332"/>
      <c r="JTP192" s="321"/>
      <c r="JTQ192" s="321"/>
      <c r="JTR192" s="331"/>
      <c r="JTS192" s="308"/>
      <c r="JTT192" s="301"/>
      <c r="JTU192" s="301"/>
      <c r="JTV192" s="302"/>
      <c r="JTW192" s="309"/>
      <c r="JTX192" s="329"/>
      <c r="JTY192" s="311"/>
      <c r="JTZ192" s="312"/>
      <c r="JUA192" s="326"/>
      <c r="JUB192" s="332"/>
      <c r="JUC192" s="321"/>
      <c r="JUD192" s="321"/>
      <c r="JUE192" s="331"/>
      <c r="JUF192" s="308"/>
      <c r="JUG192" s="301"/>
      <c r="JUH192" s="301"/>
      <c r="JUI192" s="302"/>
      <c r="JUJ192" s="309"/>
      <c r="JUK192" s="329"/>
      <c r="JUL192" s="311"/>
      <c r="JUM192" s="312"/>
      <c r="JUN192" s="326"/>
      <c r="JUO192" s="332"/>
      <c r="JUP192" s="321"/>
      <c r="JUQ192" s="321"/>
      <c r="JUR192" s="331"/>
      <c r="JUS192" s="308"/>
      <c r="JUT192" s="301"/>
      <c r="JUU192" s="301"/>
      <c r="JUV192" s="302"/>
      <c r="JUW192" s="309"/>
      <c r="JUX192" s="329"/>
      <c r="JUY192" s="311"/>
      <c r="JUZ192" s="312"/>
      <c r="JVA192" s="326"/>
      <c r="JVB192" s="332"/>
      <c r="JVC192" s="321"/>
      <c r="JVD192" s="321"/>
      <c r="JVE192" s="331"/>
      <c r="JVF192" s="308"/>
      <c r="JVG192" s="301"/>
      <c r="JVH192" s="301"/>
      <c r="JVI192" s="302"/>
      <c r="JVJ192" s="309"/>
      <c r="JVK192" s="329"/>
      <c r="JVL192" s="311"/>
      <c r="JVM192" s="312"/>
      <c r="JVN192" s="326"/>
      <c r="JVO192" s="332"/>
      <c r="JVP192" s="321"/>
      <c r="JVQ192" s="321"/>
      <c r="JVR192" s="331"/>
      <c r="JVS192" s="308"/>
      <c r="JVT192" s="301"/>
      <c r="JVU192" s="301"/>
      <c r="JVV192" s="302"/>
      <c r="JVW192" s="309"/>
      <c r="JVX192" s="329"/>
      <c r="JVY192" s="311"/>
      <c r="JVZ192" s="312"/>
      <c r="JWA192" s="326"/>
      <c r="JWB192" s="332"/>
      <c r="JWC192" s="321"/>
      <c r="JWD192" s="321"/>
      <c r="JWE192" s="331"/>
      <c r="JWF192" s="308"/>
      <c r="JWG192" s="301"/>
      <c r="JWH192" s="301"/>
      <c r="JWI192" s="302"/>
      <c r="JWJ192" s="309"/>
      <c r="JWK192" s="329"/>
      <c r="JWL192" s="311"/>
      <c r="JWM192" s="312"/>
      <c r="JWN192" s="326"/>
      <c r="JWO192" s="332"/>
      <c r="JWP192" s="321"/>
      <c r="JWQ192" s="321"/>
      <c r="JWR192" s="331"/>
      <c r="JWS192" s="308"/>
      <c r="JWT192" s="301"/>
      <c r="JWU192" s="301"/>
      <c r="JWV192" s="302"/>
      <c r="JWW192" s="309"/>
      <c r="JWX192" s="329"/>
      <c r="JWY192" s="311"/>
      <c r="JWZ192" s="312"/>
      <c r="JXA192" s="326"/>
      <c r="JXB192" s="332"/>
      <c r="JXC192" s="321"/>
      <c r="JXD192" s="321"/>
      <c r="JXE192" s="331"/>
      <c r="JXF192" s="308"/>
      <c r="JXG192" s="301"/>
      <c r="JXH192" s="301"/>
      <c r="JXI192" s="302"/>
      <c r="JXJ192" s="309"/>
      <c r="JXK192" s="329"/>
      <c r="JXL192" s="311"/>
      <c r="JXM192" s="312"/>
      <c r="JXN192" s="326"/>
      <c r="JXO192" s="332"/>
      <c r="JXP192" s="321"/>
      <c r="JXQ192" s="321"/>
      <c r="JXR192" s="331"/>
      <c r="JXS192" s="308"/>
      <c r="JXT192" s="301"/>
      <c r="JXU192" s="301"/>
      <c r="JXV192" s="302"/>
      <c r="JXW192" s="309"/>
      <c r="JXX192" s="329"/>
      <c r="JXY192" s="311"/>
      <c r="JXZ192" s="312"/>
      <c r="JYA192" s="326"/>
      <c r="JYB192" s="332"/>
      <c r="JYC192" s="321"/>
      <c r="JYD192" s="321"/>
      <c r="JYE192" s="331"/>
      <c r="JYF192" s="308"/>
      <c r="JYG192" s="301"/>
      <c r="JYH192" s="301"/>
      <c r="JYI192" s="302"/>
      <c r="JYJ192" s="309"/>
      <c r="JYK192" s="329"/>
      <c r="JYL192" s="311"/>
      <c r="JYM192" s="312"/>
      <c r="JYN192" s="326"/>
      <c r="JYO192" s="332"/>
      <c r="JYP192" s="321"/>
      <c r="JYQ192" s="321"/>
      <c r="JYR192" s="331"/>
      <c r="JYS192" s="308"/>
      <c r="JYT192" s="301"/>
      <c r="JYU192" s="301"/>
      <c r="JYV192" s="302"/>
      <c r="JYW192" s="309"/>
      <c r="JYX192" s="329"/>
      <c r="JYY192" s="311"/>
      <c r="JYZ192" s="312"/>
      <c r="JZA192" s="326"/>
      <c r="JZB192" s="332"/>
      <c r="JZC192" s="321"/>
      <c r="JZD192" s="321"/>
      <c r="JZE192" s="331"/>
      <c r="JZF192" s="308"/>
      <c r="JZG192" s="301"/>
      <c r="JZH192" s="301"/>
      <c r="JZI192" s="302"/>
      <c r="JZJ192" s="309"/>
      <c r="JZK192" s="329"/>
      <c r="JZL192" s="311"/>
      <c r="JZM192" s="312"/>
      <c r="JZN192" s="326"/>
      <c r="JZO192" s="332"/>
      <c r="JZP192" s="321"/>
      <c r="JZQ192" s="321"/>
      <c r="JZR192" s="331"/>
      <c r="JZS192" s="308"/>
      <c r="JZT192" s="301"/>
      <c r="JZU192" s="301"/>
      <c r="JZV192" s="302"/>
      <c r="JZW192" s="309"/>
      <c r="JZX192" s="329"/>
      <c r="JZY192" s="311"/>
      <c r="JZZ192" s="312"/>
      <c r="KAA192" s="326"/>
      <c r="KAB192" s="332"/>
      <c r="KAC192" s="321"/>
      <c r="KAD192" s="321"/>
      <c r="KAE192" s="331"/>
      <c r="KAF192" s="308"/>
      <c r="KAG192" s="301"/>
      <c r="KAH192" s="301"/>
      <c r="KAI192" s="302"/>
      <c r="KAJ192" s="309"/>
      <c r="KAK192" s="329"/>
      <c r="KAL192" s="311"/>
      <c r="KAM192" s="312"/>
      <c r="KAN192" s="326"/>
      <c r="KAO192" s="332"/>
      <c r="KAP192" s="321"/>
      <c r="KAQ192" s="321"/>
      <c r="KAR192" s="331"/>
      <c r="KAS192" s="308"/>
      <c r="KAT192" s="301"/>
      <c r="KAU192" s="301"/>
      <c r="KAV192" s="302"/>
      <c r="KAW192" s="309"/>
      <c r="KAX192" s="329"/>
      <c r="KAY192" s="311"/>
      <c r="KAZ192" s="312"/>
      <c r="KBA192" s="326"/>
      <c r="KBB192" s="332"/>
      <c r="KBC192" s="321"/>
      <c r="KBD192" s="321"/>
      <c r="KBE192" s="331"/>
      <c r="KBF192" s="308"/>
      <c r="KBG192" s="301"/>
      <c r="KBH192" s="301"/>
      <c r="KBI192" s="302"/>
      <c r="KBJ192" s="309"/>
      <c r="KBK192" s="329"/>
      <c r="KBL192" s="311"/>
      <c r="KBM192" s="312"/>
      <c r="KBN192" s="326"/>
      <c r="KBO192" s="332"/>
      <c r="KBP192" s="321"/>
      <c r="KBQ192" s="321"/>
      <c r="KBR192" s="331"/>
      <c r="KBS192" s="308"/>
      <c r="KBT192" s="301"/>
      <c r="KBU192" s="301"/>
      <c r="KBV192" s="302"/>
      <c r="KBW192" s="309"/>
      <c r="KBX192" s="329"/>
      <c r="KBY192" s="311"/>
      <c r="KBZ192" s="312"/>
      <c r="KCA192" s="326"/>
      <c r="KCB192" s="332"/>
      <c r="KCC192" s="321"/>
      <c r="KCD192" s="321"/>
      <c r="KCE192" s="331"/>
      <c r="KCF192" s="308"/>
      <c r="KCG192" s="301"/>
      <c r="KCH192" s="301"/>
      <c r="KCI192" s="302"/>
      <c r="KCJ192" s="309"/>
      <c r="KCK192" s="329"/>
      <c r="KCL192" s="311"/>
      <c r="KCM192" s="312"/>
      <c r="KCN192" s="326"/>
      <c r="KCO192" s="332"/>
      <c r="KCP192" s="321"/>
      <c r="KCQ192" s="321"/>
      <c r="KCR192" s="331"/>
      <c r="KCS192" s="308"/>
      <c r="KCT192" s="301"/>
      <c r="KCU192" s="301"/>
      <c r="KCV192" s="302"/>
      <c r="KCW192" s="309"/>
      <c r="KCX192" s="329"/>
      <c r="KCY192" s="311"/>
      <c r="KCZ192" s="312"/>
      <c r="KDA192" s="326"/>
      <c r="KDB192" s="332"/>
      <c r="KDC192" s="321"/>
      <c r="KDD192" s="321"/>
      <c r="KDE192" s="331"/>
      <c r="KDF192" s="308"/>
      <c r="KDG192" s="301"/>
      <c r="KDH192" s="301"/>
      <c r="KDI192" s="302"/>
      <c r="KDJ192" s="309"/>
      <c r="KDK192" s="329"/>
      <c r="KDL192" s="311"/>
      <c r="KDM192" s="312"/>
      <c r="KDN192" s="326"/>
      <c r="KDO192" s="332"/>
      <c r="KDP192" s="321"/>
      <c r="KDQ192" s="321"/>
      <c r="KDR192" s="331"/>
      <c r="KDS192" s="308"/>
      <c r="KDT192" s="301"/>
      <c r="KDU192" s="301"/>
      <c r="KDV192" s="302"/>
      <c r="KDW192" s="309"/>
      <c r="KDX192" s="329"/>
      <c r="KDY192" s="311"/>
      <c r="KDZ192" s="312"/>
      <c r="KEA192" s="326"/>
      <c r="KEB192" s="332"/>
      <c r="KEC192" s="321"/>
      <c r="KED192" s="321"/>
      <c r="KEE192" s="331"/>
      <c r="KEF192" s="308"/>
      <c r="KEG192" s="301"/>
      <c r="KEH192" s="301"/>
      <c r="KEI192" s="302"/>
      <c r="KEJ192" s="309"/>
      <c r="KEK192" s="329"/>
      <c r="KEL192" s="311"/>
      <c r="KEM192" s="312"/>
      <c r="KEN192" s="326"/>
      <c r="KEO192" s="332"/>
      <c r="KEP192" s="321"/>
      <c r="KEQ192" s="321"/>
      <c r="KER192" s="331"/>
      <c r="KES192" s="308"/>
      <c r="KET192" s="301"/>
      <c r="KEU192" s="301"/>
      <c r="KEV192" s="302"/>
      <c r="KEW192" s="309"/>
      <c r="KEX192" s="329"/>
      <c r="KEY192" s="311"/>
      <c r="KEZ192" s="312"/>
      <c r="KFA192" s="326"/>
      <c r="KFB192" s="332"/>
      <c r="KFC192" s="321"/>
      <c r="KFD192" s="321"/>
      <c r="KFE192" s="331"/>
      <c r="KFF192" s="308"/>
      <c r="KFG192" s="301"/>
      <c r="KFH192" s="301"/>
      <c r="KFI192" s="302"/>
      <c r="KFJ192" s="309"/>
      <c r="KFK192" s="329"/>
      <c r="KFL192" s="311"/>
      <c r="KFM192" s="312"/>
      <c r="KFN192" s="326"/>
      <c r="KFO192" s="332"/>
      <c r="KFP192" s="321"/>
      <c r="KFQ192" s="321"/>
      <c r="KFR192" s="331"/>
      <c r="KFS192" s="308"/>
      <c r="KFT192" s="301"/>
      <c r="KFU192" s="301"/>
      <c r="KFV192" s="302"/>
      <c r="KFW192" s="309"/>
      <c r="KFX192" s="329"/>
      <c r="KFY192" s="311"/>
      <c r="KFZ192" s="312"/>
      <c r="KGA192" s="326"/>
      <c r="KGB192" s="332"/>
      <c r="KGC192" s="321"/>
      <c r="KGD192" s="321"/>
      <c r="KGE192" s="331"/>
      <c r="KGF192" s="308"/>
      <c r="KGG192" s="301"/>
      <c r="KGH192" s="301"/>
      <c r="KGI192" s="302"/>
      <c r="KGJ192" s="309"/>
      <c r="KGK192" s="329"/>
      <c r="KGL192" s="311"/>
      <c r="KGM192" s="312"/>
      <c r="KGN192" s="326"/>
      <c r="KGO192" s="332"/>
      <c r="KGP192" s="321"/>
      <c r="KGQ192" s="321"/>
      <c r="KGR192" s="331"/>
      <c r="KGS192" s="308"/>
      <c r="KGT192" s="301"/>
      <c r="KGU192" s="301"/>
      <c r="KGV192" s="302"/>
      <c r="KGW192" s="309"/>
      <c r="KGX192" s="329"/>
      <c r="KGY192" s="311"/>
      <c r="KGZ192" s="312"/>
      <c r="KHA192" s="326"/>
      <c r="KHB192" s="332"/>
      <c r="KHC192" s="321"/>
      <c r="KHD192" s="321"/>
      <c r="KHE192" s="331"/>
      <c r="KHF192" s="308"/>
      <c r="KHG192" s="301"/>
      <c r="KHH192" s="301"/>
      <c r="KHI192" s="302"/>
      <c r="KHJ192" s="309"/>
      <c r="KHK192" s="329"/>
      <c r="KHL192" s="311"/>
      <c r="KHM192" s="312"/>
      <c r="KHN192" s="326"/>
      <c r="KHO192" s="332"/>
      <c r="KHP192" s="321"/>
      <c r="KHQ192" s="321"/>
      <c r="KHR192" s="331"/>
      <c r="KHS192" s="308"/>
      <c r="KHT192" s="301"/>
      <c r="KHU192" s="301"/>
      <c r="KHV192" s="302"/>
      <c r="KHW192" s="309"/>
      <c r="KHX192" s="329"/>
      <c r="KHY192" s="311"/>
      <c r="KHZ192" s="312"/>
      <c r="KIA192" s="326"/>
      <c r="KIB192" s="332"/>
      <c r="KIC192" s="321"/>
      <c r="KID192" s="321"/>
      <c r="KIE192" s="331"/>
      <c r="KIF192" s="308"/>
      <c r="KIG192" s="301"/>
      <c r="KIH192" s="301"/>
      <c r="KII192" s="302"/>
      <c r="KIJ192" s="309"/>
      <c r="KIK192" s="329"/>
      <c r="KIL192" s="311"/>
      <c r="KIM192" s="312"/>
      <c r="KIN192" s="326"/>
      <c r="KIO192" s="332"/>
      <c r="KIP192" s="321"/>
      <c r="KIQ192" s="321"/>
      <c r="KIR192" s="331"/>
      <c r="KIS192" s="308"/>
      <c r="KIT192" s="301"/>
      <c r="KIU192" s="301"/>
      <c r="KIV192" s="302"/>
      <c r="KIW192" s="309"/>
      <c r="KIX192" s="329"/>
      <c r="KIY192" s="311"/>
      <c r="KIZ192" s="312"/>
      <c r="KJA192" s="326"/>
      <c r="KJB192" s="332"/>
      <c r="KJC192" s="321"/>
      <c r="KJD192" s="321"/>
      <c r="KJE192" s="331"/>
      <c r="KJF192" s="308"/>
      <c r="KJG192" s="301"/>
      <c r="KJH192" s="301"/>
      <c r="KJI192" s="302"/>
      <c r="KJJ192" s="309"/>
      <c r="KJK192" s="329"/>
      <c r="KJL192" s="311"/>
      <c r="KJM192" s="312"/>
      <c r="KJN192" s="326"/>
      <c r="KJO192" s="332"/>
      <c r="KJP192" s="321"/>
      <c r="KJQ192" s="321"/>
      <c r="KJR192" s="331"/>
      <c r="KJS192" s="308"/>
      <c r="KJT192" s="301"/>
      <c r="KJU192" s="301"/>
      <c r="KJV192" s="302"/>
      <c r="KJW192" s="309"/>
      <c r="KJX192" s="329"/>
      <c r="KJY192" s="311"/>
      <c r="KJZ192" s="312"/>
      <c r="KKA192" s="326"/>
      <c r="KKB192" s="332"/>
      <c r="KKC192" s="321"/>
      <c r="KKD192" s="321"/>
      <c r="KKE192" s="331"/>
      <c r="KKF192" s="308"/>
      <c r="KKG192" s="301"/>
      <c r="KKH192" s="301"/>
      <c r="KKI192" s="302"/>
      <c r="KKJ192" s="309"/>
      <c r="KKK192" s="329"/>
      <c r="KKL192" s="311"/>
      <c r="KKM192" s="312"/>
      <c r="KKN192" s="326"/>
      <c r="KKO192" s="332"/>
      <c r="KKP192" s="321"/>
      <c r="KKQ192" s="321"/>
      <c r="KKR192" s="331"/>
      <c r="KKS192" s="308"/>
      <c r="KKT192" s="301"/>
      <c r="KKU192" s="301"/>
      <c r="KKV192" s="302"/>
      <c r="KKW192" s="309"/>
      <c r="KKX192" s="329"/>
      <c r="KKY192" s="311"/>
      <c r="KKZ192" s="312"/>
      <c r="KLA192" s="326"/>
      <c r="KLB192" s="332"/>
      <c r="KLC192" s="321"/>
      <c r="KLD192" s="321"/>
      <c r="KLE192" s="331"/>
      <c r="KLF192" s="308"/>
      <c r="KLG192" s="301"/>
      <c r="KLH192" s="301"/>
      <c r="KLI192" s="302"/>
      <c r="KLJ192" s="309"/>
      <c r="KLK192" s="329"/>
      <c r="KLL192" s="311"/>
      <c r="KLM192" s="312"/>
      <c r="KLN192" s="326"/>
      <c r="KLO192" s="332"/>
      <c r="KLP192" s="321"/>
      <c r="KLQ192" s="321"/>
      <c r="KLR192" s="331"/>
      <c r="KLS192" s="308"/>
      <c r="KLT192" s="301"/>
      <c r="KLU192" s="301"/>
      <c r="KLV192" s="302"/>
      <c r="KLW192" s="309"/>
      <c r="KLX192" s="329"/>
      <c r="KLY192" s="311"/>
      <c r="KLZ192" s="312"/>
      <c r="KMA192" s="326"/>
      <c r="KMB192" s="332"/>
      <c r="KMC192" s="321"/>
      <c r="KMD192" s="321"/>
      <c r="KME192" s="331"/>
      <c r="KMF192" s="308"/>
      <c r="KMG192" s="301"/>
      <c r="KMH192" s="301"/>
      <c r="KMI192" s="302"/>
      <c r="KMJ192" s="309"/>
      <c r="KMK192" s="329"/>
      <c r="KML192" s="311"/>
      <c r="KMM192" s="312"/>
      <c r="KMN192" s="326"/>
      <c r="KMO192" s="332"/>
      <c r="KMP192" s="321"/>
      <c r="KMQ192" s="321"/>
      <c r="KMR192" s="331"/>
      <c r="KMS192" s="308"/>
      <c r="KMT192" s="301"/>
      <c r="KMU192" s="301"/>
      <c r="KMV192" s="302"/>
      <c r="KMW192" s="309"/>
      <c r="KMX192" s="329"/>
      <c r="KMY192" s="311"/>
      <c r="KMZ192" s="312"/>
      <c r="KNA192" s="326"/>
      <c r="KNB192" s="332"/>
      <c r="KNC192" s="321"/>
      <c r="KND192" s="321"/>
      <c r="KNE192" s="331"/>
      <c r="KNF192" s="308"/>
      <c r="KNG192" s="301"/>
      <c r="KNH192" s="301"/>
      <c r="KNI192" s="302"/>
      <c r="KNJ192" s="309"/>
      <c r="KNK192" s="329"/>
      <c r="KNL192" s="311"/>
      <c r="KNM192" s="312"/>
      <c r="KNN192" s="326"/>
      <c r="KNO192" s="332"/>
      <c r="KNP192" s="321"/>
      <c r="KNQ192" s="321"/>
      <c r="KNR192" s="331"/>
      <c r="KNS192" s="308"/>
      <c r="KNT192" s="301"/>
      <c r="KNU192" s="301"/>
      <c r="KNV192" s="302"/>
      <c r="KNW192" s="309"/>
      <c r="KNX192" s="329"/>
      <c r="KNY192" s="311"/>
      <c r="KNZ192" s="312"/>
      <c r="KOA192" s="326"/>
      <c r="KOB192" s="332"/>
      <c r="KOC192" s="321"/>
      <c r="KOD192" s="321"/>
      <c r="KOE192" s="331"/>
      <c r="KOF192" s="308"/>
      <c r="KOG192" s="301"/>
      <c r="KOH192" s="301"/>
      <c r="KOI192" s="302"/>
      <c r="KOJ192" s="309"/>
      <c r="KOK192" s="329"/>
      <c r="KOL192" s="311"/>
      <c r="KOM192" s="312"/>
      <c r="KON192" s="326"/>
      <c r="KOO192" s="332"/>
      <c r="KOP192" s="321"/>
      <c r="KOQ192" s="321"/>
      <c r="KOR192" s="331"/>
      <c r="KOS192" s="308"/>
      <c r="KOT192" s="301"/>
      <c r="KOU192" s="301"/>
      <c r="KOV192" s="302"/>
      <c r="KOW192" s="309"/>
      <c r="KOX192" s="329"/>
      <c r="KOY192" s="311"/>
      <c r="KOZ192" s="312"/>
      <c r="KPA192" s="326"/>
      <c r="KPB192" s="332"/>
      <c r="KPC192" s="321"/>
      <c r="KPD192" s="321"/>
      <c r="KPE192" s="331"/>
      <c r="KPF192" s="308"/>
      <c r="KPG192" s="301"/>
      <c r="KPH192" s="301"/>
      <c r="KPI192" s="302"/>
      <c r="KPJ192" s="309"/>
      <c r="KPK192" s="329"/>
      <c r="KPL192" s="311"/>
      <c r="KPM192" s="312"/>
      <c r="KPN192" s="326"/>
      <c r="KPO192" s="332"/>
      <c r="KPP192" s="321"/>
      <c r="KPQ192" s="321"/>
      <c r="KPR192" s="331"/>
      <c r="KPS192" s="308"/>
      <c r="KPT192" s="301"/>
      <c r="KPU192" s="301"/>
      <c r="KPV192" s="302"/>
      <c r="KPW192" s="309"/>
      <c r="KPX192" s="329"/>
      <c r="KPY192" s="311"/>
      <c r="KPZ192" s="312"/>
      <c r="KQA192" s="326"/>
      <c r="KQB192" s="332"/>
      <c r="KQC192" s="321"/>
      <c r="KQD192" s="321"/>
      <c r="KQE192" s="331"/>
      <c r="KQF192" s="308"/>
      <c r="KQG192" s="301"/>
      <c r="KQH192" s="301"/>
      <c r="KQI192" s="302"/>
      <c r="KQJ192" s="309"/>
      <c r="KQK192" s="329"/>
      <c r="KQL192" s="311"/>
      <c r="KQM192" s="312"/>
      <c r="KQN192" s="326"/>
      <c r="KQO192" s="332"/>
      <c r="KQP192" s="321"/>
      <c r="KQQ192" s="321"/>
      <c r="KQR192" s="331"/>
      <c r="KQS192" s="308"/>
      <c r="KQT192" s="301"/>
      <c r="KQU192" s="301"/>
      <c r="KQV192" s="302"/>
      <c r="KQW192" s="309"/>
      <c r="KQX192" s="329"/>
      <c r="KQY192" s="311"/>
      <c r="KQZ192" s="312"/>
      <c r="KRA192" s="326"/>
      <c r="KRB192" s="332"/>
      <c r="KRC192" s="321"/>
      <c r="KRD192" s="321"/>
      <c r="KRE192" s="331"/>
      <c r="KRF192" s="308"/>
      <c r="KRG192" s="301"/>
      <c r="KRH192" s="301"/>
      <c r="KRI192" s="302"/>
      <c r="KRJ192" s="309"/>
      <c r="KRK192" s="329"/>
      <c r="KRL192" s="311"/>
      <c r="KRM192" s="312"/>
      <c r="KRN192" s="326"/>
      <c r="KRO192" s="332"/>
      <c r="KRP192" s="321"/>
      <c r="KRQ192" s="321"/>
      <c r="KRR192" s="331"/>
      <c r="KRS192" s="308"/>
      <c r="KRT192" s="301"/>
      <c r="KRU192" s="301"/>
      <c r="KRV192" s="302"/>
      <c r="KRW192" s="309"/>
      <c r="KRX192" s="329"/>
      <c r="KRY192" s="311"/>
      <c r="KRZ192" s="312"/>
      <c r="KSA192" s="326"/>
      <c r="KSB192" s="332"/>
      <c r="KSC192" s="321"/>
      <c r="KSD192" s="321"/>
      <c r="KSE192" s="331"/>
      <c r="KSF192" s="308"/>
      <c r="KSG192" s="301"/>
      <c r="KSH192" s="301"/>
      <c r="KSI192" s="302"/>
      <c r="KSJ192" s="309"/>
      <c r="KSK192" s="329"/>
      <c r="KSL192" s="311"/>
      <c r="KSM192" s="312"/>
      <c r="KSN192" s="326"/>
      <c r="KSO192" s="332"/>
      <c r="KSP192" s="321"/>
      <c r="KSQ192" s="321"/>
      <c r="KSR192" s="331"/>
      <c r="KSS192" s="308"/>
      <c r="KST192" s="301"/>
      <c r="KSU192" s="301"/>
      <c r="KSV192" s="302"/>
      <c r="KSW192" s="309"/>
      <c r="KSX192" s="329"/>
      <c r="KSY192" s="311"/>
      <c r="KSZ192" s="312"/>
      <c r="KTA192" s="326"/>
      <c r="KTB192" s="332"/>
      <c r="KTC192" s="321"/>
      <c r="KTD192" s="321"/>
      <c r="KTE192" s="331"/>
      <c r="KTF192" s="308"/>
      <c r="KTG192" s="301"/>
      <c r="KTH192" s="301"/>
      <c r="KTI192" s="302"/>
      <c r="KTJ192" s="309"/>
      <c r="KTK192" s="329"/>
      <c r="KTL192" s="311"/>
      <c r="KTM192" s="312"/>
      <c r="KTN192" s="326"/>
      <c r="KTO192" s="332"/>
      <c r="KTP192" s="321"/>
      <c r="KTQ192" s="321"/>
      <c r="KTR192" s="331"/>
      <c r="KTS192" s="308"/>
      <c r="KTT192" s="301"/>
      <c r="KTU192" s="301"/>
      <c r="KTV192" s="302"/>
      <c r="KTW192" s="309"/>
      <c r="KTX192" s="329"/>
      <c r="KTY192" s="311"/>
      <c r="KTZ192" s="312"/>
      <c r="KUA192" s="326"/>
      <c r="KUB192" s="332"/>
      <c r="KUC192" s="321"/>
      <c r="KUD192" s="321"/>
      <c r="KUE192" s="331"/>
      <c r="KUF192" s="308"/>
      <c r="KUG192" s="301"/>
      <c r="KUH192" s="301"/>
      <c r="KUI192" s="302"/>
      <c r="KUJ192" s="309"/>
      <c r="KUK192" s="329"/>
      <c r="KUL192" s="311"/>
      <c r="KUM192" s="312"/>
      <c r="KUN192" s="326"/>
      <c r="KUO192" s="332"/>
      <c r="KUP192" s="321"/>
      <c r="KUQ192" s="321"/>
      <c r="KUR192" s="331"/>
      <c r="KUS192" s="308"/>
      <c r="KUT192" s="301"/>
      <c r="KUU192" s="301"/>
      <c r="KUV192" s="302"/>
      <c r="KUW192" s="309"/>
      <c r="KUX192" s="329"/>
      <c r="KUY192" s="311"/>
      <c r="KUZ192" s="312"/>
      <c r="KVA192" s="326"/>
      <c r="KVB192" s="332"/>
      <c r="KVC192" s="321"/>
      <c r="KVD192" s="321"/>
      <c r="KVE192" s="331"/>
      <c r="KVF192" s="308"/>
      <c r="KVG192" s="301"/>
      <c r="KVH192" s="301"/>
      <c r="KVI192" s="302"/>
      <c r="KVJ192" s="309"/>
      <c r="KVK192" s="329"/>
      <c r="KVL192" s="311"/>
      <c r="KVM192" s="312"/>
      <c r="KVN192" s="326"/>
      <c r="KVO192" s="332"/>
      <c r="KVP192" s="321"/>
      <c r="KVQ192" s="321"/>
      <c r="KVR192" s="331"/>
      <c r="KVS192" s="308"/>
      <c r="KVT192" s="301"/>
      <c r="KVU192" s="301"/>
      <c r="KVV192" s="302"/>
      <c r="KVW192" s="309"/>
      <c r="KVX192" s="329"/>
      <c r="KVY192" s="311"/>
      <c r="KVZ192" s="312"/>
      <c r="KWA192" s="326"/>
      <c r="KWB192" s="332"/>
      <c r="KWC192" s="321"/>
      <c r="KWD192" s="321"/>
      <c r="KWE192" s="331"/>
      <c r="KWF192" s="308"/>
      <c r="KWG192" s="301"/>
      <c r="KWH192" s="301"/>
      <c r="KWI192" s="302"/>
      <c r="KWJ192" s="309"/>
      <c r="KWK192" s="329"/>
      <c r="KWL192" s="311"/>
      <c r="KWM192" s="312"/>
      <c r="KWN192" s="326"/>
      <c r="KWO192" s="332"/>
      <c r="KWP192" s="321"/>
      <c r="KWQ192" s="321"/>
      <c r="KWR192" s="331"/>
      <c r="KWS192" s="308"/>
      <c r="KWT192" s="301"/>
      <c r="KWU192" s="301"/>
      <c r="KWV192" s="302"/>
      <c r="KWW192" s="309"/>
      <c r="KWX192" s="329"/>
      <c r="KWY192" s="311"/>
      <c r="KWZ192" s="312"/>
      <c r="KXA192" s="326"/>
      <c r="KXB192" s="332"/>
      <c r="KXC192" s="321"/>
      <c r="KXD192" s="321"/>
      <c r="KXE192" s="331"/>
      <c r="KXF192" s="308"/>
      <c r="KXG192" s="301"/>
      <c r="KXH192" s="301"/>
      <c r="KXI192" s="302"/>
      <c r="KXJ192" s="309"/>
      <c r="KXK192" s="329"/>
      <c r="KXL192" s="311"/>
      <c r="KXM192" s="312"/>
      <c r="KXN192" s="326"/>
      <c r="KXO192" s="332"/>
      <c r="KXP192" s="321"/>
      <c r="KXQ192" s="321"/>
      <c r="KXR192" s="331"/>
      <c r="KXS192" s="308"/>
      <c r="KXT192" s="301"/>
      <c r="KXU192" s="301"/>
      <c r="KXV192" s="302"/>
      <c r="KXW192" s="309"/>
      <c r="KXX192" s="329"/>
      <c r="KXY192" s="311"/>
      <c r="KXZ192" s="312"/>
      <c r="KYA192" s="326"/>
      <c r="KYB192" s="332"/>
      <c r="KYC192" s="321"/>
      <c r="KYD192" s="321"/>
      <c r="KYE192" s="331"/>
      <c r="KYF192" s="308"/>
      <c r="KYG192" s="301"/>
      <c r="KYH192" s="301"/>
      <c r="KYI192" s="302"/>
      <c r="KYJ192" s="309"/>
      <c r="KYK192" s="329"/>
      <c r="KYL192" s="311"/>
      <c r="KYM192" s="312"/>
      <c r="KYN192" s="326"/>
      <c r="KYO192" s="332"/>
      <c r="KYP192" s="321"/>
      <c r="KYQ192" s="321"/>
      <c r="KYR192" s="331"/>
      <c r="KYS192" s="308"/>
      <c r="KYT192" s="301"/>
      <c r="KYU192" s="301"/>
      <c r="KYV192" s="302"/>
      <c r="KYW192" s="309"/>
      <c r="KYX192" s="329"/>
      <c r="KYY192" s="311"/>
      <c r="KYZ192" s="312"/>
      <c r="KZA192" s="326"/>
      <c r="KZB192" s="332"/>
      <c r="KZC192" s="321"/>
      <c r="KZD192" s="321"/>
      <c r="KZE192" s="331"/>
      <c r="KZF192" s="308"/>
      <c r="KZG192" s="301"/>
      <c r="KZH192" s="301"/>
      <c r="KZI192" s="302"/>
      <c r="KZJ192" s="309"/>
      <c r="KZK192" s="329"/>
      <c r="KZL192" s="311"/>
      <c r="KZM192" s="312"/>
      <c r="KZN192" s="326"/>
      <c r="KZO192" s="332"/>
      <c r="KZP192" s="321"/>
      <c r="KZQ192" s="321"/>
      <c r="KZR192" s="331"/>
      <c r="KZS192" s="308"/>
      <c r="KZT192" s="301"/>
      <c r="KZU192" s="301"/>
      <c r="KZV192" s="302"/>
      <c r="KZW192" s="309"/>
      <c r="KZX192" s="329"/>
      <c r="KZY192" s="311"/>
      <c r="KZZ192" s="312"/>
      <c r="LAA192" s="326"/>
      <c r="LAB192" s="332"/>
      <c r="LAC192" s="321"/>
      <c r="LAD192" s="321"/>
      <c r="LAE192" s="331"/>
      <c r="LAF192" s="308"/>
      <c r="LAG192" s="301"/>
      <c r="LAH192" s="301"/>
      <c r="LAI192" s="302"/>
      <c r="LAJ192" s="309"/>
      <c r="LAK192" s="329"/>
      <c r="LAL192" s="311"/>
      <c r="LAM192" s="312"/>
      <c r="LAN192" s="326"/>
      <c r="LAO192" s="332"/>
      <c r="LAP192" s="321"/>
      <c r="LAQ192" s="321"/>
      <c r="LAR192" s="331"/>
      <c r="LAS192" s="308"/>
      <c r="LAT192" s="301"/>
      <c r="LAU192" s="301"/>
      <c r="LAV192" s="302"/>
      <c r="LAW192" s="309"/>
      <c r="LAX192" s="329"/>
      <c r="LAY192" s="311"/>
      <c r="LAZ192" s="312"/>
      <c r="LBA192" s="326"/>
      <c r="LBB192" s="332"/>
      <c r="LBC192" s="321"/>
      <c r="LBD192" s="321"/>
      <c r="LBE192" s="331"/>
      <c r="LBF192" s="308"/>
      <c r="LBG192" s="301"/>
      <c r="LBH192" s="301"/>
      <c r="LBI192" s="302"/>
      <c r="LBJ192" s="309"/>
      <c r="LBK192" s="329"/>
      <c r="LBL192" s="311"/>
      <c r="LBM192" s="312"/>
      <c r="LBN192" s="326"/>
      <c r="LBO192" s="332"/>
      <c r="LBP192" s="321"/>
      <c r="LBQ192" s="321"/>
      <c r="LBR192" s="331"/>
      <c r="LBS192" s="308"/>
      <c r="LBT192" s="301"/>
      <c r="LBU192" s="301"/>
      <c r="LBV192" s="302"/>
      <c r="LBW192" s="309"/>
      <c r="LBX192" s="329"/>
      <c r="LBY192" s="311"/>
      <c r="LBZ192" s="312"/>
      <c r="LCA192" s="326"/>
      <c r="LCB192" s="332"/>
      <c r="LCC192" s="321"/>
      <c r="LCD192" s="321"/>
      <c r="LCE192" s="331"/>
      <c r="LCF192" s="308"/>
      <c r="LCG192" s="301"/>
      <c r="LCH192" s="301"/>
      <c r="LCI192" s="302"/>
      <c r="LCJ192" s="309"/>
      <c r="LCK192" s="329"/>
      <c r="LCL192" s="311"/>
      <c r="LCM192" s="312"/>
      <c r="LCN192" s="326"/>
      <c r="LCO192" s="332"/>
      <c r="LCP192" s="321"/>
      <c r="LCQ192" s="321"/>
      <c r="LCR192" s="331"/>
      <c r="LCS192" s="308"/>
      <c r="LCT192" s="301"/>
      <c r="LCU192" s="301"/>
      <c r="LCV192" s="302"/>
      <c r="LCW192" s="309"/>
      <c r="LCX192" s="329"/>
      <c r="LCY192" s="311"/>
      <c r="LCZ192" s="312"/>
      <c r="LDA192" s="326"/>
      <c r="LDB192" s="332"/>
      <c r="LDC192" s="321"/>
      <c r="LDD192" s="321"/>
      <c r="LDE192" s="331"/>
      <c r="LDF192" s="308"/>
      <c r="LDG192" s="301"/>
      <c r="LDH192" s="301"/>
      <c r="LDI192" s="302"/>
      <c r="LDJ192" s="309"/>
      <c r="LDK192" s="329"/>
      <c r="LDL192" s="311"/>
      <c r="LDM192" s="312"/>
      <c r="LDN192" s="326"/>
      <c r="LDO192" s="332"/>
      <c r="LDP192" s="321"/>
      <c r="LDQ192" s="321"/>
      <c r="LDR192" s="331"/>
      <c r="LDS192" s="308"/>
      <c r="LDT192" s="301"/>
      <c r="LDU192" s="301"/>
      <c r="LDV192" s="302"/>
      <c r="LDW192" s="309"/>
      <c r="LDX192" s="329"/>
      <c r="LDY192" s="311"/>
      <c r="LDZ192" s="312"/>
      <c r="LEA192" s="326"/>
      <c r="LEB192" s="332"/>
      <c r="LEC192" s="321"/>
      <c r="LED192" s="321"/>
      <c r="LEE192" s="331"/>
      <c r="LEF192" s="308"/>
      <c r="LEG192" s="301"/>
      <c r="LEH192" s="301"/>
      <c r="LEI192" s="302"/>
      <c r="LEJ192" s="309"/>
      <c r="LEK192" s="329"/>
      <c r="LEL192" s="311"/>
      <c r="LEM192" s="312"/>
      <c r="LEN192" s="326"/>
      <c r="LEO192" s="332"/>
      <c r="LEP192" s="321"/>
      <c r="LEQ192" s="321"/>
      <c r="LER192" s="331"/>
      <c r="LES192" s="308"/>
      <c r="LET192" s="301"/>
      <c r="LEU192" s="301"/>
      <c r="LEV192" s="302"/>
      <c r="LEW192" s="309"/>
      <c r="LEX192" s="329"/>
      <c r="LEY192" s="311"/>
      <c r="LEZ192" s="312"/>
      <c r="LFA192" s="326"/>
      <c r="LFB192" s="332"/>
      <c r="LFC192" s="321"/>
      <c r="LFD192" s="321"/>
      <c r="LFE192" s="331"/>
      <c r="LFF192" s="308"/>
      <c r="LFG192" s="301"/>
      <c r="LFH192" s="301"/>
      <c r="LFI192" s="302"/>
      <c r="LFJ192" s="309"/>
      <c r="LFK192" s="329"/>
      <c r="LFL192" s="311"/>
      <c r="LFM192" s="312"/>
      <c r="LFN192" s="326"/>
      <c r="LFO192" s="332"/>
      <c r="LFP192" s="321"/>
      <c r="LFQ192" s="321"/>
      <c r="LFR192" s="331"/>
      <c r="LFS192" s="308"/>
      <c r="LFT192" s="301"/>
      <c r="LFU192" s="301"/>
      <c r="LFV192" s="302"/>
      <c r="LFW192" s="309"/>
      <c r="LFX192" s="329"/>
      <c r="LFY192" s="311"/>
      <c r="LFZ192" s="312"/>
      <c r="LGA192" s="326"/>
      <c r="LGB192" s="332"/>
      <c r="LGC192" s="321"/>
      <c r="LGD192" s="321"/>
      <c r="LGE192" s="331"/>
      <c r="LGF192" s="308"/>
      <c r="LGG192" s="301"/>
      <c r="LGH192" s="301"/>
      <c r="LGI192" s="302"/>
      <c r="LGJ192" s="309"/>
      <c r="LGK192" s="329"/>
      <c r="LGL192" s="311"/>
      <c r="LGM192" s="312"/>
      <c r="LGN192" s="326"/>
      <c r="LGO192" s="332"/>
      <c r="LGP192" s="321"/>
      <c r="LGQ192" s="321"/>
      <c r="LGR192" s="331"/>
      <c r="LGS192" s="308"/>
      <c r="LGT192" s="301"/>
      <c r="LGU192" s="301"/>
      <c r="LGV192" s="302"/>
      <c r="LGW192" s="309"/>
      <c r="LGX192" s="329"/>
      <c r="LGY192" s="311"/>
      <c r="LGZ192" s="312"/>
      <c r="LHA192" s="326"/>
      <c r="LHB192" s="332"/>
      <c r="LHC192" s="321"/>
      <c r="LHD192" s="321"/>
      <c r="LHE192" s="331"/>
      <c r="LHF192" s="308"/>
      <c r="LHG192" s="301"/>
      <c r="LHH192" s="301"/>
      <c r="LHI192" s="302"/>
      <c r="LHJ192" s="309"/>
      <c r="LHK192" s="329"/>
      <c r="LHL192" s="311"/>
      <c r="LHM192" s="312"/>
      <c r="LHN192" s="326"/>
      <c r="LHO192" s="332"/>
      <c r="LHP192" s="321"/>
      <c r="LHQ192" s="321"/>
      <c r="LHR192" s="331"/>
      <c r="LHS192" s="308"/>
      <c r="LHT192" s="301"/>
      <c r="LHU192" s="301"/>
      <c r="LHV192" s="302"/>
      <c r="LHW192" s="309"/>
      <c r="LHX192" s="329"/>
      <c r="LHY192" s="311"/>
      <c r="LHZ192" s="312"/>
      <c r="LIA192" s="326"/>
      <c r="LIB192" s="332"/>
      <c r="LIC192" s="321"/>
      <c r="LID192" s="321"/>
      <c r="LIE192" s="331"/>
      <c r="LIF192" s="308"/>
      <c r="LIG192" s="301"/>
      <c r="LIH192" s="301"/>
      <c r="LII192" s="302"/>
      <c r="LIJ192" s="309"/>
      <c r="LIK192" s="329"/>
      <c r="LIL192" s="311"/>
      <c r="LIM192" s="312"/>
      <c r="LIN192" s="326"/>
      <c r="LIO192" s="332"/>
      <c r="LIP192" s="321"/>
      <c r="LIQ192" s="321"/>
      <c r="LIR192" s="331"/>
      <c r="LIS192" s="308"/>
      <c r="LIT192" s="301"/>
      <c r="LIU192" s="301"/>
      <c r="LIV192" s="302"/>
      <c r="LIW192" s="309"/>
      <c r="LIX192" s="329"/>
      <c r="LIY192" s="311"/>
      <c r="LIZ192" s="312"/>
      <c r="LJA192" s="326"/>
      <c r="LJB192" s="332"/>
      <c r="LJC192" s="321"/>
      <c r="LJD192" s="321"/>
      <c r="LJE192" s="331"/>
      <c r="LJF192" s="308"/>
      <c r="LJG192" s="301"/>
      <c r="LJH192" s="301"/>
      <c r="LJI192" s="302"/>
      <c r="LJJ192" s="309"/>
      <c r="LJK192" s="329"/>
      <c r="LJL192" s="311"/>
      <c r="LJM192" s="312"/>
      <c r="LJN192" s="326"/>
      <c r="LJO192" s="332"/>
      <c r="LJP192" s="321"/>
      <c r="LJQ192" s="321"/>
      <c r="LJR192" s="331"/>
      <c r="LJS192" s="308"/>
      <c r="LJT192" s="301"/>
      <c r="LJU192" s="301"/>
      <c r="LJV192" s="302"/>
      <c r="LJW192" s="309"/>
      <c r="LJX192" s="329"/>
      <c r="LJY192" s="311"/>
      <c r="LJZ192" s="312"/>
      <c r="LKA192" s="326"/>
      <c r="LKB192" s="332"/>
      <c r="LKC192" s="321"/>
      <c r="LKD192" s="321"/>
      <c r="LKE192" s="331"/>
      <c r="LKF192" s="308"/>
      <c r="LKG192" s="301"/>
      <c r="LKH192" s="301"/>
      <c r="LKI192" s="302"/>
      <c r="LKJ192" s="309"/>
      <c r="LKK192" s="329"/>
      <c r="LKL192" s="311"/>
      <c r="LKM192" s="312"/>
      <c r="LKN192" s="326"/>
      <c r="LKO192" s="332"/>
      <c r="LKP192" s="321"/>
      <c r="LKQ192" s="321"/>
      <c r="LKR192" s="331"/>
      <c r="LKS192" s="308"/>
      <c r="LKT192" s="301"/>
      <c r="LKU192" s="301"/>
      <c r="LKV192" s="302"/>
      <c r="LKW192" s="309"/>
      <c r="LKX192" s="329"/>
      <c r="LKY192" s="311"/>
      <c r="LKZ192" s="312"/>
      <c r="LLA192" s="326"/>
      <c r="LLB192" s="332"/>
      <c r="LLC192" s="321"/>
      <c r="LLD192" s="321"/>
      <c r="LLE192" s="331"/>
      <c r="LLF192" s="308"/>
      <c r="LLG192" s="301"/>
      <c r="LLH192" s="301"/>
      <c r="LLI192" s="302"/>
      <c r="LLJ192" s="309"/>
      <c r="LLK192" s="329"/>
      <c r="LLL192" s="311"/>
      <c r="LLM192" s="312"/>
      <c r="LLN192" s="326"/>
      <c r="LLO192" s="332"/>
      <c r="LLP192" s="321"/>
      <c r="LLQ192" s="321"/>
      <c r="LLR192" s="331"/>
      <c r="LLS192" s="308"/>
      <c r="LLT192" s="301"/>
      <c r="LLU192" s="301"/>
      <c r="LLV192" s="302"/>
      <c r="LLW192" s="309"/>
      <c r="LLX192" s="329"/>
      <c r="LLY192" s="311"/>
      <c r="LLZ192" s="312"/>
      <c r="LMA192" s="326"/>
      <c r="LMB192" s="332"/>
      <c r="LMC192" s="321"/>
      <c r="LMD192" s="321"/>
      <c r="LME192" s="331"/>
      <c r="LMF192" s="308"/>
      <c r="LMG192" s="301"/>
      <c r="LMH192" s="301"/>
      <c r="LMI192" s="302"/>
      <c r="LMJ192" s="309"/>
      <c r="LMK192" s="329"/>
      <c r="LML192" s="311"/>
      <c r="LMM192" s="312"/>
      <c r="LMN192" s="326"/>
      <c r="LMO192" s="332"/>
      <c r="LMP192" s="321"/>
      <c r="LMQ192" s="321"/>
      <c r="LMR192" s="331"/>
      <c r="LMS192" s="308"/>
      <c r="LMT192" s="301"/>
      <c r="LMU192" s="301"/>
      <c r="LMV192" s="302"/>
      <c r="LMW192" s="309"/>
      <c r="LMX192" s="329"/>
      <c r="LMY192" s="311"/>
      <c r="LMZ192" s="312"/>
      <c r="LNA192" s="326"/>
      <c r="LNB192" s="332"/>
      <c r="LNC192" s="321"/>
      <c r="LND192" s="321"/>
      <c r="LNE192" s="331"/>
      <c r="LNF192" s="308"/>
      <c r="LNG192" s="301"/>
      <c r="LNH192" s="301"/>
      <c r="LNI192" s="302"/>
      <c r="LNJ192" s="309"/>
      <c r="LNK192" s="329"/>
      <c r="LNL192" s="311"/>
      <c r="LNM192" s="312"/>
      <c r="LNN192" s="326"/>
      <c r="LNO192" s="332"/>
      <c r="LNP192" s="321"/>
      <c r="LNQ192" s="321"/>
      <c r="LNR192" s="331"/>
      <c r="LNS192" s="308"/>
      <c r="LNT192" s="301"/>
      <c r="LNU192" s="301"/>
      <c r="LNV192" s="302"/>
      <c r="LNW192" s="309"/>
      <c r="LNX192" s="329"/>
      <c r="LNY192" s="311"/>
      <c r="LNZ192" s="312"/>
      <c r="LOA192" s="326"/>
      <c r="LOB192" s="332"/>
      <c r="LOC192" s="321"/>
      <c r="LOD192" s="321"/>
      <c r="LOE192" s="331"/>
      <c r="LOF192" s="308"/>
      <c r="LOG192" s="301"/>
      <c r="LOH192" s="301"/>
      <c r="LOI192" s="302"/>
      <c r="LOJ192" s="309"/>
      <c r="LOK192" s="329"/>
      <c r="LOL192" s="311"/>
      <c r="LOM192" s="312"/>
      <c r="LON192" s="326"/>
      <c r="LOO192" s="332"/>
      <c r="LOP192" s="321"/>
      <c r="LOQ192" s="321"/>
      <c r="LOR192" s="331"/>
      <c r="LOS192" s="308"/>
      <c r="LOT192" s="301"/>
      <c r="LOU192" s="301"/>
      <c r="LOV192" s="302"/>
      <c r="LOW192" s="309"/>
      <c r="LOX192" s="329"/>
      <c r="LOY192" s="311"/>
      <c r="LOZ192" s="312"/>
      <c r="LPA192" s="326"/>
      <c r="LPB192" s="332"/>
      <c r="LPC192" s="321"/>
      <c r="LPD192" s="321"/>
      <c r="LPE192" s="331"/>
      <c r="LPF192" s="308"/>
      <c r="LPG192" s="301"/>
      <c r="LPH192" s="301"/>
      <c r="LPI192" s="302"/>
      <c r="LPJ192" s="309"/>
      <c r="LPK192" s="329"/>
      <c r="LPL192" s="311"/>
      <c r="LPM192" s="312"/>
      <c r="LPN192" s="326"/>
      <c r="LPO192" s="332"/>
      <c r="LPP192" s="321"/>
      <c r="LPQ192" s="321"/>
      <c r="LPR192" s="331"/>
      <c r="LPS192" s="308"/>
      <c r="LPT192" s="301"/>
      <c r="LPU192" s="301"/>
      <c r="LPV192" s="302"/>
      <c r="LPW192" s="309"/>
      <c r="LPX192" s="329"/>
      <c r="LPY192" s="311"/>
      <c r="LPZ192" s="312"/>
      <c r="LQA192" s="326"/>
      <c r="LQB192" s="332"/>
      <c r="LQC192" s="321"/>
      <c r="LQD192" s="321"/>
      <c r="LQE192" s="331"/>
      <c r="LQF192" s="308"/>
      <c r="LQG192" s="301"/>
      <c r="LQH192" s="301"/>
      <c r="LQI192" s="302"/>
      <c r="LQJ192" s="309"/>
      <c r="LQK192" s="329"/>
      <c r="LQL192" s="311"/>
      <c r="LQM192" s="312"/>
      <c r="LQN192" s="326"/>
      <c r="LQO192" s="332"/>
      <c r="LQP192" s="321"/>
      <c r="LQQ192" s="321"/>
      <c r="LQR192" s="331"/>
      <c r="LQS192" s="308"/>
      <c r="LQT192" s="301"/>
      <c r="LQU192" s="301"/>
      <c r="LQV192" s="302"/>
      <c r="LQW192" s="309"/>
      <c r="LQX192" s="329"/>
      <c r="LQY192" s="311"/>
      <c r="LQZ192" s="312"/>
      <c r="LRA192" s="326"/>
      <c r="LRB192" s="332"/>
      <c r="LRC192" s="321"/>
      <c r="LRD192" s="321"/>
      <c r="LRE192" s="331"/>
      <c r="LRF192" s="308"/>
      <c r="LRG192" s="301"/>
      <c r="LRH192" s="301"/>
      <c r="LRI192" s="302"/>
      <c r="LRJ192" s="309"/>
      <c r="LRK192" s="329"/>
      <c r="LRL192" s="311"/>
      <c r="LRM192" s="312"/>
      <c r="LRN192" s="326"/>
      <c r="LRO192" s="332"/>
      <c r="LRP192" s="321"/>
      <c r="LRQ192" s="321"/>
      <c r="LRR192" s="331"/>
      <c r="LRS192" s="308"/>
      <c r="LRT192" s="301"/>
      <c r="LRU192" s="301"/>
      <c r="LRV192" s="302"/>
      <c r="LRW192" s="309"/>
      <c r="LRX192" s="329"/>
      <c r="LRY192" s="311"/>
      <c r="LRZ192" s="312"/>
      <c r="LSA192" s="326"/>
      <c r="LSB192" s="332"/>
      <c r="LSC192" s="321"/>
      <c r="LSD192" s="321"/>
      <c r="LSE192" s="331"/>
      <c r="LSF192" s="308"/>
      <c r="LSG192" s="301"/>
      <c r="LSH192" s="301"/>
      <c r="LSI192" s="302"/>
      <c r="LSJ192" s="309"/>
      <c r="LSK192" s="329"/>
      <c r="LSL192" s="311"/>
      <c r="LSM192" s="312"/>
      <c r="LSN192" s="326"/>
      <c r="LSO192" s="332"/>
      <c r="LSP192" s="321"/>
      <c r="LSQ192" s="321"/>
      <c r="LSR192" s="331"/>
      <c r="LSS192" s="308"/>
      <c r="LST192" s="301"/>
      <c r="LSU192" s="301"/>
      <c r="LSV192" s="302"/>
      <c r="LSW192" s="309"/>
      <c r="LSX192" s="329"/>
      <c r="LSY192" s="311"/>
      <c r="LSZ192" s="312"/>
      <c r="LTA192" s="326"/>
      <c r="LTB192" s="332"/>
      <c r="LTC192" s="321"/>
      <c r="LTD192" s="321"/>
      <c r="LTE192" s="331"/>
      <c r="LTF192" s="308"/>
      <c r="LTG192" s="301"/>
      <c r="LTH192" s="301"/>
      <c r="LTI192" s="302"/>
      <c r="LTJ192" s="309"/>
      <c r="LTK192" s="329"/>
      <c r="LTL192" s="311"/>
      <c r="LTM192" s="312"/>
      <c r="LTN192" s="326"/>
      <c r="LTO192" s="332"/>
      <c r="LTP192" s="321"/>
      <c r="LTQ192" s="321"/>
      <c r="LTR192" s="331"/>
      <c r="LTS192" s="308"/>
      <c r="LTT192" s="301"/>
      <c r="LTU192" s="301"/>
      <c r="LTV192" s="302"/>
      <c r="LTW192" s="309"/>
      <c r="LTX192" s="329"/>
      <c r="LTY192" s="311"/>
      <c r="LTZ192" s="312"/>
      <c r="LUA192" s="326"/>
      <c r="LUB192" s="332"/>
      <c r="LUC192" s="321"/>
      <c r="LUD192" s="321"/>
      <c r="LUE192" s="331"/>
      <c r="LUF192" s="308"/>
      <c r="LUG192" s="301"/>
      <c r="LUH192" s="301"/>
      <c r="LUI192" s="302"/>
      <c r="LUJ192" s="309"/>
      <c r="LUK192" s="329"/>
      <c r="LUL192" s="311"/>
      <c r="LUM192" s="312"/>
      <c r="LUN192" s="326"/>
      <c r="LUO192" s="332"/>
      <c r="LUP192" s="321"/>
      <c r="LUQ192" s="321"/>
      <c r="LUR192" s="331"/>
      <c r="LUS192" s="308"/>
      <c r="LUT192" s="301"/>
      <c r="LUU192" s="301"/>
      <c r="LUV192" s="302"/>
      <c r="LUW192" s="309"/>
      <c r="LUX192" s="329"/>
      <c r="LUY192" s="311"/>
      <c r="LUZ192" s="312"/>
      <c r="LVA192" s="326"/>
      <c r="LVB192" s="332"/>
      <c r="LVC192" s="321"/>
      <c r="LVD192" s="321"/>
      <c r="LVE192" s="331"/>
      <c r="LVF192" s="308"/>
      <c r="LVG192" s="301"/>
      <c r="LVH192" s="301"/>
      <c r="LVI192" s="302"/>
      <c r="LVJ192" s="309"/>
      <c r="LVK192" s="329"/>
      <c r="LVL192" s="311"/>
      <c r="LVM192" s="312"/>
      <c r="LVN192" s="326"/>
      <c r="LVO192" s="332"/>
      <c r="LVP192" s="321"/>
      <c r="LVQ192" s="321"/>
      <c r="LVR192" s="331"/>
      <c r="LVS192" s="308"/>
      <c r="LVT192" s="301"/>
      <c r="LVU192" s="301"/>
      <c r="LVV192" s="302"/>
      <c r="LVW192" s="309"/>
      <c r="LVX192" s="329"/>
      <c r="LVY192" s="311"/>
      <c r="LVZ192" s="312"/>
      <c r="LWA192" s="326"/>
      <c r="LWB192" s="332"/>
      <c r="LWC192" s="321"/>
      <c r="LWD192" s="321"/>
      <c r="LWE192" s="331"/>
      <c r="LWF192" s="308"/>
      <c r="LWG192" s="301"/>
      <c r="LWH192" s="301"/>
      <c r="LWI192" s="302"/>
      <c r="LWJ192" s="309"/>
      <c r="LWK192" s="329"/>
      <c r="LWL192" s="311"/>
      <c r="LWM192" s="312"/>
      <c r="LWN192" s="326"/>
      <c r="LWO192" s="332"/>
      <c r="LWP192" s="321"/>
      <c r="LWQ192" s="321"/>
      <c r="LWR192" s="331"/>
      <c r="LWS192" s="308"/>
      <c r="LWT192" s="301"/>
      <c r="LWU192" s="301"/>
      <c r="LWV192" s="302"/>
      <c r="LWW192" s="309"/>
      <c r="LWX192" s="329"/>
      <c r="LWY192" s="311"/>
      <c r="LWZ192" s="312"/>
      <c r="LXA192" s="326"/>
      <c r="LXB192" s="332"/>
      <c r="LXC192" s="321"/>
      <c r="LXD192" s="321"/>
      <c r="LXE192" s="331"/>
      <c r="LXF192" s="308"/>
      <c r="LXG192" s="301"/>
      <c r="LXH192" s="301"/>
      <c r="LXI192" s="302"/>
      <c r="LXJ192" s="309"/>
      <c r="LXK192" s="329"/>
      <c r="LXL192" s="311"/>
      <c r="LXM192" s="312"/>
      <c r="LXN192" s="326"/>
      <c r="LXO192" s="332"/>
      <c r="LXP192" s="321"/>
      <c r="LXQ192" s="321"/>
      <c r="LXR192" s="331"/>
      <c r="LXS192" s="308"/>
      <c r="LXT192" s="301"/>
      <c r="LXU192" s="301"/>
      <c r="LXV192" s="302"/>
      <c r="LXW192" s="309"/>
      <c r="LXX192" s="329"/>
      <c r="LXY192" s="311"/>
      <c r="LXZ192" s="312"/>
      <c r="LYA192" s="326"/>
      <c r="LYB192" s="332"/>
      <c r="LYC192" s="321"/>
      <c r="LYD192" s="321"/>
      <c r="LYE192" s="331"/>
      <c r="LYF192" s="308"/>
      <c r="LYG192" s="301"/>
      <c r="LYH192" s="301"/>
      <c r="LYI192" s="302"/>
      <c r="LYJ192" s="309"/>
      <c r="LYK192" s="329"/>
      <c r="LYL192" s="311"/>
      <c r="LYM192" s="312"/>
      <c r="LYN192" s="326"/>
      <c r="LYO192" s="332"/>
      <c r="LYP192" s="321"/>
      <c r="LYQ192" s="321"/>
      <c r="LYR192" s="331"/>
      <c r="LYS192" s="308"/>
      <c r="LYT192" s="301"/>
      <c r="LYU192" s="301"/>
      <c r="LYV192" s="302"/>
      <c r="LYW192" s="309"/>
      <c r="LYX192" s="329"/>
      <c r="LYY192" s="311"/>
      <c r="LYZ192" s="312"/>
      <c r="LZA192" s="326"/>
      <c r="LZB192" s="332"/>
      <c r="LZC192" s="321"/>
      <c r="LZD192" s="321"/>
      <c r="LZE192" s="331"/>
      <c r="LZF192" s="308"/>
      <c r="LZG192" s="301"/>
      <c r="LZH192" s="301"/>
      <c r="LZI192" s="302"/>
      <c r="LZJ192" s="309"/>
      <c r="LZK192" s="329"/>
      <c r="LZL192" s="311"/>
      <c r="LZM192" s="312"/>
      <c r="LZN192" s="326"/>
      <c r="LZO192" s="332"/>
      <c r="LZP192" s="321"/>
      <c r="LZQ192" s="321"/>
      <c r="LZR192" s="331"/>
      <c r="LZS192" s="308"/>
      <c r="LZT192" s="301"/>
      <c r="LZU192" s="301"/>
      <c r="LZV192" s="302"/>
      <c r="LZW192" s="309"/>
      <c r="LZX192" s="329"/>
      <c r="LZY192" s="311"/>
      <c r="LZZ192" s="312"/>
      <c r="MAA192" s="326"/>
      <c r="MAB192" s="332"/>
      <c r="MAC192" s="321"/>
      <c r="MAD192" s="321"/>
      <c r="MAE192" s="331"/>
      <c r="MAF192" s="308"/>
      <c r="MAG192" s="301"/>
      <c r="MAH192" s="301"/>
      <c r="MAI192" s="302"/>
      <c r="MAJ192" s="309"/>
      <c r="MAK192" s="329"/>
      <c r="MAL192" s="311"/>
      <c r="MAM192" s="312"/>
      <c r="MAN192" s="326"/>
      <c r="MAO192" s="332"/>
      <c r="MAP192" s="321"/>
      <c r="MAQ192" s="321"/>
      <c r="MAR192" s="331"/>
      <c r="MAS192" s="308"/>
      <c r="MAT192" s="301"/>
      <c r="MAU192" s="301"/>
      <c r="MAV192" s="302"/>
      <c r="MAW192" s="309"/>
      <c r="MAX192" s="329"/>
      <c r="MAY192" s="311"/>
      <c r="MAZ192" s="312"/>
      <c r="MBA192" s="326"/>
      <c r="MBB192" s="332"/>
      <c r="MBC192" s="321"/>
      <c r="MBD192" s="321"/>
      <c r="MBE192" s="331"/>
      <c r="MBF192" s="308"/>
      <c r="MBG192" s="301"/>
      <c r="MBH192" s="301"/>
      <c r="MBI192" s="302"/>
      <c r="MBJ192" s="309"/>
      <c r="MBK192" s="329"/>
      <c r="MBL192" s="311"/>
      <c r="MBM192" s="312"/>
      <c r="MBN192" s="326"/>
      <c r="MBO192" s="332"/>
      <c r="MBP192" s="321"/>
      <c r="MBQ192" s="321"/>
      <c r="MBR192" s="331"/>
      <c r="MBS192" s="308"/>
      <c r="MBT192" s="301"/>
      <c r="MBU192" s="301"/>
      <c r="MBV192" s="302"/>
      <c r="MBW192" s="309"/>
      <c r="MBX192" s="329"/>
      <c r="MBY192" s="311"/>
      <c r="MBZ192" s="312"/>
      <c r="MCA192" s="326"/>
      <c r="MCB192" s="332"/>
      <c r="MCC192" s="321"/>
      <c r="MCD192" s="321"/>
      <c r="MCE192" s="331"/>
      <c r="MCF192" s="308"/>
      <c r="MCG192" s="301"/>
      <c r="MCH192" s="301"/>
      <c r="MCI192" s="302"/>
      <c r="MCJ192" s="309"/>
      <c r="MCK192" s="329"/>
      <c r="MCL192" s="311"/>
      <c r="MCM192" s="312"/>
      <c r="MCN192" s="326"/>
      <c r="MCO192" s="332"/>
      <c r="MCP192" s="321"/>
      <c r="MCQ192" s="321"/>
      <c r="MCR192" s="331"/>
      <c r="MCS192" s="308"/>
      <c r="MCT192" s="301"/>
      <c r="MCU192" s="301"/>
      <c r="MCV192" s="302"/>
      <c r="MCW192" s="309"/>
      <c r="MCX192" s="329"/>
      <c r="MCY192" s="311"/>
      <c r="MCZ192" s="312"/>
      <c r="MDA192" s="326"/>
      <c r="MDB192" s="332"/>
      <c r="MDC192" s="321"/>
      <c r="MDD192" s="321"/>
      <c r="MDE192" s="331"/>
      <c r="MDF192" s="308"/>
      <c r="MDG192" s="301"/>
      <c r="MDH192" s="301"/>
      <c r="MDI192" s="302"/>
      <c r="MDJ192" s="309"/>
      <c r="MDK192" s="329"/>
      <c r="MDL192" s="311"/>
      <c r="MDM192" s="312"/>
      <c r="MDN192" s="326"/>
      <c r="MDO192" s="332"/>
      <c r="MDP192" s="321"/>
      <c r="MDQ192" s="321"/>
      <c r="MDR192" s="331"/>
      <c r="MDS192" s="308"/>
      <c r="MDT192" s="301"/>
      <c r="MDU192" s="301"/>
      <c r="MDV192" s="302"/>
      <c r="MDW192" s="309"/>
      <c r="MDX192" s="329"/>
      <c r="MDY192" s="311"/>
      <c r="MDZ192" s="312"/>
      <c r="MEA192" s="326"/>
      <c r="MEB192" s="332"/>
      <c r="MEC192" s="321"/>
      <c r="MED192" s="321"/>
      <c r="MEE192" s="331"/>
      <c r="MEF192" s="308"/>
      <c r="MEG192" s="301"/>
      <c r="MEH192" s="301"/>
      <c r="MEI192" s="302"/>
      <c r="MEJ192" s="309"/>
      <c r="MEK192" s="329"/>
      <c r="MEL192" s="311"/>
      <c r="MEM192" s="312"/>
      <c r="MEN192" s="326"/>
      <c r="MEO192" s="332"/>
      <c r="MEP192" s="321"/>
      <c r="MEQ192" s="321"/>
      <c r="MER192" s="331"/>
      <c r="MES192" s="308"/>
      <c r="MET192" s="301"/>
      <c r="MEU192" s="301"/>
      <c r="MEV192" s="302"/>
      <c r="MEW192" s="309"/>
      <c r="MEX192" s="329"/>
      <c r="MEY192" s="311"/>
      <c r="MEZ192" s="312"/>
      <c r="MFA192" s="326"/>
      <c r="MFB192" s="332"/>
      <c r="MFC192" s="321"/>
      <c r="MFD192" s="321"/>
      <c r="MFE192" s="331"/>
      <c r="MFF192" s="308"/>
      <c r="MFG192" s="301"/>
      <c r="MFH192" s="301"/>
      <c r="MFI192" s="302"/>
      <c r="MFJ192" s="309"/>
      <c r="MFK192" s="329"/>
      <c r="MFL192" s="311"/>
      <c r="MFM192" s="312"/>
      <c r="MFN192" s="326"/>
      <c r="MFO192" s="332"/>
      <c r="MFP192" s="321"/>
      <c r="MFQ192" s="321"/>
      <c r="MFR192" s="331"/>
      <c r="MFS192" s="308"/>
      <c r="MFT192" s="301"/>
      <c r="MFU192" s="301"/>
      <c r="MFV192" s="302"/>
      <c r="MFW192" s="309"/>
      <c r="MFX192" s="329"/>
      <c r="MFY192" s="311"/>
      <c r="MFZ192" s="312"/>
      <c r="MGA192" s="326"/>
      <c r="MGB192" s="332"/>
      <c r="MGC192" s="321"/>
      <c r="MGD192" s="321"/>
      <c r="MGE192" s="331"/>
      <c r="MGF192" s="308"/>
      <c r="MGG192" s="301"/>
      <c r="MGH192" s="301"/>
      <c r="MGI192" s="302"/>
      <c r="MGJ192" s="309"/>
      <c r="MGK192" s="329"/>
      <c r="MGL192" s="311"/>
      <c r="MGM192" s="312"/>
      <c r="MGN192" s="326"/>
      <c r="MGO192" s="332"/>
      <c r="MGP192" s="321"/>
      <c r="MGQ192" s="321"/>
      <c r="MGR192" s="331"/>
      <c r="MGS192" s="308"/>
      <c r="MGT192" s="301"/>
      <c r="MGU192" s="301"/>
      <c r="MGV192" s="302"/>
      <c r="MGW192" s="309"/>
      <c r="MGX192" s="329"/>
      <c r="MGY192" s="311"/>
      <c r="MGZ192" s="312"/>
      <c r="MHA192" s="326"/>
      <c r="MHB192" s="332"/>
      <c r="MHC192" s="321"/>
      <c r="MHD192" s="321"/>
      <c r="MHE192" s="331"/>
      <c r="MHF192" s="308"/>
      <c r="MHG192" s="301"/>
      <c r="MHH192" s="301"/>
      <c r="MHI192" s="302"/>
      <c r="MHJ192" s="309"/>
      <c r="MHK192" s="329"/>
      <c r="MHL192" s="311"/>
      <c r="MHM192" s="312"/>
      <c r="MHN192" s="326"/>
      <c r="MHO192" s="332"/>
      <c r="MHP192" s="321"/>
      <c r="MHQ192" s="321"/>
      <c r="MHR192" s="331"/>
      <c r="MHS192" s="308"/>
      <c r="MHT192" s="301"/>
      <c r="MHU192" s="301"/>
      <c r="MHV192" s="302"/>
      <c r="MHW192" s="309"/>
      <c r="MHX192" s="329"/>
      <c r="MHY192" s="311"/>
      <c r="MHZ192" s="312"/>
      <c r="MIA192" s="326"/>
      <c r="MIB192" s="332"/>
      <c r="MIC192" s="321"/>
      <c r="MID192" s="321"/>
      <c r="MIE192" s="331"/>
      <c r="MIF192" s="308"/>
      <c r="MIG192" s="301"/>
      <c r="MIH192" s="301"/>
      <c r="MII192" s="302"/>
      <c r="MIJ192" s="309"/>
      <c r="MIK192" s="329"/>
      <c r="MIL192" s="311"/>
      <c r="MIM192" s="312"/>
      <c r="MIN192" s="326"/>
      <c r="MIO192" s="332"/>
      <c r="MIP192" s="321"/>
      <c r="MIQ192" s="321"/>
      <c r="MIR192" s="331"/>
      <c r="MIS192" s="308"/>
      <c r="MIT192" s="301"/>
      <c r="MIU192" s="301"/>
      <c r="MIV192" s="302"/>
      <c r="MIW192" s="309"/>
      <c r="MIX192" s="329"/>
      <c r="MIY192" s="311"/>
      <c r="MIZ192" s="312"/>
      <c r="MJA192" s="326"/>
      <c r="MJB192" s="332"/>
      <c r="MJC192" s="321"/>
      <c r="MJD192" s="321"/>
      <c r="MJE192" s="331"/>
      <c r="MJF192" s="308"/>
      <c r="MJG192" s="301"/>
      <c r="MJH192" s="301"/>
      <c r="MJI192" s="302"/>
      <c r="MJJ192" s="309"/>
      <c r="MJK192" s="329"/>
      <c r="MJL192" s="311"/>
      <c r="MJM192" s="312"/>
      <c r="MJN192" s="326"/>
      <c r="MJO192" s="332"/>
      <c r="MJP192" s="321"/>
      <c r="MJQ192" s="321"/>
      <c r="MJR192" s="331"/>
      <c r="MJS192" s="308"/>
      <c r="MJT192" s="301"/>
      <c r="MJU192" s="301"/>
      <c r="MJV192" s="302"/>
      <c r="MJW192" s="309"/>
      <c r="MJX192" s="329"/>
      <c r="MJY192" s="311"/>
      <c r="MJZ192" s="312"/>
      <c r="MKA192" s="326"/>
      <c r="MKB192" s="332"/>
      <c r="MKC192" s="321"/>
      <c r="MKD192" s="321"/>
      <c r="MKE192" s="331"/>
      <c r="MKF192" s="308"/>
      <c r="MKG192" s="301"/>
      <c r="MKH192" s="301"/>
      <c r="MKI192" s="302"/>
      <c r="MKJ192" s="309"/>
      <c r="MKK192" s="329"/>
      <c r="MKL192" s="311"/>
      <c r="MKM192" s="312"/>
      <c r="MKN192" s="326"/>
      <c r="MKO192" s="332"/>
      <c r="MKP192" s="321"/>
      <c r="MKQ192" s="321"/>
      <c r="MKR192" s="331"/>
      <c r="MKS192" s="308"/>
      <c r="MKT192" s="301"/>
      <c r="MKU192" s="301"/>
      <c r="MKV192" s="302"/>
      <c r="MKW192" s="309"/>
      <c r="MKX192" s="329"/>
      <c r="MKY192" s="311"/>
      <c r="MKZ192" s="312"/>
      <c r="MLA192" s="326"/>
      <c r="MLB192" s="332"/>
      <c r="MLC192" s="321"/>
      <c r="MLD192" s="321"/>
      <c r="MLE192" s="331"/>
      <c r="MLF192" s="308"/>
      <c r="MLG192" s="301"/>
      <c r="MLH192" s="301"/>
      <c r="MLI192" s="302"/>
      <c r="MLJ192" s="309"/>
      <c r="MLK192" s="329"/>
      <c r="MLL192" s="311"/>
      <c r="MLM192" s="312"/>
      <c r="MLN192" s="326"/>
      <c r="MLO192" s="332"/>
      <c r="MLP192" s="321"/>
      <c r="MLQ192" s="321"/>
      <c r="MLR192" s="331"/>
      <c r="MLS192" s="308"/>
      <c r="MLT192" s="301"/>
      <c r="MLU192" s="301"/>
      <c r="MLV192" s="302"/>
      <c r="MLW192" s="309"/>
      <c r="MLX192" s="329"/>
      <c r="MLY192" s="311"/>
      <c r="MLZ192" s="312"/>
      <c r="MMA192" s="326"/>
      <c r="MMB192" s="332"/>
      <c r="MMC192" s="321"/>
      <c r="MMD192" s="321"/>
      <c r="MME192" s="331"/>
      <c r="MMF192" s="308"/>
      <c r="MMG192" s="301"/>
      <c r="MMH192" s="301"/>
      <c r="MMI192" s="302"/>
      <c r="MMJ192" s="309"/>
      <c r="MMK192" s="329"/>
      <c r="MML192" s="311"/>
      <c r="MMM192" s="312"/>
      <c r="MMN192" s="326"/>
      <c r="MMO192" s="332"/>
      <c r="MMP192" s="321"/>
      <c r="MMQ192" s="321"/>
      <c r="MMR192" s="331"/>
      <c r="MMS192" s="308"/>
      <c r="MMT192" s="301"/>
      <c r="MMU192" s="301"/>
      <c r="MMV192" s="302"/>
      <c r="MMW192" s="309"/>
      <c r="MMX192" s="329"/>
      <c r="MMY192" s="311"/>
      <c r="MMZ192" s="312"/>
      <c r="MNA192" s="326"/>
      <c r="MNB192" s="332"/>
      <c r="MNC192" s="321"/>
      <c r="MND192" s="321"/>
      <c r="MNE192" s="331"/>
      <c r="MNF192" s="308"/>
      <c r="MNG192" s="301"/>
      <c r="MNH192" s="301"/>
      <c r="MNI192" s="302"/>
      <c r="MNJ192" s="309"/>
      <c r="MNK192" s="329"/>
      <c r="MNL192" s="311"/>
      <c r="MNM192" s="312"/>
      <c r="MNN192" s="326"/>
      <c r="MNO192" s="332"/>
      <c r="MNP192" s="321"/>
      <c r="MNQ192" s="321"/>
      <c r="MNR192" s="331"/>
      <c r="MNS192" s="308"/>
      <c r="MNT192" s="301"/>
      <c r="MNU192" s="301"/>
      <c r="MNV192" s="302"/>
      <c r="MNW192" s="309"/>
      <c r="MNX192" s="329"/>
      <c r="MNY192" s="311"/>
      <c r="MNZ192" s="312"/>
      <c r="MOA192" s="326"/>
      <c r="MOB192" s="332"/>
      <c r="MOC192" s="321"/>
      <c r="MOD192" s="321"/>
      <c r="MOE192" s="331"/>
      <c r="MOF192" s="308"/>
      <c r="MOG192" s="301"/>
      <c r="MOH192" s="301"/>
      <c r="MOI192" s="302"/>
      <c r="MOJ192" s="309"/>
      <c r="MOK192" s="329"/>
      <c r="MOL192" s="311"/>
      <c r="MOM192" s="312"/>
      <c r="MON192" s="326"/>
      <c r="MOO192" s="332"/>
      <c r="MOP192" s="321"/>
      <c r="MOQ192" s="321"/>
      <c r="MOR192" s="331"/>
      <c r="MOS192" s="308"/>
      <c r="MOT192" s="301"/>
      <c r="MOU192" s="301"/>
      <c r="MOV192" s="302"/>
      <c r="MOW192" s="309"/>
      <c r="MOX192" s="329"/>
      <c r="MOY192" s="311"/>
      <c r="MOZ192" s="312"/>
      <c r="MPA192" s="326"/>
      <c r="MPB192" s="332"/>
      <c r="MPC192" s="321"/>
      <c r="MPD192" s="321"/>
      <c r="MPE192" s="331"/>
      <c r="MPF192" s="308"/>
      <c r="MPG192" s="301"/>
      <c r="MPH192" s="301"/>
      <c r="MPI192" s="302"/>
      <c r="MPJ192" s="309"/>
      <c r="MPK192" s="329"/>
      <c r="MPL192" s="311"/>
      <c r="MPM192" s="312"/>
      <c r="MPN192" s="326"/>
      <c r="MPO192" s="332"/>
      <c r="MPP192" s="321"/>
      <c r="MPQ192" s="321"/>
      <c r="MPR192" s="331"/>
      <c r="MPS192" s="308"/>
      <c r="MPT192" s="301"/>
      <c r="MPU192" s="301"/>
      <c r="MPV192" s="302"/>
      <c r="MPW192" s="309"/>
      <c r="MPX192" s="329"/>
      <c r="MPY192" s="311"/>
      <c r="MPZ192" s="312"/>
      <c r="MQA192" s="326"/>
      <c r="MQB192" s="332"/>
      <c r="MQC192" s="321"/>
      <c r="MQD192" s="321"/>
      <c r="MQE192" s="331"/>
      <c r="MQF192" s="308"/>
      <c r="MQG192" s="301"/>
      <c r="MQH192" s="301"/>
      <c r="MQI192" s="302"/>
      <c r="MQJ192" s="309"/>
      <c r="MQK192" s="329"/>
      <c r="MQL192" s="311"/>
      <c r="MQM192" s="312"/>
      <c r="MQN192" s="326"/>
      <c r="MQO192" s="332"/>
      <c r="MQP192" s="321"/>
      <c r="MQQ192" s="321"/>
      <c r="MQR192" s="331"/>
      <c r="MQS192" s="308"/>
      <c r="MQT192" s="301"/>
      <c r="MQU192" s="301"/>
      <c r="MQV192" s="302"/>
      <c r="MQW192" s="309"/>
      <c r="MQX192" s="329"/>
      <c r="MQY192" s="311"/>
      <c r="MQZ192" s="312"/>
      <c r="MRA192" s="326"/>
      <c r="MRB192" s="332"/>
      <c r="MRC192" s="321"/>
      <c r="MRD192" s="321"/>
      <c r="MRE192" s="331"/>
      <c r="MRF192" s="308"/>
      <c r="MRG192" s="301"/>
      <c r="MRH192" s="301"/>
      <c r="MRI192" s="302"/>
      <c r="MRJ192" s="309"/>
      <c r="MRK192" s="329"/>
      <c r="MRL192" s="311"/>
      <c r="MRM192" s="312"/>
      <c r="MRN192" s="326"/>
      <c r="MRO192" s="332"/>
      <c r="MRP192" s="321"/>
      <c r="MRQ192" s="321"/>
      <c r="MRR192" s="331"/>
      <c r="MRS192" s="308"/>
      <c r="MRT192" s="301"/>
      <c r="MRU192" s="301"/>
      <c r="MRV192" s="302"/>
      <c r="MRW192" s="309"/>
      <c r="MRX192" s="329"/>
      <c r="MRY192" s="311"/>
      <c r="MRZ192" s="312"/>
      <c r="MSA192" s="326"/>
      <c r="MSB192" s="332"/>
      <c r="MSC192" s="321"/>
      <c r="MSD192" s="321"/>
      <c r="MSE192" s="331"/>
      <c r="MSF192" s="308"/>
      <c r="MSG192" s="301"/>
      <c r="MSH192" s="301"/>
      <c r="MSI192" s="302"/>
      <c r="MSJ192" s="309"/>
      <c r="MSK192" s="329"/>
      <c r="MSL192" s="311"/>
      <c r="MSM192" s="312"/>
      <c r="MSN192" s="326"/>
      <c r="MSO192" s="332"/>
      <c r="MSP192" s="321"/>
      <c r="MSQ192" s="321"/>
      <c r="MSR192" s="331"/>
      <c r="MSS192" s="308"/>
      <c r="MST192" s="301"/>
      <c r="MSU192" s="301"/>
      <c r="MSV192" s="302"/>
      <c r="MSW192" s="309"/>
      <c r="MSX192" s="329"/>
      <c r="MSY192" s="311"/>
      <c r="MSZ192" s="312"/>
      <c r="MTA192" s="326"/>
      <c r="MTB192" s="332"/>
      <c r="MTC192" s="321"/>
      <c r="MTD192" s="321"/>
      <c r="MTE192" s="331"/>
      <c r="MTF192" s="308"/>
      <c r="MTG192" s="301"/>
      <c r="MTH192" s="301"/>
      <c r="MTI192" s="302"/>
      <c r="MTJ192" s="309"/>
      <c r="MTK192" s="329"/>
      <c r="MTL192" s="311"/>
      <c r="MTM192" s="312"/>
      <c r="MTN192" s="326"/>
      <c r="MTO192" s="332"/>
      <c r="MTP192" s="321"/>
      <c r="MTQ192" s="321"/>
      <c r="MTR192" s="331"/>
      <c r="MTS192" s="308"/>
      <c r="MTT192" s="301"/>
      <c r="MTU192" s="301"/>
      <c r="MTV192" s="302"/>
      <c r="MTW192" s="309"/>
      <c r="MTX192" s="329"/>
      <c r="MTY192" s="311"/>
      <c r="MTZ192" s="312"/>
      <c r="MUA192" s="326"/>
      <c r="MUB192" s="332"/>
      <c r="MUC192" s="321"/>
      <c r="MUD192" s="321"/>
      <c r="MUE192" s="331"/>
      <c r="MUF192" s="308"/>
      <c r="MUG192" s="301"/>
      <c r="MUH192" s="301"/>
      <c r="MUI192" s="302"/>
      <c r="MUJ192" s="309"/>
      <c r="MUK192" s="329"/>
      <c r="MUL192" s="311"/>
      <c r="MUM192" s="312"/>
      <c r="MUN192" s="326"/>
      <c r="MUO192" s="332"/>
      <c r="MUP192" s="321"/>
      <c r="MUQ192" s="321"/>
      <c r="MUR192" s="331"/>
      <c r="MUS192" s="308"/>
      <c r="MUT192" s="301"/>
      <c r="MUU192" s="301"/>
      <c r="MUV192" s="302"/>
      <c r="MUW192" s="309"/>
      <c r="MUX192" s="329"/>
      <c r="MUY192" s="311"/>
      <c r="MUZ192" s="312"/>
      <c r="MVA192" s="326"/>
      <c r="MVB192" s="332"/>
      <c r="MVC192" s="321"/>
      <c r="MVD192" s="321"/>
      <c r="MVE192" s="331"/>
      <c r="MVF192" s="308"/>
      <c r="MVG192" s="301"/>
      <c r="MVH192" s="301"/>
      <c r="MVI192" s="302"/>
      <c r="MVJ192" s="309"/>
      <c r="MVK192" s="329"/>
      <c r="MVL192" s="311"/>
      <c r="MVM192" s="312"/>
      <c r="MVN192" s="326"/>
      <c r="MVO192" s="332"/>
      <c r="MVP192" s="321"/>
      <c r="MVQ192" s="321"/>
      <c r="MVR192" s="331"/>
      <c r="MVS192" s="308"/>
      <c r="MVT192" s="301"/>
      <c r="MVU192" s="301"/>
      <c r="MVV192" s="302"/>
      <c r="MVW192" s="309"/>
      <c r="MVX192" s="329"/>
      <c r="MVY192" s="311"/>
      <c r="MVZ192" s="312"/>
      <c r="MWA192" s="326"/>
      <c r="MWB192" s="332"/>
      <c r="MWC192" s="321"/>
      <c r="MWD192" s="321"/>
      <c r="MWE192" s="331"/>
      <c r="MWF192" s="308"/>
      <c r="MWG192" s="301"/>
      <c r="MWH192" s="301"/>
      <c r="MWI192" s="302"/>
      <c r="MWJ192" s="309"/>
      <c r="MWK192" s="329"/>
      <c r="MWL192" s="311"/>
      <c r="MWM192" s="312"/>
      <c r="MWN192" s="326"/>
      <c r="MWO192" s="332"/>
      <c r="MWP192" s="321"/>
      <c r="MWQ192" s="321"/>
      <c r="MWR192" s="331"/>
      <c r="MWS192" s="308"/>
      <c r="MWT192" s="301"/>
      <c r="MWU192" s="301"/>
      <c r="MWV192" s="302"/>
      <c r="MWW192" s="309"/>
      <c r="MWX192" s="329"/>
      <c r="MWY192" s="311"/>
      <c r="MWZ192" s="312"/>
      <c r="MXA192" s="326"/>
      <c r="MXB192" s="332"/>
      <c r="MXC192" s="321"/>
      <c r="MXD192" s="321"/>
      <c r="MXE192" s="331"/>
      <c r="MXF192" s="308"/>
      <c r="MXG192" s="301"/>
      <c r="MXH192" s="301"/>
      <c r="MXI192" s="302"/>
      <c r="MXJ192" s="309"/>
      <c r="MXK192" s="329"/>
      <c r="MXL192" s="311"/>
      <c r="MXM192" s="312"/>
      <c r="MXN192" s="326"/>
      <c r="MXO192" s="332"/>
      <c r="MXP192" s="321"/>
      <c r="MXQ192" s="321"/>
      <c r="MXR192" s="331"/>
      <c r="MXS192" s="308"/>
      <c r="MXT192" s="301"/>
      <c r="MXU192" s="301"/>
      <c r="MXV192" s="302"/>
      <c r="MXW192" s="309"/>
      <c r="MXX192" s="329"/>
      <c r="MXY192" s="311"/>
      <c r="MXZ192" s="312"/>
      <c r="MYA192" s="326"/>
      <c r="MYB192" s="332"/>
      <c r="MYC192" s="321"/>
      <c r="MYD192" s="321"/>
      <c r="MYE192" s="331"/>
      <c r="MYF192" s="308"/>
      <c r="MYG192" s="301"/>
      <c r="MYH192" s="301"/>
      <c r="MYI192" s="302"/>
      <c r="MYJ192" s="309"/>
      <c r="MYK192" s="329"/>
      <c r="MYL192" s="311"/>
      <c r="MYM192" s="312"/>
      <c r="MYN192" s="326"/>
      <c r="MYO192" s="332"/>
      <c r="MYP192" s="321"/>
      <c r="MYQ192" s="321"/>
      <c r="MYR192" s="331"/>
      <c r="MYS192" s="308"/>
      <c r="MYT192" s="301"/>
      <c r="MYU192" s="301"/>
      <c r="MYV192" s="302"/>
      <c r="MYW192" s="309"/>
      <c r="MYX192" s="329"/>
      <c r="MYY192" s="311"/>
      <c r="MYZ192" s="312"/>
      <c r="MZA192" s="326"/>
      <c r="MZB192" s="332"/>
      <c r="MZC192" s="321"/>
      <c r="MZD192" s="321"/>
      <c r="MZE192" s="331"/>
      <c r="MZF192" s="308"/>
      <c r="MZG192" s="301"/>
      <c r="MZH192" s="301"/>
      <c r="MZI192" s="302"/>
      <c r="MZJ192" s="309"/>
      <c r="MZK192" s="329"/>
      <c r="MZL192" s="311"/>
      <c r="MZM192" s="312"/>
      <c r="MZN192" s="326"/>
      <c r="MZO192" s="332"/>
      <c r="MZP192" s="321"/>
      <c r="MZQ192" s="321"/>
      <c r="MZR192" s="331"/>
      <c r="MZS192" s="308"/>
      <c r="MZT192" s="301"/>
      <c r="MZU192" s="301"/>
      <c r="MZV192" s="302"/>
      <c r="MZW192" s="309"/>
      <c r="MZX192" s="329"/>
      <c r="MZY192" s="311"/>
      <c r="MZZ192" s="312"/>
      <c r="NAA192" s="326"/>
      <c r="NAB192" s="332"/>
      <c r="NAC192" s="321"/>
      <c r="NAD192" s="321"/>
      <c r="NAE192" s="331"/>
      <c r="NAF192" s="308"/>
      <c r="NAG192" s="301"/>
      <c r="NAH192" s="301"/>
      <c r="NAI192" s="302"/>
      <c r="NAJ192" s="309"/>
      <c r="NAK192" s="329"/>
      <c r="NAL192" s="311"/>
      <c r="NAM192" s="312"/>
      <c r="NAN192" s="326"/>
      <c r="NAO192" s="332"/>
      <c r="NAP192" s="321"/>
      <c r="NAQ192" s="321"/>
      <c r="NAR192" s="331"/>
      <c r="NAS192" s="308"/>
      <c r="NAT192" s="301"/>
      <c r="NAU192" s="301"/>
      <c r="NAV192" s="302"/>
      <c r="NAW192" s="309"/>
      <c r="NAX192" s="329"/>
      <c r="NAY192" s="311"/>
      <c r="NAZ192" s="312"/>
      <c r="NBA192" s="326"/>
      <c r="NBB192" s="332"/>
      <c r="NBC192" s="321"/>
      <c r="NBD192" s="321"/>
      <c r="NBE192" s="331"/>
      <c r="NBF192" s="308"/>
      <c r="NBG192" s="301"/>
      <c r="NBH192" s="301"/>
      <c r="NBI192" s="302"/>
      <c r="NBJ192" s="309"/>
      <c r="NBK192" s="329"/>
      <c r="NBL192" s="311"/>
      <c r="NBM192" s="312"/>
      <c r="NBN192" s="326"/>
      <c r="NBO192" s="332"/>
      <c r="NBP192" s="321"/>
      <c r="NBQ192" s="321"/>
      <c r="NBR192" s="331"/>
      <c r="NBS192" s="308"/>
      <c r="NBT192" s="301"/>
      <c r="NBU192" s="301"/>
      <c r="NBV192" s="302"/>
      <c r="NBW192" s="309"/>
      <c r="NBX192" s="329"/>
      <c r="NBY192" s="311"/>
      <c r="NBZ192" s="312"/>
      <c r="NCA192" s="326"/>
      <c r="NCB192" s="332"/>
      <c r="NCC192" s="321"/>
      <c r="NCD192" s="321"/>
      <c r="NCE192" s="331"/>
      <c r="NCF192" s="308"/>
      <c r="NCG192" s="301"/>
      <c r="NCH192" s="301"/>
      <c r="NCI192" s="302"/>
      <c r="NCJ192" s="309"/>
      <c r="NCK192" s="329"/>
      <c r="NCL192" s="311"/>
      <c r="NCM192" s="312"/>
      <c r="NCN192" s="326"/>
      <c r="NCO192" s="332"/>
      <c r="NCP192" s="321"/>
      <c r="NCQ192" s="321"/>
      <c r="NCR192" s="331"/>
      <c r="NCS192" s="308"/>
      <c r="NCT192" s="301"/>
      <c r="NCU192" s="301"/>
      <c r="NCV192" s="302"/>
      <c r="NCW192" s="309"/>
      <c r="NCX192" s="329"/>
      <c r="NCY192" s="311"/>
      <c r="NCZ192" s="312"/>
      <c r="NDA192" s="326"/>
      <c r="NDB192" s="332"/>
      <c r="NDC192" s="321"/>
      <c r="NDD192" s="321"/>
      <c r="NDE192" s="331"/>
      <c r="NDF192" s="308"/>
      <c r="NDG192" s="301"/>
      <c r="NDH192" s="301"/>
      <c r="NDI192" s="302"/>
      <c r="NDJ192" s="309"/>
      <c r="NDK192" s="329"/>
      <c r="NDL192" s="311"/>
      <c r="NDM192" s="312"/>
      <c r="NDN192" s="326"/>
      <c r="NDO192" s="332"/>
      <c r="NDP192" s="321"/>
      <c r="NDQ192" s="321"/>
      <c r="NDR192" s="331"/>
      <c r="NDS192" s="308"/>
      <c r="NDT192" s="301"/>
      <c r="NDU192" s="301"/>
      <c r="NDV192" s="302"/>
      <c r="NDW192" s="309"/>
      <c r="NDX192" s="329"/>
      <c r="NDY192" s="311"/>
      <c r="NDZ192" s="312"/>
      <c r="NEA192" s="326"/>
      <c r="NEB192" s="332"/>
      <c r="NEC192" s="321"/>
      <c r="NED192" s="321"/>
      <c r="NEE192" s="331"/>
      <c r="NEF192" s="308"/>
      <c r="NEG192" s="301"/>
      <c r="NEH192" s="301"/>
      <c r="NEI192" s="302"/>
      <c r="NEJ192" s="309"/>
      <c r="NEK192" s="329"/>
      <c r="NEL192" s="311"/>
      <c r="NEM192" s="312"/>
      <c r="NEN192" s="326"/>
      <c r="NEO192" s="332"/>
      <c r="NEP192" s="321"/>
      <c r="NEQ192" s="321"/>
      <c r="NER192" s="331"/>
      <c r="NES192" s="308"/>
      <c r="NET192" s="301"/>
      <c r="NEU192" s="301"/>
      <c r="NEV192" s="302"/>
      <c r="NEW192" s="309"/>
      <c r="NEX192" s="329"/>
      <c r="NEY192" s="311"/>
      <c r="NEZ192" s="312"/>
      <c r="NFA192" s="326"/>
      <c r="NFB192" s="332"/>
      <c r="NFC192" s="321"/>
      <c r="NFD192" s="321"/>
      <c r="NFE192" s="331"/>
      <c r="NFF192" s="308"/>
      <c r="NFG192" s="301"/>
      <c r="NFH192" s="301"/>
      <c r="NFI192" s="302"/>
      <c r="NFJ192" s="309"/>
      <c r="NFK192" s="329"/>
      <c r="NFL192" s="311"/>
      <c r="NFM192" s="312"/>
      <c r="NFN192" s="326"/>
      <c r="NFO192" s="332"/>
      <c r="NFP192" s="321"/>
      <c r="NFQ192" s="321"/>
      <c r="NFR192" s="331"/>
      <c r="NFS192" s="308"/>
      <c r="NFT192" s="301"/>
      <c r="NFU192" s="301"/>
      <c r="NFV192" s="302"/>
      <c r="NFW192" s="309"/>
      <c r="NFX192" s="329"/>
      <c r="NFY192" s="311"/>
      <c r="NFZ192" s="312"/>
      <c r="NGA192" s="326"/>
      <c r="NGB192" s="332"/>
      <c r="NGC192" s="321"/>
      <c r="NGD192" s="321"/>
      <c r="NGE192" s="331"/>
      <c r="NGF192" s="308"/>
      <c r="NGG192" s="301"/>
      <c r="NGH192" s="301"/>
      <c r="NGI192" s="302"/>
      <c r="NGJ192" s="309"/>
      <c r="NGK192" s="329"/>
      <c r="NGL192" s="311"/>
      <c r="NGM192" s="312"/>
      <c r="NGN192" s="326"/>
      <c r="NGO192" s="332"/>
      <c r="NGP192" s="321"/>
      <c r="NGQ192" s="321"/>
      <c r="NGR192" s="331"/>
      <c r="NGS192" s="308"/>
      <c r="NGT192" s="301"/>
      <c r="NGU192" s="301"/>
      <c r="NGV192" s="302"/>
      <c r="NGW192" s="309"/>
      <c r="NGX192" s="329"/>
      <c r="NGY192" s="311"/>
      <c r="NGZ192" s="312"/>
      <c r="NHA192" s="326"/>
      <c r="NHB192" s="332"/>
      <c r="NHC192" s="321"/>
      <c r="NHD192" s="321"/>
      <c r="NHE192" s="331"/>
      <c r="NHF192" s="308"/>
      <c r="NHG192" s="301"/>
      <c r="NHH192" s="301"/>
      <c r="NHI192" s="302"/>
      <c r="NHJ192" s="309"/>
      <c r="NHK192" s="329"/>
      <c r="NHL192" s="311"/>
      <c r="NHM192" s="312"/>
      <c r="NHN192" s="326"/>
      <c r="NHO192" s="332"/>
      <c r="NHP192" s="321"/>
      <c r="NHQ192" s="321"/>
      <c r="NHR192" s="331"/>
      <c r="NHS192" s="308"/>
      <c r="NHT192" s="301"/>
      <c r="NHU192" s="301"/>
      <c r="NHV192" s="302"/>
      <c r="NHW192" s="309"/>
      <c r="NHX192" s="329"/>
      <c r="NHY192" s="311"/>
      <c r="NHZ192" s="312"/>
      <c r="NIA192" s="326"/>
      <c r="NIB192" s="332"/>
      <c r="NIC192" s="321"/>
      <c r="NID192" s="321"/>
      <c r="NIE192" s="331"/>
      <c r="NIF192" s="308"/>
      <c r="NIG192" s="301"/>
      <c r="NIH192" s="301"/>
      <c r="NII192" s="302"/>
      <c r="NIJ192" s="309"/>
      <c r="NIK192" s="329"/>
      <c r="NIL192" s="311"/>
      <c r="NIM192" s="312"/>
      <c r="NIN192" s="326"/>
      <c r="NIO192" s="332"/>
      <c r="NIP192" s="321"/>
      <c r="NIQ192" s="321"/>
      <c r="NIR192" s="331"/>
      <c r="NIS192" s="308"/>
      <c r="NIT192" s="301"/>
      <c r="NIU192" s="301"/>
      <c r="NIV192" s="302"/>
      <c r="NIW192" s="309"/>
      <c r="NIX192" s="329"/>
      <c r="NIY192" s="311"/>
      <c r="NIZ192" s="312"/>
      <c r="NJA192" s="326"/>
      <c r="NJB192" s="332"/>
      <c r="NJC192" s="321"/>
      <c r="NJD192" s="321"/>
      <c r="NJE192" s="331"/>
      <c r="NJF192" s="308"/>
      <c r="NJG192" s="301"/>
      <c r="NJH192" s="301"/>
      <c r="NJI192" s="302"/>
      <c r="NJJ192" s="309"/>
      <c r="NJK192" s="329"/>
      <c r="NJL192" s="311"/>
      <c r="NJM192" s="312"/>
      <c r="NJN192" s="326"/>
      <c r="NJO192" s="332"/>
      <c r="NJP192" s="321"/>
      <c r="NJQ192" s="321"/>
      <c r="NJR192" s="331"/>
      <c r="NJS192" s="308"/>
      <c r="NJT192" s="301"/>
      <c r="NJU192" s="301"/>
      <c r="NJV192" s="302"/>
      <c r="NJW192" s="309"/>
      <c r="NJX192" s="329"/>
      <c r="NJY192" s="311"/>
      <c r="NJZ192" s="312"/>
      <c r="NKA192" s="326"/>
      <c r="NKB192" s="332"/>
      <c r="NKC192" s="321"/>
      <c r="NKD192" s="321"/>
      <c r="NKE192" s="331"/>
      <c r="NKF192" s="308"/>
      <c r="NKG192" s="301"/>
      <c r="NKH192" s="301"/>
      <c r="NKI192" s="302"/>
      <c r="NKJ192" s="309"/>
      <c r="NKK192" s="329"/>
      <c r="NKL192" s="311"/>
      <c r="NKM192" s="312"/>
      <c r="NKN192" s="326"/>
      <c r="NKO192" s="332"/>
      <c r="NKP192" s="321"/>
      <c r="NKQ192" s="321"/>
      <c r="NKR192" s="331"/>
      <c r="NKS192" s="308"/>
      <c r="NKT192" s="301"/>
      <c r="NKU192" s="301"/>
      <c r="NKV192" s="302"/>
      <c r="NKW192" s="309"/>
      <c r="NKX192" s="329"/>
      <c r="NKY192" s="311"/>
      <c r="NKZ192" s="312"/>
      <c r="NLA192" s="326"/>
      <c r="NLB192" s="332"/>
      <c r="NLC192" s="321"/>
      <c r="NLD192" s="321"/>
      <c r="NLE192" s="331"/>
      <c r="NLF192" s="308"/>
      <c r="NLG192" s="301"/>
      <c r="NLH192" s="301"/>
      <c r="NLI192" s="302"/>
      <c r="NLJ192" s="309"/>
      <c r="NLK192" s="329"/>
      <c r="NLL192" s="311"/>
      <c r="NLM192" s="312"/>
      <c r="NLN192" s="326"/>
      <c r="NLO192" s="332"/>
      <c r="NLP192" s="321"/>
      <c r="NLQ192" s="321"/>
      <c r="NLR192" s="331"/>
      <c r="NLS192" s="308"/>
      <c r="NLT192" s="301"/>
      <c r="NLU192" s="301"/>
      <c r="NLV192" s="302"/>
      <c r="NLW192" s="309"/>
      <c r="NLX192" s="329"/>
      <c r="NLY192" s="311"/>
      <c r="NLZ192" s="312"/>
      <c r="NMA192" s="326"/>
      <c r="NMB192" s="332"/>
      <c r="NMC192" s="321"/>
      <c r="NMD192" s="321"/>
      <c r="NME192" s="331"/>
      <c r="NMF192" s="308"/>
      <c r="NMG192" s="301"/>
      <c r="NMH192" s="301"/>
      <c r="NMI192" s="302"/>
      <c r="NMJ192" s="309"/>
      <c r="NMK192" s="329"/>
      <c r="NML192" s="311"/>
      <c r="NMM192" s="312"/>
      <c r="NMN192" s="326"/>
      <c r="NMO192" s="332"/>
      <c r="NMP192" s="321"/>
      <c r="NMQ192" s="321"/>
      <c r="NMR192" s="331"/>
      <c r="NMS192" s="308"/>
      <c r="NMT192" s="301"/>
      <c r="NMU192" s="301"/>
      <c r="NMV192" s="302"/>
      <c r="NMW192" s="309"/>
      <c r="NMX192" s="329"/>
      <c r="NMY192" s="311"/>
      <c r="NMZ192" s="312"/>
      <c r="NNA192" s="326"/>
      <c r="NNB192" s="332"/>
      <c r="NNC192" s="321"/>
      <c r="NND192" s="321"/>
      <c r="NNE192" s="331"/>
      <c r="NNF192" s="308"/>
      <c r="NNG192" s="301"/>
      <c r="NNH192" s="301"/>
      <c r="NNI192" s="302"/>
      <c r="NNJ192" s="309"/>
      <c r="NNK192" s="329"/>
      <c r="NNL192" s="311"/>
      <c r="NNM192" s="312"/>
      <c r="NNN192" s="326"/>
      <c r="NNO192" s="332"/>
      <c r="NNP192" s="321"/>
      <c r="NNQ192" s="321"/>
      <c r="NNR192" s="331"/>
      <c r="NNS192" s="308"/>
      <c r="NNT192" s="301"/>
      <c r="NNU192" s="301"/>
      <c r="NNV192" s="302"/>
      <c r="NNW192" s="309"/>
      <c r="NNX192" s="329"/>
      <c r="NNY192" s="311"/>
      <c r="NNZ192" s="312"/>
      <c r="NOA192" s="326"/>
      <c r="NOB192" s="332"/>
      <c r="NOC192" s="321"/>
      <c r="NOD192" s="321"/>
      <c r="NOE192" s="331"/>
      <c r="NOF192" s="308"/>
      <c r="NOG192" s="301"/>
      <c r="NOH192" s="301"/>
      <c r="NOI192" s="302"/>
      <c r="NOJ192" s="309"/>
      <c r="NOK192" s="329"/>
      <c r="NOL192" s="311"/>
      <c r="NOM192" s="312"/>
      <c r="NON192" s="326"/>
      <c r="NOO192" s="332"/>
      <c r="NOP192" s="321"/>
      <c r="NOQ192" s="321"/>
      <c r="NOR192" s="331"/>
      <c r="NOS192" s="308"/>
      <c r="NOT192" s="301"/>
      <c r="NOU192" s="301"/>
      <c r="NOV192" s="302"/>
      <c r="NOW192" s="309"/>
      <c r="NOX192" s="329"/>
      <c r="NOY192" s="311"/>
      <c r="NOZ192" s="312"/>
      <c r="NPA192" s="326"/>
      <c r="NPB192" s="332"/>
      <c r="NPC192" s="321"/>
      <c r="NPD192" s="321"/>
      <c r="NPE192" s="331"/>
      <c r="NPF192" s="308"/>
      <c r="NPG192" s="301"/>
      <c r="NPH192" s="301"/>
      <c r="NPI192" s="302"/>
      <c r="NPJ192" s="309"/>
      <c r="NPK192" s="329"/>
      <c r="NPL192" s="311"/>
      <c r="NPM192" s="312"/>
      <c r="NPN192" s="326"/>
      <c r="NPO192" s="332"/>
      <c r="NPP192" s="321"/>
      <c r="NPQ192" s="321"/>
      <c r="NPR192" s="331"/>
      <c r="NPS192" s="308"/>
      <c r="NPT192" s="301"/>
      <c r="NPU192" s="301"/>
      <c r="NPV192" s="302"/>
      <c r="NPW192" s="309"/>
      <c r="NPX192" s="329"/>
      <c r="NPY192" s="311"/>
      <c r="NPZ192" s="312"/>
      <c r="NQA192" s="326"/>
      <c r="NQB192" s="332"/>
      <c r="NQC192" s="321"/>
      <c r="NQD192" s="321"/>
      <c r="NQE192" s="331"/>
      <c r="NQF192" s="308"/>
      <c r="NQG192" s="301"/>
      <c r="NQH192" s="301"/>
      <c r="NQI192" s="302"/>
      <c r="NQJ192" s="309"/>
      <c r="NQK192" s="329"/>
      <c r="NQL192" s="311"/>
      <c r="NQM192" s="312"/>
      <c r="NQN192" s="326"/>
      <c r="NQO192" s="332"/>
      <c r="NQP192" s="321"/>
      <c r="NQQ192" s="321"/>
      <c r="NQR192" s="331"/>
      <c r="NQS192" s="308"/>
      <c r="NQT192" s="301"/>
      <c r="NQU192" s="301"/>
      <c r="NQV192" s="302"/>
      <c r="NQW192" s="309"/>
      <c r="NQX192" s="329"/>
      <c r="NQY192" s="311"/>
      <c r="NQZ192" s="312"/>
      <c r="NRA192" s="326"/>
      <c r="NRB192" s="332"/>
      <c r="NRC192" s="321"/>
      <c r="NRD192" s="321"/>
      <c r="NRE192" s="331"/>
      <c r="NRF192" s="308"/>
      <c r="NRG192" s="301"/>
      <c r="NRH192" s="301"/>
      <c r="NRI192" s="302"/>
      <c r="NRJ192" s="309"/>
      <c r="NRK192" s="329"/>
      <c r="NRL192" s="311"/>
      <c r="NRM192" s="312"/>
      <c r="NRN192" s="326"/>
      <c r="NRO192" s="332"/>
      <c r="NRP192" s="321"/>
      <c r="NRQ192" s="321"/>
      <c r="NRR192" s="331"/>
      <c r="NRS192" s="308"/>
      <c r="NRT192" s="301"/>
      <c r="NRU192" s="301"/>
      <c r="NRV192" s="302"/>
      <c r="NRW192" s="309"/>
      <c r="NRX192" s="329"/>
      <c r="NRY192" s="311"/>
      <c r="NRZ192" s="312"/>
      <c r="NSA192" s="326"/>
      <c r="NSB192" s="332"/>
      <c r="NSC192" s="321"/>
      <c r="NSD192" s="321"/>
      <c r="NSE192" s="331"/>
      <c r="NSF192" s="308"/>
      <c r="NSG192" s="301"/>
      <c r="NSH192" s="301"/>
      <c r="NSI192" s="302"/>
      <c r="NSJ192" s="309"/>
      <c r="NSK192" s="329"/>
      <c r="NSL192" s="311"/>
      <c r="NSM192" s="312"/>
      <c r="NSN192" s="326"/>
      <c r="NSO192" s="332"/>
      <c r="NSP192" s="321"/>
      <c r="NSQ192" s="321"/>
      <c r="NSR192" s="331"/>
      <c r="NSS192" s="308"/>
      <c r="NST192" s="301"/>
      <c r="NSU192" s="301"/>
      <c r="NSV192" s="302"/>
      <c r="NSW192" s="309"/>
      <c r="NSX192" s="329"/>
      <c r="NSY192" s="311"/>
      <c r="NSZ192" s="312"/>
      <c r="NTA192" s="326"/>
      <c r="NTB192" s="332"/>
      <c r="NTC192" s="321"/>
      <c r="NTD192" s="321"/>
      <c r="NTE192" s="331"/>
      <c r="NTF192" s="308"/>
      <c r="NTG192" s="301"/>
      <c r="NTH192" s="301"/>
      <c r="NTI192" s="302"/>
      <c r="NTJ192" s="309"/>
      <c r="NTK192" s="329"/>
      <c r="NTL192" s="311"/>
      <c r="NTM192" s="312"/>
      <c r="NTN192" s="326"/>
      <c r="NTO192" s="332"/>
      <c r="NTP192" s="321"/>
      <c r="NTQ192" s="321"/>
      <c r="NTR192" s="331"/>
      <c r="NTS192" s="308"/>
      <c r="NTT192" s="301"/>
      <c r="NTU192" s="301"/>
      <c r="NTV192" s="302"/>
      <c r="NTW192" s="309"/>
      <c r="NTX192" s="329"/>
      <c r="NTY192" s="311"/>
      <c r="NTZ192" s="312"/>
      <c r="NUA192" s="326"/>
      <c r="NUB192" s="332"/>
      <c r="NUC192" s="321"/>
      <c r="NUD192" s="321"/>
      <c r="NUE192" s="331"/>
      <c r="NUF192" s="308"/>
      <c r="NUG192" s="301"/>
      <c r="NUH192" s="301"/>
      <c r="NUI192" s="302"/>
      <c r="NUJ192" s="309"/>
      <c r="NUK192" s="329"/>
      <c r="NUL192" s="311"/>
      <c r="NUM192" s="312"/>
      <c r="NUN192" s="326"/>
      <c r="NUO192" s="332"/>
      <c r="NUP192" s="321"/>
      <c r="NUQ192" s="321"/>
      <c r="NUR192" s="331"/>
      <c r="NUS192" s="308"/>
      <c r="NUT192" s="301"/>
      <c r="NUU192" s="301"/>
      <c r="NUV192" s="302"/>
      <c r="NUW192" s="309"/>
      <c r="NUX192" s="329"/>
      <c r="NUY192" s="311"/>
      <c r="NUZ192" s="312"/>
      <c r="NVA192" s="326"/>
      <c r="NVB192" s="332"/>
      <c r="NVC192" s="321"/>
      <c r="NVD192" s="321"/>
      <c r="NVE192" s="331"/>
      <c r="NVF192" s="308"/>
      <c r="NVG192" s="301"/>
      <c r="NVH192" s="301"/>
      <c r="NVI192" s="302"/>
      <c r="NVJ192" s="309"/>
      <c r="NVK192" s="329"/>
      <c r="NVL192" s="311"/>
      <c r="NVM192" s="312"/>
      <c r="NVN192" s="326"/>
      <c r="NVO192" s="332"/>
      <c r="NVP192" s="321"/>
      <c r="NVQ192" s="321"/>
      <c r="NVR192" s="331"/>
      <c r="NVS192" s="308"/>
      <c r="NVT192" s="301"/>
      <c r="NVU192" s="301"/>
      <c r="NVV192" s="302"/>
      <c r="NVW192" s="309"/>
      <c r="NVX192" s="329"/>
      <c r="NVY192" s="311"/>
      <c r="NVZ192" s="312"/>
      <c r="NWA192" s="326"/>
      <c r="NWB192" s="332"/>
      <c r="NWC192" s="321"/>
      <c r="NWD192" s="321"/>
      <c r="NWE192" s="331"/>
      <c r="NWF192" s="308"/>
      <c r="NWG192" s="301"/>
      <c r="NWH192" s="301"/>
      <c r="NWI192" s="302"/>
      <c r="NWJ192" s="309"/>
      <c r="NWK192" s="329"/>
      <c r="NWL192" s="311"/>
      <c r="NWM192" s="312"/>
      <c r="NWN192" s="326"/>
      <c r="NWO192" s="332"/>
      <c r="NWP192" s="321"/>
      <c r="NWQ192" s="321"/>
      <c r="NWR192" s="331"/>
      <c r="NWS192" s="308"/>
      <c r="NWT192" s="301"/>
      <c r="NWU192" s="301"/>
      <c r="NWV192" s="302"/>
      <c r="NWW192" s="309"/>
      <c r="NWX192" s="329"/>
      <c r="NWY192" s="311"/>
      <c r="NWZ192" s="312"/>
      <c r="NXA192" s="326"/>
      <c r="NXB192" s="332"/>
      <c r="NXC192" s="321"/>
      <c r="NXD192" s="321"/>
      <c r="NXE192" s="331"/>
      <c r="NXF192" s="308"/>
      <c r="NXG192" s="301"/>
      <c r="NXH192" s="301"/>
      <c r="NXI192" s="302"/>
      <c r="NXJ192" s="309"/>
      <c r="NXK192" s="329"/>
      <c r="NXL192" s="311"/>
      <c r="NXM192" s="312"/>
      <c r="NXN192" s="326"/>
      <c r="NXO192" s="332"/>
      <c r="NXP192" s="321"/>
      <c r="NXQ192" s="321"/>
      <c r="NXR192" s="331"/>
      <c r="NXS192" s="308"/>
      <c r="NXT192" s="301"/>
      <c r="NXU192" s="301"/>
      <c r="NXV192" s="302"/>
      <c r="NXW192" s="309"/>
      <c r="NXX192" s="329"/>
      <c r="NXY192" s="311"/>
      <c r="NXZ192" s="312"/>
      <c r="NYA192" s="326"/>
      <c r="NYB192" s="332"/>
      <c r="NYC192" s="321"/>
      <c r="NYD192" s="321"/>
      <c r="NYE192" s="331"/>
      <c r="NYF192" s="308"/>
      <c r="NYG192" s="301"/>
      <c r="NYH192" s="301"/>
      <c r="NYI192" s="302"/>
      <c r="NYJ192" s="309"/>
      <c r="NYK192" s="329"/>
      <c r="NYL192" s="311"/>
      <c r="NYM192" s="312"/>
      <c r="NYN192" s="326"/>
      <c r="NYO192" s="332"/>
      <c r="NYP192" s="321"/>
      <c r="NYQ192" s="321"/>
      <c r="NYR192" s="331"/>
      <c r="NYS192" s="308"/>
      <c r="NYT192" s="301"/>
      <c r="NYU192" s="301"/>
      <c r="NYV192" s="302"/>
      <c r="NYW192" s="309"/>
      <c r="NYX192" s="329"/>
      <c r="NYY192" s="311"/>
      <c r="NYZ192" s="312"/>
      <c r="NZA192" s="326"/>
      <c r="NZB192" s="332"/>
      <c r="NZC192" s="321"/>
      <c r="NZD192" s="321"/>
      <c r="NZE192" s="331"/>
      <c r="NZF192" s="308"/>
      <c r="NZG192" s="301"/>
      <c r="NZH192" s="301"/>
      <c r="NZI192" s="302"/>
      <c r="NZJ192" s="309"/>
      <c r="NZK192" s="329"/>
      <c r="NZL192" s="311"/>
      <c r="NZM192" s="312"/>
      <c r="NZN192" s="326"/>
      <c r="NZO192" s="332"/>
      <c r="NZP192" s="321"/>
      <c r="NZQ192" s="321"/>
      <c r="NZR192" s="331"/>
      <c r="NZS192" s="308"/>
      <c r="NZT192" s="301"/>
      <c r="NZU192" s="301"/>
      <c r="NZV192" s="302"/>
      <c r="NZW192" s="309"/>
      <c r="NZX192" s="329"/>
      <c r="NZY192" s="311"/>
      <c r="NZZ192" s="312"/>
      <c r="OAA192" s="326"/>
      <c r="OAB192" s="332"/>
      <c r="OAC192" s="321"/>
      <c r="OAD192" s="321"/>
      <c r="OAE192" s="331"/>
      <c r="OAF192" s="308"/>
      <c r="OAG192" s="301"/>
      <c r="OAH192" s="301"/>
      <c r="OAI192" s="302"/>
      <c r="OAJ192" s="309"/>
      <c r="OAK192" s="329"/>
      <c r="OAL192" s="311"/>
      <c r="OAM192" s="312"/>
      <c r="OAN192" s="326"/>
      <c r="OAO192" s="332"/>
      <c r="OAP192" s="321"/>
      <c r="OAQ192" s="321"/>
      <c r="OAR192" s="331"/>
      <c r="OAS192" s="308"/>
      <c r="OAT192" s="301"/>
      <c r="OAU192" s="301"/>
      <c r="OAV192" s="302"/>
      <c r="OAW192" s="309"/>
      <c r="OAX192" s="329"/>
      <c r="OAY192" s="311"/>
      <c r="OAZ192" s="312"/>
      <c r="OBA192" s="326"/>
      <c r="OBB192" s="332"/>
      <c r="OBC192" s="321"/>
      <c r="OBD192" s="321"/>
      <c r="OBE192" s="331"/>
      <c r="OBF192" s="308"/>
      <c r="OBG192" s="301"/>
      <c r="OBH192" s="301"/>
      <c r="OBI192" s="302"/>
      <c r="OBJ192" s="309"/>
      <c r="OBK192" s="329"/>
      <c r="OBL192" s="311"/>
      <c r="OBM192" s="312"/>
      <c r="OBN192" s="326"/>
      <c r="OBO192" s="332"/>
      <c r="OBP192" s="321"/>
      <c r="OBQ192" s="321"/>
      <c r="OBR192" s="331"/>
      <c r="OBS192" s="308"/>
      <c r="OBT192" s="301"/>
      <c r="OBU192" s="301"/>
      <c r="OBV192" s="302"/>
      <c r="OBW192" s="309"/>
      <c r="OBX192" s="329"/>
      <c r="OBY192" s="311"/>
      <c r="OBZ192" s="312"/>
      <c r="OCA192" s="326"/>
      <c r="OCB192" s="332"/>
      <c r="OCC192" s="321"/>
      <c r="OCD192" s="321"/>
      <c r="OCE192" s="331"/>
      <c r="OCF192" s="308"/>
      <c r="OCG192" s="301"/>
      <c r="OCH192" s="301"/>
      <c r="OCI192" s="302"/>
      <c r="OCJ192" s="309"/>
      <c r="OCK192" s="329"/>
      <c r="OCL192" s="311"/>
      <c r="OCM192" s="312"/>
      <c r="OCN192" s="326"/>
      <c r="OCO192" s="332"/>
      <c r="OCP192" s="321"/>
      <c r="OCQ192" s="321"/>
      <c r="OCR192" s="331"/>
      <c r="OCS192" s="308"/>
      <c r="OCT192" s="301"/>
      <c r="OCU192" s="301"/>
      <c r="OCV192" s="302"/>
      <c r="OCW192" s="309"/>
      <c r="OCX192" s="329"/>
      <c r="OCY192" s="311"/>
      <c r="OCZ192" s="312"/>
      <c r="ODA192" s="326"/>
      <c r="ODB192" s="332"/>
      <c r="ODC192" s="321"/>
      <c r="ODD192" s="321"/>
      <c r="ODE192" s="331"/>
      <c r="ODF192" s="308"/>
      <c r="ODG192" s="301"/>
      <c r="ODH192" s="301"/>
      <c r="ODI192" s="302"/>
      <c r="ODJ192" s="309"/>
      <c r="ODK192" s="329"/>
      <c r="ODL192" s="311"/>
      <c r="ODM192" s="312"/>
      <c r="ODN192" s="326"/>
      <c r="ODO192" s="332"/>
      <c r="ODP192" s="321"/>
      <c r="ODQ192" s="321"/>
      <c r="ODR192" s="331"/>
      <c r="ODS192" s="308"/>
      <c r="ODT192" s="301"/>
      <c r="ODU192" s="301"/>
      <c r="ODV192" s="302"/>
      <c r="ODW192" s="309"/>
      <c r="ODX192" s="329"/>
      <c r="ODY192" s="311"/>
      <c r="ODZ192" s="312"/>
      <c r="OEA192" s="326"/>
      <c r="OEB192" s="332"/>
      <c r="OEC192" s="321"/>
      <c r="OED192" s="321"/>
      <c r="OEE192" s="331"/>
      <c r="OEF192" s="308"/>
      <c r="OEG192" s="301"/>
      <c r="OEH192" s="301"/>
      <c r="OEI192" s="302"/>
      <c r="OEJ192" s="309"/>
      <c r="OEK192" s="329"/>
      <c r="OEL192" s="311"/>
      <c r="OEM192" s="312"/>
      <c r="OEN192" s="326"/>
      <c r="OEO192" s="332"/>
      <c r="OEP192" s="321"/>
      <c r="OEQ192" s="321"/>
      <c r="OER192" s="331"/>
      <c r="OES192" s="308"/>
      <c r="OET192" s="301"/>
      <c r="OEU192" s="301"/>
      <c r="OEV192" s="302"/>
      <c r="OEW192" s="309"/>
      <c r="OEX192" s="329"/>
      <c r="OEY192" s="311"/>
      <c r="OEZ192" s="312"/>
      <c r="OFA192" s="326"/>
      <c r="OFB192" s="332"/>
      <c r="OFC192" s="321"/>
      <c r="OFD192" s="321"/>
      <c r="OFE192" s="331"/>
      <c r="OFF192" s="308"/>
      <c r="OFG192" s="301"/>
      <c r="OFH192" s="301"/>
      <c r="OFI192" s="302"/>
      <c r="OFJ192" s="309"/>
      <c r="OFK192" s="329"/>
      <c r="OFL192" s="311"/>
      <c r="OFM192" s="312"/>
      <c r="OFN192" s="326"/>
      <c r="OFO192" s="332"/>
      <c r="OFP192" s="321"/>
      <c r="OFQ192" s="321"/>
      <c r="OFR192" s="331"/>
      <c r="OFS192" s="308"/>
      <c r="OFT192" s="301"/>
      <c r="OFU192" s="301"/>
      <c r="OFV192" s="302"/>
      <c r="OFW192" s="309"/>
      <c r="OFX192" s="329"/>
      <c r="OFY192" s="311"/>
      <c r="OFZ192" s="312"/>
      <c r="OGA192" s="326"/>
      <c r="OGB192" s="332"/>
      <c r="OGC192" s="321"/>
      <c r="OGD192" s="321"/>
      <c r="OGE192" s="331"/>
      <c r="OGF192" s="308"/>
      <c r="OGG192" s="301"/>
      <c r="OGH192" s="301"/>
      <c r="OGI192" s="302"/>
      <c r="OGJ192" s="309"/>
      <c r="OGK192" s="329"/>
      <c r="OGL192" s="311"/>
      <c r="OGM192" s="312"/>
      <c r="OGN192" s="326"/>
      <c r="OGO192" s="332"/>
      <c r="OGP192" s="321"/>
      <c r="OGQ192" s="321"/>
      <c r="OGR192" s="331"/>
      <c r="OGS192" s="308"/>
      <c r="OGT192" s="301"/>
      <c r="OGU192" s="301"/>
      <c r="OGV192" s="302"/>
      <c r="OGW192" s="309"/>
      <c r="OGX192" s="329"/>
      <c r="OGY192" s="311"/>
      <c r="OGZ192" s="312"/>
      <c r="OHA192" s="326"/>
      <c r="OHB192" s="332"/>
      <c r="OHC192" s="321"/>
      <c r="OHD192" s="321"/>
      <c r="OHE192" s="331"/>
      <c r="OHF192" s="308"/>
      <c r="OHG192" s="301"/>
      <c r="OHH192" s="301"/>
      <c r="OHI192" s="302"/>
      <c r="OHJ192" s="309"/>
      <c r="OHK192" s="329"/>
      <c r="OHL192" s="311"/>
      <c r="OHM192" s="312"/>
      <c r="OHN192" s="326"/>
      <c r="OHO192" s="332"/>
      <c r="OHP192" s="321"/>
      <c r="OHQ192" s="321"/>
      <c r="OHR192" s="331"/>
      <c r="OHS192" s="308"/>
      <c r="OHT192" s="301"/>
      <c r="OHU192" s="301"/>
      <c r="OHV192" s="302"/>
      <c r="OHW192" s="309"/>
      <c r="OHX192" s="329"/>
      <c r="OHY192" s="311"/>
      <c r="OHZ192" s="312"/>
      <c r="OIA192" s="326"/>
      <c r="OIB192" s="332"/>
      <c r="OIC192" s="321"/>
      <c r="OID192" s="321"/>
      <c r="OIE192" s="331"/>
      <c r="OIF192" s="308"/>
      <c r="OIG192" s="301"/>
      <c r="OIH192" s="301"/>
      <c r="OII192" s="302"/>
      <c r="OIJ192" s="309"/>
      <c r="OIK192" s="329"/>
      <c r="OIL192" s="311"/>
      <c r="OIM192" s="312"/>
      <c r="OIN192" s="326"/>
      <c r="OIO192" s="332"/>
      <c r="OIP192" s="321"/>
      <c r="OIQ192" s="321"/>
      <c r="OIR192" s="331"/>
      <c r="OIS192" s="308"/>
      <c r="OIT192" s="301"/>
      <c r="OIU192" s="301"/>
      <c r="OIV192" s="302"/>
      <c r="OIW192" s="309"/>
      <c r="OIX192" s="329"/>
      <c r="OIY192" s="311"/>
      <c r="OIZ192" s="312"/>
      <c r="OJA192" s="326"/>
      <c r="OJB192" s="332"/>
      <c r="OJC192" s="321"/>
      <c r="OJD192" s="321"/>
      <c r="OJE192" s="331"/>
      <c r="OJF192" s="308"/>
      <c r="OJG192" s="301"/>
      <c r="OJH192" s="301"/>
      <c r="OJI192" s="302"/>
      <c r="OJJ192" s="309"/>
      <c r="OJK192" s="329"/>
      <c r="OJL192" s="311"/>
      <c r="OJM192" s="312"/>
      <c r="OJN192" s="326"/>
      <c r="OJO192" s="332"/>
      <c r="OJP192" s="321"/>
      <c r="OJQ192" s="321"/>
      <c r="OJR192" s="331"/>
      <c r="OJS192" s="308"/>
      <c r="OJT192" s="301"/>
      <c r="OJU192" s="301"/>
      <c r="OJV192" s="302"/>
      <c r="OJW192" s="309"/>
      <c r="OJX192" s="329"/>
      <c r="OJY192" s="311"/>
      <c r="OJZ192" s="312"/>
      <c r="OKA192" s="326"/>
      <c r="OKB192" s="332"/>
      <c r="OKC192" s="321"/>
      <c r="OKD192" s="321"/>
      <c r="OKE192" s="331"/>
      <c r="OKF192" s="308"/>
      <c r="OKG192" s="301"/>
      <c r="OKH192" s="301"/>
      <c r="OKI192" s="302"/>
      <c r="OKJ192" s="309"/>
      <c r="OKK192" s="329"/>
      <c r="OKL192" s="311"/>
      <c r="OKM192" s="312"/>
      <c r="OKN192" s="326"/>
      <c r="OKO192" s="332"/>
      <c r="OKP192" s="321"/>
      <c r="OKQ192" s="321"/>
      <c r="OKR192" s="331"/>
      <c r="OKS192" s="308"/>
      <c r="OKT192" s="301"/>
      <c r="OKU192" s="301"/>
      <c r="OKV192" s="302"/>
      <c r="OKW192" s="309"/>
      <c r="OKX192" s="329"/>
      <c r="OKY192" s="311"/>
      <c r="OKZ192" s="312"/>
      <c r="OLA192" s="326"/>
      <c r="OLB192" s="332"/>
      <c r="OLC192" s="321"/>
      <c r="OLD192" s="321"/>
      <c r="OLE192" s="331"/>
      <c r="OLF192" s="308"/>
      <c r="OLG192" s="301"/>
      <c r="OLH192" s="301"/>
      <c r="OLI192" s="302"/>
      <c r="OLJ192" s="309"/>
      <c r="OLK192" s="329"/>
      <c r="OLL192" s="311"/>
      <c r="OLM192" s="312"/>
      <c r="OLN192" s="326"/>
      <c r="OLO192" s="332"/>
      <c r="OLP192" s="321"/>
      <c r="OLQ192" s="321"/>
      <c r="OLR192" s="331"/>
      <c r="OLS192" s="308"/>
      <c r="OLT192" s="301"/>
      <c r="OLU192" s="301"/>
      <c r="OLV192" s="302"/>
      <c r="OLW192" s="309"/>
      <c r="OLX192" s="329"/>
      <c r="OLY192" s="311"/>
      <c r="OLZ192" s="312"/>
      <c r="OMA192" s="326"/>
      <c r="OMB192" s="332"/>
      <c r="OMC192" s="321"/>
      <c r="OMD192" s="321"/>
      <c r="OME192" s="331"/>
      <c r="OMF192" s="308"/>
      <c r="OMG192" s="301"/>
      <c r="OMH192" s="301"/>
      <c r="OMI192" s="302"/>
      <c r="OMJ192" s="309"/>
      <c r="OMK192" s="329"/>
      <c r="OML192" s="311"/>
      <c r="OMM192" s="312"/>
      <c r="OMN192" s="326"/>
      <c r="OMO192" s="332"/>
      <c r="OMP192" s="321"/>
      <c r="OMQ192" s="321"/>
      <c r="OMR192" s="331"/>
      <c r="OMS192" s="308"/>
      <c r="OMT192" s="301"/>
      <c r="OMU192" s="301"/>
      <c r="OMV192" s="302"/>
      <c r="OMW192" s="309"/>
      <c r="OMX192" s="329"/>
      <c r="OMY192" s="311"/>
      <c r="OMZ192" s="312"/>
      <c r="ONA192" s="326"/>
      <c r="ONB192" s="332"/>
      <c r="ONC192" s="321"/>
      <c r="OND192" s="321"/>
      <c r="ONE192" s="331"/>
      <c r="ONF192" s="308"/>
      <c r="ONG192" s="301"/>
      <c r="ONH192" s="301"/>
      <c r="ONI192" s="302"/>
      <c r="ONJ192" s="309"/>
      <c r="ONK192" s="329"/>
      <c r="ONL192" s="311"/>
      <c r="ONM192" s="312"/>
      <c r="ONN192" s="326"/>
      <c r="ONO192" s="332"/>
      <c r="ONP192" s="321"/>
      <c r="ONQ192" s="321"/>
      <c r="ONR192" s="331"/>
      <c r="ONS192" s="308"/>
      <c r="ONT192" s="301"/>
      <c r="ONU192" s="301"/>
      <c r="ONV192" s="302"/>
      <c r="ONW192" s="309"/>
      <c r="ONX192" s="329"/>
      <c r="ONY192" s="311"/>
      <c r="ONZ192" s="312"/>
      <c r="OOA192" s="326"/>
      <c r="OOB192" s="332"/>
      <c r="OOC192" s="321"/>
      <c r="OOD192" s="321"/>
      <c r="OOE192" s="331"/>
      <c r="OOF192" s="308"/>
      <c r="OOG192" s="301"/>
      <c r="OOH192" s="301"/>
      <c r="OOI192" s="302"/>
      <c r="OOJ192" s="309"/>
      <c r="OOK192" s="329"/>
      <c r="OOL192" s="311"/>
      <c r="OOM192" s="312"/>
      <c r="OON192" s="326"/>
      <c r="OOO192" s="332"/>
      <c r="OOP192" s="321"/>
      <c r="OOQ192" s="321"/>
      <c r="OOR192" s="331"/>
      <c r="OOS192" s="308"/>
      <c r="OOT192" s="301"/>
      <c r="OOU192" s="301"/>
      <c r="OOV192" s="302"/>
      <c r="OOW192" s="309"/>
      <c r="OOX192" s="329"/>
      <c r="OOY192" s="311"/>
      <c r="OOZ192" s="312"/>
      <c r="OPA192" s="326"/>
      <c r="OPB192" s="332"/>
      <c r="OPC192" s="321"/>
      <c r="OPD192" s="321"/>
      <c r="OPE192" s="331"/>
      <c r="OPF192" s="308"/>
      <c r="OPG192" s="301"/>
      <c r="OPH192" s="301"/>
      <c r="OPI192" s="302"/>
      <c r="OPJ192" s="309"/>
      <c r="OPK192" s="329"/>
      <c r="OPL192" s="311"/>
      <c r="OPM192" s="312"/>
      <c r="OPN192" s="326"/>
      <c r="OPO192" s="332"/>
      <c r="OPP192" s="321"/>
      <c r="OPQ192" s="321"/>
      <c r="OPR192" s="331"/>
      <c r="OPS192" s="308"/>
      <c r="OPT192" s="301"/>
      <c r="OPU192" s="301"/>
      <c r="OPV192" s="302"/>
      <c r="OPW192" s="309"/>
      <c r="OPX192" s="329"/>
      <c r="OPY192" s="311"/>
      <c r="OPZ192" s="312"/>
      <c r="OQA192" s="326"/>
      <c r="OQB192" s="332"/>
      <c r="OQC192" s="321"/>
      <c r="OQD192" s="321"/>
      <c r="OQE192" s="331"/>
      <c r="OQF192" s="308"/>
      <c r="OQG192" s="301"/>
      <c r="OQH192" s="301"/>
      <c r="OQI192" s="302"/>
      <c r="OQJ192" s="309"/>
      <c r="OQK192" s="329"/>
      <c r="OQL192" s="311"/>
      <c r="OQM192" s="312"/>
      <c r="OQN192" s="326"/>
      <c r="OQO192" s="332"/>
      <c r="OQP192" s="321"/>
      <c r="OQQ192" s="321"/>
      <c r="OQR192" s="331"/>
      <c r="OQS192" s="308"/>
      <c r="OQT192" s="301"/>
      <c r="OQU192" s="301"/>
      <c r="OQV192" s="302"/>
      <c r="OQW192" s="309"/>
      <c r="OQX192" s="329"/>
      <c r="OQY192" s="311"/>
      <c r="OQZ192" s="312"/>
      <c r="ORA192" s="326"/>
      <c r="ORB192" s="332"/>
      <c r="ORC192" s="321"/>
      <c r="ORD192" s="321"/>
      <c r="ORE192" s="331"/>
      <c r="ORF192" s="308"/>
      <c r="ORG192" s="301"/>
      <c r="ORH192" s="301"/>
      <c r="ORI192" s="302"/>
      <c r="ORJ192" s="309"/>
      <c r="ORK192" s="329"/>
      <c r="ORL192" s="311"/>
      <c r="ORM192" s="312"/>
      <c r="ORN192" s="326"/>
      <c r="ORO192" s="332"/>
      <c r="ORP192" s="321"/>
      <c r="ORQ192" s="321"/>
      <c r="ORR192" s="331"/>
      <c r="ORS192" s="308"/>
      <c r="ORT192" s="301"/>
      <c r="ORU192" s="301"/>
      <c r="ORV192" s="302"/>
      <c r="ORW192" s="309"/>
      <c r="ORX192" s="329"/>
      <c r="ORY192" s="311"/>
      <c r="ORZ192" s="312"/>
      <c r="OSA192" s="326"/>
      <c r="OSB192" s="332"/>
      <c r="OSC192" s="321"/>
      <c r="OSD192" s="321"/>
      <c r="OSE192" s="331"/>
      <c r="OSF192" s="308"/>
      <c r="OSG192" s="301"/>
      <c r="OSH192" s="301"/>
      <c r="OSI192" s="302"/>
      <c r="OSJ192" s="309"/>
      <c r="OSK192" s="329"/>
      <c r="OSL192" s="311"/>
      <c r="OSM192" s="312"/>
      <c r="OSN192" s="326"/>
      <c r="OSO192" s="332"/>
      <c r="OSP192" s="321"/>
      <c r="OSQ192" s="321"/>
      <c r="OSR192" s="331"/>
      <c r="OSS192" s="308"/>
      <c r="OST192" s="301"/>
      <c r="OSU192" s="301"/>
      <c r="OSV192" s="302"/>
      <c r="OSW192" s="309"/>
      <c r="OSX192" s="329"/>
      <c r="OSY192" s="311"/>
      <c r="OSZ192" s="312"/>
      <c r="OTA192" s="326"/>
      <c r="OTB192" s="332"/>
      <c r="OTC192" s="321"/>
      <c r="OTD192" s="321"/>
      <c r="OTE192" s="331"/>
      <c r="OTF192" s="308"/>
      <c r="OTG192" s="301"/>
      <c r="OTH192" s="301"/>
      <c r="OTI192" s="302"/>
      <c r="OTJ192" s="309"/>
      <c r="OTK192" s="329"/>
      <c r="OTL192" s="311"/>
      <c r="OTM192" s="312"/>
      <c r="OTN192" s="326"/>
      <c r="OTO192" s="332"/>
      <c r="OTP192" s="321"/>
      <c r="OTQ192" s="321"/>
      <c r="OTR192" s="331"/>
      <c r="OTS192" s="308"/>
      <c r="OTT192" s="301"/>
      <c r="OTU192" s="301"/>
      <c r="OTV192" s="302"/>
      <c r="OTW192" s="309"/>
      <c r="OTX192" s="329"/>
      <c r="OTY192" s="311"/>
      <c r="OTZ192" s="312"/>
      <c r="OUA192" s="326"/>
      <c r="OUB192" s="332"/>
      <c r="OUC192" s="321"/>
      <c r="OUD192" s="321"/>
      <c r="OUE192" s="331"/>
      <c r="OUF192" s="308"/>
      <c r="OUG192" s="301"/>
      <c r="OUH192" s="301"/>
      <c r="OUI192" s="302"/>
      <c r="OUJ192" s="309"/>
      <c r="OUK192" s="329"/>
      <c r="OUL192" s="311"/>
      <c r="OUM192" s="312"/>
      <c r="OUN192" s="326"/>
      <c r="OUO192" s="332"/>
      <c r="OUP192" s="321"/>
      <c r="OUQ192" s="321"/>
      <c r="OUR192" s="331"/>
      <c r="OUS192" s="308"/>
      <c r="OUT192" s="301"/>
      <c r="OUU192" s="301"/>
      <c r="OUV192" s="302"/>
      <c r="OUW192" s="309"/>
      <c r="OUX192" s="329"/>
      <c r="OUY192" s="311"/>
      <c r="OUZ192" s="312"/>
      <c r="OVA192" s="326"/>
      <c r="OVB192" s="332"/>
      <c r="OVC192" s="321"/>
      <c r="OVD192" s="321"/>
      <c r="OVE192" s="331"/>
      <c r="OVF192" s="308"/>
      <c r="OVG192" s="301"/>
      <c r="OVH192" s="301"/>
      <c r="OVI192" s="302"/>
      <c r="OVJ192" s="309"/>
      <c r="OVK192" s="329"/>
      <c r="OVL192" s="311"/>
      <c r="OVM192" s="312"/>
      <c r="OVN192" s="326"/>
      <c r="OVO192" s="332"/>
      <c r="OVP192" s="321"/>
      <c r="OVQ192" s="321"/>
      <c r="OVR192" s="331"/>
      <c r="OVS192" s="308"/>
      <c r="OVT192" s="301"/>
      <c r="OVU192" s="301"/>
      <c r="OVV192" s="302"/>
      <c r="OVW192" s="309"/>
      <c r="OVX192" s="329"/>
      <c r="OVY192" s="311"/>
      <c r="OVZ192" s="312"/>
      <c r="OWA192" s="326"/>
      <c r="OWB192" s="332"/>
      <c r="OWC192" s="321"/>
      <c r="OWD192" s="321"/>
      <c r="OWE192" s="331"/>
      <c r="OWF192" s="308"/>
      <c r="OWG192" s="301"/>
      <c r="OWH192" s="301"/>
      <c r="OWI192" s="302"/>
      <c r="OWJ192" s="309"/>
      <c r="OWK192" s="329"/>
      <c r="OWL192" s="311"/>
      <c r="OWM192" s="312"/>
      <c r="OWN192" s="326"/>
      <c r="OWO192" s="332"/>
      <c r="OWP192" s="321"/>
      <c r="OWQ192" s="321"/>
      <c r="OWR192" s="331"/>
      <c r="OWS192" s="308"/>
      <c r="OWT192" s="301"/>
      <c r="OWU192" s="301"/>
      <c r="OWV192" s="302"/>
      <c r="OWW192" s="309"/>
      <c r="OWX192" s="329"/>
      <c r="OWY192" s="311"/>
      <c r="OWZ192" s="312"/>
      <c r="OXA192" s="326"/>
      <c r="OXB192" s="332"/>
      <c r="OXC192" s="321"/>
      <c r="OXD192" s="321"/>
      <c r="OXE192" s="331"/>
      <c r="OXF192" s="308"/>
      <c r="OXG192" s="301"/>
      <c r="OXH192" s="301"/>
      <c r="OXI192" s="302"/>
      <c r="OXJ192" s="309"/>
      <c r="OXK192" s="329"/>
      <c r="OXL192" s="311"/>
      <c r="OXM192" s="312"/>
      <c r="OXN192" s="326"/>
      <c r="OXO192" s="332"/>
      <c r="OXP192" s="321"/>
      <c r="OXQ192" s="321"/>
      <c r="OXR192" s="331"/>
      <c r="OXS192" s="308"/>
      <c r="OXT192" s="301"/>
      <c r="OXU192" s="301"/>
      <c r="OXV192" s="302"/>
      <c r="OXW192" s="309"/>
      <c r="OXX192" s="329"/>
      <c r="OXY192" s="311"/>
      <c r="OXZ192" s="312"/>
      <c r="OYA192" s="326"/>
      <c r="OYB192" s="332"/>
      <c r="OYC192" s="321"/>
      <c r="OYD192" s="321"/>
      <c r="OYE192" s="331"/>
      <c r="OYF192" s="308"/>
      <c r="OYG192" s="301"/>
      <c r="OYH192" s="301"/>
      <c r="OYI192" s="302"/>
      <c r="OYJ192" s="309"/>
      <c r="OYK192" s="329"/>
      <c r="OYL192" s="311"/>
      <c r="OYM192" s="312"/>
      <c r="OYN192" s="326"/>
      <c r="OYO192" s="332"/>
      <c r="OYP192" s="321"/>
      <c r="OYQ192" s="321"/>
      <c r="OYR192" s="331"/>
      <c r="OYS192" s="308"/>
      <c r="OYT192" s="301"/>
      <c r="OYU192" s="301"/>
      <c r="OYV192" s="302"/>
      <c r="OYW192" s="309"/>
      <c r="OYX192" s="329"/>
      <c r="OYY192" s="311"/>
      <c r="OYZ192" s="312"/>
      <c r="OZA192" s="326"/>
      <c r="OZB192" s="332"/>
      <c r="OZC192" s="321"/>
      <c r="OZD192" s="321"/>
      <c r="OZE192" s="331"/>
      <c r="OZF192" s="308"/>
      <c r="OZG192" s="301"/>
      <c r="OZH192" s="301"/>
      <c r="OZI192" s="302"/>
      <c r="OZJ192" s="309"/>
      <c r="OZK192" s="329"/>
      <c r="OZL192" s="311"/>
      <c r="OZM192" s="312"/>
      <c r="OZN192" s="326"/>
      <c r="OZO192" s="332"/>
      <c r="OZP192" s="321"/>
      <c r="OZQ192" s="321"/>
      <c r="OZR192" s="331"/>
      <c r="OZS192" s="308"/>
      <c r="OZT192" s="301"/>
      <c r="OZU192" s="301"/>
      <c r="OZV192" s="302"/>
      <c r="OZW192" s="309"/>
      <c r="OZX192" s="329"/>
      <c r="OZY192" s="311"/>
      <c r="OZZ192" s="312"/>
      <c r="PAA192" s="326"/>
      <c r="PAB192" s="332"/>
      <c r="PAC192" s="321"/>
      <c r="PAD192" s="321"/>
      <c r="PAE192" s="331"/>
      <c r="PAF192" s="308"/>
      <c r="PAG192" s="301"/>
      <c r="PAH192" s="301"/>
      <c r="PAI192" s="302"/>
      <c r="PAJ192" s="309"/>
      <c r="PAK192" s="329"/>
      <c r="PAL192" s="311"/>
      <c r="PAM192" s="312"/>
      <c r="PAN192" s="326"/>
      <c r="PAO192" s="332"/>
      <c r="PAP192" s="321"/>
      <c r="PAQ192" s="321"/>
      <c r="PAR192" s="331"/>
      <c r="PAS192" s="308"/>
      <c r="PAT192" s="301"/>
      <c r="PAU192" s="301"/>
      <c r="PAV192" s="302"/>
      <c r="PAW192" s="309"/>
      <c r="PAX192" s="329"/>
      <c r="PAY192" s="311"/>
      <c r="PAZ192" s="312"/>
      <c r="PBA192" s="326"/>
      <c r="PBB192" s="332"/>
      <c r="PBC192" s="321"/>
      <c r="PBD192" s="321"/>
      <c r="PBE192" s="331"/>
      <c r="PBF192" s="308"/>
      <c r="PBG192" s="301"/>
      <c r="PBH192" s="301"/>
      <c r="PBI192" s="302"/>
      <c r="PBJ192" s="309"/>
      <c r="PBK192" s="329"/>
      <c r="PBL192" s="311"/>
      <c r="PBM192" s="312"/>
      <c r="PBN192" s="326"/>
      <c r="PBO192" s="332"/>
      <c r="PBP192" s="321"/>
      <c r="PBQ192" s="321"/>
      <c r="PBR192" s="331"/>
      <c r="PBS192" s="308"/>
      <c r="PBT192" s="301"/>
      <c r="PBU192" s="301"/>
      <c r="PBV192" s="302"/>
      <c r="PBW192" s="309"/>
      <c r="PBX192" s="329"/>
      <c r="PBY192" s="311"/>
      <c r="PBZ192" s="312"/>
      <c r="PCA192" s="326"/>
      <c r="PCB192" s="332"/>
      <c r="PCC192" s="321"/>
      <c r="PCD192" s="321"/>
      <c r="PCE192" s="331"/>
      <c r="PCF192" s="308"/>
      <c r="PCG192" s="301"/>
      <c r="PCH192" s="301"/>
      <c r="PCI192" s="302"/>
      <c r="PCJ192" s="309"/>
      <c r="PCK192" s="329"/>
      <c r="PCL192" s="311"/>
      <c r="PCM192" s="312"/>
      <c r="PCN192" s="326"/>
      <c r="PCO192" s="332"/>
      <c r="PCP192" s="321"/>
      <c r="PCQ192" s="321"/>
      <c r="PCR192" s="331"/>
      <c r="PCS192" s="308"/>
      <c r="PCT192" s="301"/>
      <c r="PCU192" s="301"/>
      <c r="PCV192" s="302"/>
      <c r="PCW192" s="309"/>
      <c r="PCX192" s="329"/>
      <c r="PCY192" s="311"/>
      <c r="PCZ192" s="312"/>
      <c r="PDA192" s="326"/>
      <c r="PDB192" s="332"/>
      <c r="PDC192" s="321"/>
      <c r="PDD192" s="321"/>
      <c r="PDE192" s="331"/>
      <c r="PDF192" s="308"/>
      <c r="PDG192" s="301"/>
      <c r="PDH192" s="301"/>
      <c r="PDI192" s="302"/>
      <c r="PDJ192" s="309"/>
      <c r="PDK192" s="329"/>
      <c r="PDL192" s="311"/>
      <c r="PDM192" s="312"/>
      <c r="PDN192" s="326"/>
      <c r="PDO192" s="332"/>
      <c r="PDP192" s="321"/>
      <c r="PDQ192" s="321"/>
      <c r="PDR192" s="331"/>
      <c r="PDS192" s="308"/>
      <c r="PDT192" s="301"/>
      <c r="PDU192" s="301"/>
      <c r="PDV192" s="302"/>
      <c r="PDW192" s="309"/>
      <c r="PDX192" s="329"/>
      <c r="PDY192" s="311"/>
      <c r="PDZ192" s="312"/>
      <c r="PEA192" s="326"/>
      <c r="PEB192" s="332"/>
      <c r="PEC192" s="321"/>
      <c r="PED192" s="321"/>
      <c r="PEE192" s="331"/>
      <c r="PEF192" s="308"/>
      <c r="PEG192" s="301"/>
      <c r="PEH192" s="301"/>
      <c r="PEI192" s="302"/>
      <c r="PEJ192" s="309"/>
      <c r="PEK192" s="329"/>
      <c r="PEL192" s="311"/>
      <c r="PEM192" s="312"/>
      <c r="PEN192" s="326"/>
      <c r="PEO192" s="332"/>
      <c r="PEP192" s="321"/>
      <c r="PEQ192" s="321"/>
      <c r="PER192" s="331"/>
      <c r="PES192" s="308"/>
      <c r="PET192" s="301"/>
      <c r="PEU192" s="301"/>
      <c r="PEV192" s="302"/>
      <c r="PEW192" s="309"/>
      <c r="PEX192" s="329"/>
      <c r="PEY192" s="311"/>
      <c r="PEZ192" s="312"/>
      <c r="PFA192" s="326"/>
      <c r="PFB192" s="332"/>
      <c r="PFC192" s="321"/>
      <c r="PFD192" s="321"/>
      <c r="PFE192" s="331"/>
      <c r="PFF192" s="308"/>
      <c r="PFG192" s="301"/>
      <c r="PFH192" s="301"/>
      <c r="PFI192" s="302"/>
      <c r="PFJ192" s="309"/>
      <c r="PFK192" s="329"/>
      <c r="PFL192" s="311"/>
      <c r="PFM192" s="312"/>
      <c r="PFN192" s="326"/>
      <c r="PFO192" s="332"/>
      <c r="PFP192" s="321"/>
      <c r="PFQ192" s="321"/>
      <c r="PFR192" s="331"/>
      <c r="PFS192" s="308"/>
      <c r="PFT192" s="301"/>
      <c r="PFU192" s="301"/>
      <c r="PFV192" s="302"/>
      <c r="PFW192" s="309"/>
      <c r="PFX192" s="329"/>
      <c r="PFY192" s="311"/>
      <c r="PFZ192" s="312"/>
      <c r="PGA192" s="326"/>
      <c r="PGB192" s="332"/>
      <c r="PGC192" s="321"/>
      <c r="PGD192" s="321"/>
      <c r="PGE192" s="331"/>
      <c r="PGF192" s="308"/>
      <c r="PGG192" s="301"/>
      <c r="PGH192" s="301"/>
      <c r="PGI192" s="302"/>
      <c r="PGJ192" s="309"/>
      <c r="PGK192" s="329"/>
      <c r="PGL192" s="311"/>
      <c r="PGM192" s="312"/>
      <c r="PGN192" s="326"/>
      <c r="PGO192" s="332"/>
      <c r="PGP192" s="321"/>
      <c r="PGQ192" s="321"/>
      <c r="PGR192" s="331"/>
      <c r="PGS192" s="308"/>
      <c r="PGT192" s="301"/>
      <c r="PGU192" s="301"/>
      <c r="PGV192" s="302"/>
      <c r="PGW192" s="309"/>
      <c r="PGX192" s="329"/>
      <c r="PGY192" s="311"/>
      <c r="PGZ192" s="312"/>
      <c r="PHA192" s="326"/>
      <c r="PHB192" s="332"/>
      <c r="PHC192" s="321"/>
      <c r="PHD192" s="321"/>
      <c r="PHE192" s="331"/>
      <c r="PHF192" s="308"/>
      <c r="PHG192" s="301"/>
      <c r="PHH192" s="301"/>
      <c r="PHI192" s="302"/>
      <c r="PHJ192" s="309"/>
      <c r="PHK192" s="329"/>
      <c r="PHL192" s="311"/>
      <c r="PHM192" s="312"/>
      <c r="PHN192" s="326"/>
      <c r="PHO192" s="332"/>
      <c r="PHP192" s="321"/>
      <c r="PHQ192" s="321"/>
      <c r="PHR192" s="331"/>
      <c r="PHS192" s="308"/>
      <c r="PHT192" s="301"/>
      <c r="PHU192" s="301"/>
      <c r="PHV192" s="302"/>
      <c r="PHW192" s="309"/>
      <c r="PHX192" s="329"/>
      <c r="PHY192" s="311"/>
      <c r="PHZ192" s="312"/>
      <c r="PIA192" s="326"/>
      <c r="PIB192" s="332"/>
      <c r="PIC192" s="321"/>
      <c r="PID192" s="321"/>
      <c r="PIE192" s="331"/>
      <c r="PIF192" s="308"/>
      <c r="PIG192" s="301"/>
      <c r="PIH192" s="301"/>
      <c r="PII192" s="302"/>
      <c r="PIJ192" s="309"/>
      <c r="PIK192" s="329"/>
      <c r="PIL192" s="311"/>
      <c r="PIM192" s="312"/>
      <c r="PIN192" s="326"/>
      <c r="PIO192" s="332"/>
      <c r="PIP192" s="321"/>
      <c r="PIQ192" s="321"/>
      <c r="PIR192" s="331"/>
      <c r="PIS192" s="308"/>
      <c r="PIT192" s="301"/>
      <c r="PIU192" s="301"/>
      <c r="PIV192" s="302"/>
      <c r="PIW192" s="309"/>
      <c r="PIX192" s="329"/>
      <c r="PIY192" s="311"/>
      <c r="PIZ192" s="312"/>
      <c r="PJA192" s="326"/>
      <c r="PJB192" s="332"/>
      <c r="PJC192" s="321"/>
      <c r="PJD192" s="321"/>
      <c r="PJE192" s="331"/>
      <c r="PJF192" s="308"/>
      <c r="PJG192" s="301"/>
      <c r="PJH192" s="301"/>
      <c r="PJI192" s="302"/>
      <c r="PJJ192" s="309"/>
      <c r="PJK192" s="329"/>
      <c r="PJL192" s="311"/>
      <c r="PJM192" s="312"/>
      <c r="PJN192" s="326"/>
      <c r="PJO192" s="332"/>
      <c r="PJP192" s="321"/>
      <c r="PJQ192" s="321"/>
      <c r="PJR192" s="331"/>
      <c r="PJS192" s="308"/>
      <c r="PJT192" s="301"/>
      <c r="PJU192" s="301"/>
      <c r="PJV192" s="302"/>
      <c r="PJW192" s="309"/>
      <c r="PJX192" s="329"/>
      <c r="PJY192" s="311"/>
      <c r="PJZ192" s="312"/>
      <c r="PKA192" s="326"/>
      <c r="PKB192" s="332"/>
      <c r="PKC192" s="321"/>
      <c r="PKD192" s="321"/>
      <c r="PKE192" s="331"/>
      <c r="PKF192" s="308"/>
      <c r="PKG192" s="301"/>
      <c r="PKH192" s="301"/>
      <c r="PKI192" s="302"/>
      <c r="PKJ192" s="309"/>
      <c r="PKK192" s="329"/>
      <c r="PKL192" s="311"/>
      <c r="PKM192" s="312"/>
      <c r="PKN192" s="326"/>
      <c r="PKO192" s="332"/>
      <c r="PKP192" s="321"/>
      <c r="PKQ192" s="321"/>
      <c r="PKR192" s="331"/>
      <c r="PKS192" s="308"/>
      <c r="PKT192" s="301"/>
      <c r="PKU192" s="301"/>
      <c r="PKV192" s="302"/>
      <c r="PKW192" s="309"/>
      <c r="PKX192" s="329"/>
      <c r="PKY192" s="311"/>
      <c r="PKZ192" s="312"/>
      <c r="PLA192" s="326"/>
      <c r="PLB192" s="332"/>
      <c r="PLC192" s="321"/>
      <c r="PLD192" s="321"/>
      <c r="PLE192" s="331"/>
      <c r="PLF192" s="308"/>
      <c r="PLG192" s="301"/>
      <c r="PLH192" s="301"/>
      <c r="PLI192" s="302"/>
      <c r="PLJ192" s="309"/>
      <c r="PLK192" s="329"/>
      <c r="PLL192" s="311"/>
      <c r="PLM192" s="312"/>
      <c r="PLN192" s="326"/>
      <c r="PLO192" s="332"/>
      <c r="PLP192" s="321"/>
      <c r="PLQ192" s="321"/>
      <c r="PLR192" s="331"/>
      <c r="PLS192" s="308"/>
      <c r="PLT192" s="301"/>
      <c r="PLU192" s="301"/>
      <c r="PLV192" s="302"/>
      <c r="PLW192" s="309"/>
      <c r="PLX192" s="329"/>
      <c r="PLY192" s="311"/>
      <c r="PLZ192" s="312"/>
      <c r="PMA192" s="326"/>
      <c r="PMB192" s="332"/>
      <c r="PMC192" s="321"/>
      <c r="PMD192" s="321"/>
      <c r="PME192" s="331"/>
      <c r="PMF192" s="308"/>
      <c r="PMG192" s="301"/>
      <c r="PMH192" s="301"/>
      <c r="PMI192" s="302"/>
      <c r="PMJ192" s="309"/>
      <c r="PMK192" s="329"/>
      <c r="PML192" s="311"/>
      <c r="PMM192" s="312"/>
      <c r="PMN192" s="326"/>
      <c r="PMO192" s="332"/>
      <c r="PMP192" s="321"/>
      <c r="PMQ192" s="321"/>
      <c r="PMR192" s="331"/>
      <c r="PMS192" s="308"/>
      <c r="PMT192" s="301"/>
      <c r="PMU192" s="301"/>
      <c r="PMV192" s="302"/>
      <c r="PMW192" s="309"/>
      <c r="PMX192" s="329"/>
      <c r="PMY192" s="311"/>
      <c r="PMZ192" s="312"/>
      <c r="PNA192" s="326"/>
      <c r="PNB192" s="332"/>
      <c r="PNC192" s="321"/>
      <c r="PND192" s="321"/>
      <c r="PNE192" s="331"/>
      <c r="PNF192" s="308"/>
      <c r="PNG192" s="301"/>
      <c r="PNH192" s="301"/>
      <c r="PNI192" s="302"/>
      <c r="PNJ192" s="309"/>
      <c r="PNK192" s="329"/>
      <c r="PNL192" s="311"/>
      <c r="PNM192" s="312"/>
      <c r="PNN192" s="326"/>
      <c r="PNO192" s="332"/>
      <c r="PNP192" s="321"/>
      <c r="PNQ192" s="321"/>
      <c r="PNR192" s="331"/>
      <c r="PNS192" s="308"/>
      <c r="PNT192" s="301"/>
      <c r="PNU192" s="301"/>
      <c r="PNV192" s="302"/>
      <c r="PNW192" s="309"/>
      <c r="PNX192" s="329"/>
      <c r="PNY192" s="311"/>
      <c r="PNZ192" s="312"/>
      <c r="POA192" s="326"/>
      <c r="POB192" s="332"/>
      <c r="POC192" s="321"/>
      <c r="POD192" s="321"/>
      <c r="POE192" s="331"/>
      <c r="POF192" s="308"/>
      <c r="POG192" s="301"/>
      <c r="POH192" s="301"/>
      <c r="POI192" s="302"/>
      <c r="POJ192" s="309"/>
      <c r="POK192" s="329"/>
      <c r="POL192" s="311"/>
      <c r="POM192" s="312"/>
      <c r="PON192" s="326"/>
      <c r="POO192" s="332"/>
      <c r="POP192" s="321"/>
      <c r="POQ192" s="321"/>
      <c r="POR192" s="331"/>
      <c r="POS192" s="308"/>
      <c r="POT192" s="301"/>
      <c r="POU192" s="301"/>
      <c r="POV192" s="302"/>
      <c r="POW192" s="309"/>
      <c r="POX192" s="329"/>
      <c r="POY192" s="311"/>
      <c r="POZ192" s="312"/>
      <c r="PPA192" s="326"/>
      <c r="PPB192" s="332"/>
      <c r="PPC192" s="321"/>
      <c r="PPD192" s="321"/>
      <c r="PPE192" s="331"/>
      <c r="PPF192" s="308"/>
      <c r="PPG192" s="301"/>
      <c r="PPH192" s="301"/>
      <c r="PPI192" s="302"/>
      <c r="PPJ192" s="309"/>
      <c r="PPK192" s="329"/>
      <c r="PPL192" s="311"/>
      <c r="PPM192" s="312"/>
      <c r="PPN192" s="326"/>
      <c r="PPO192" s="332"/>
      <c r="PPP192" s="321"/>
      <c r="PPQ192" s="321"/>
      <c r="PPR192" s="331"/>
      <c r="PPS192" s="308"/>
      <c r="PPT192" s="301"/>
      <c r="PPU192" s="301"/>
      <c r="PPV192" s="302"/>
      <c r="PPW192" s="309"/>
      <c r="PPX192" s="329"/>
      <c r="PPY192" s="311"/>
      <c r="PPZ192" s="312"/>
      <c r="PQA192" s="326"/>
      <c r="PQB192" s="332"/>
      <c r="PQC192" s="321"/>
      <c r="PQD192" s="321"/>
      <c r="PQE192" s="331"/>
      <c r="PQF192" s="308"/>
      <c r="PQG192" s="301"/>
      <c r="PQH192" s="301"/>
      <c r="PQI192" s="302"/>
      <c r="PQJ192" s="309"/>
      <c r="PQK192" s="329"/>
      <c r="PQL192" s="311"/>
      <c r="PQM192" s="312"/>
      <c r="PQN192" s="326"/>
      <c r="PQO192" s="332"/>
      <c r="PQP192" s="321"/>
      <c r="PQQ192" s="321"/>
      <c r="PQR192" s="331"/>
      <c r="PQS192" s="308"/>
      <c r="PQT192" s="301"/>
      <c r="PQU192" s="301"/>
      <c r="PQV192" s="302"/>
      <c r="PQW192" s="309"/>
      <c r="PQX192" s="329"/>
      <c r="PQY192" s="311"/>
      <c r="PQZ192" s="312"/>
      <c r="PRA192" s="326"/>
      <c r="PRB192" s="332"/>
      <c r="PRC192" s="321"/>
      <c r="PRD192" s="321"/>
      <c r="PRE192" s="331"/>
      <c r="PRF192" s="308"/>
      <c r="PRG192" s="301"/>
      <c r="PRH192" s="301"/>
      <c r="PRI192" s="302"/>
      <c r="PRJ192" s="309"/>
      <c r="PRK192" s="329"/>
      <c r="PRL192" s="311"/>
      <c r="PRM192" s="312"/>
      <c r="PRN192" s="326"/>
      <c r="PRO192" s="332"/>
      <c r="PRP192" s="321"/>
      <c r="PRQ192" s="321"/>
      <c r="PRR192" s="331"/>
      <c r="PRS192" s="308"/>
      <c r="PRT192" s="301"/>
      <c r="PRU192" s="301"/>
      <c r="PRV192" s="302"/>
      <c r="PRW192" s="309"/>
      <c r="PRX192" s="329"/>
      <c r="PRY192" s="311"/>
      <c r="PRZ192" s="312"/>
      <c r="PSA192" s="326"/>
      <c r="PSB192" s="332"/>
      <c r="PSC192" s="321"/>
      <c r="PSD192" s="321"/>
      <c r="PSE192" s="331"/>
      <c r="PSF192" s="308"/>
      <c r="PSG192" s="301"/>
      <c r="PSH192" s="301"/>
      <c r="PSI192" s="302"/>
      <c r="PSJ192" s="309"/>
      <c r="PSK192" s="329"/>
      <c r="PSL192" s="311"/>
      <c r="PSM192" s="312"/>
      <c r="PSN192" s="326"/>
      <c r="PSO192" s="332"/>
      <c r="PSP192" s="321"/>
      <c r="PSQ192" s="321"/>
      <c r="PSR192" s="331"/>
      <c r="PSS192" s="308"/>
      <c r="PST192" s="301"/>
      <c r="PSU192" s="301"/>
      <c r="PSV192" s="302"/>
      <c r="PSW192" s="309"/>
      <c r="PSX192" s="329"/>
      <c r="PSY192" s="311"/>
      <c r="PSZ192" s="312"/>
      <c r="PTA192" s="326"/>
      <c r="PTB192" s="332"/>
      <c r="PTC192" s="321"/>
      <c r="PTD192" s="321"/>
      <c r="PTE192" s="331"/>
      <c r="PTF192" s="308"/>
      <c r="PTG192" s="301"/>
      <c r="PTH192" s="301"/>
      <c r="PTI192" s="302"/>
      <c r="PTJ192" s="309"/>
      <c r="PTK192" s="329"/>
      <c r="PTL192" s="311"/>
      <c r="PTM192" s="312"/>
      <c r="PTN192" s="326"/>
      <c r="PTO192" s="332"/>
      <c r="PTP192" s="321"/>
      <c r="PTQ192" s="321"/>
      <c r="PTR192" s="331"/>
      <c r="PTS192" s="308"/>
      <c r="PTT192" s="301"/>
      <c r="PTU192" s="301"/>
      <c r="PTV192" s="302"/>
      <c r="PTW192" s="309"/>
      <c r="PTX192" s="329"/>
      <c r="PTY192" s="311"/>
      <c r="PTZ192" s="312"/>
      <c r="PUA192" s="326"/>
      <c r="PUB192" s="332"/>
      <c r="PUC192" s="321"/>
      <c r="PUD192" s="321"/>
      <c r="PUE192" s="331"/>
      <c r="PUF192" s="308"/>
      <c r="PUG192" s="301"/>
      <c r="PUH192" s="301"/>
      <c r="PUI192" s="302"/>
      <c r="PUJ192" s="309"/>
      <c r="PUK192" s="329"/>
      <c r="PUL192" s="311"/>
      <c r="PUM192" s="312"/>
      <c r="PUN192" s="326"/>
      <c r="PUO192" s="332"/>
      <c r="PUP192" s="321"/>
      <c r="PUQ192" s="321"/>
      <c r="PUR192" s="331"/>
      <c r="PUS192" s="308"/>
      <c r="PUT192" s="301"/>
      <c r="PUU192" s="301"/>
      <c r="PUV192" s="302"/>
      <c r="PUW192" s="309"/>
      <c r="PUX192" s="329"/>
      <c r="PUY192" s="311"/>
      <c r="PUZ192" s="312"/>
      <c r="PVA192" s="326"/>
      <c r="PVB192" s="332"/>
      <c r="PVC192" s="321"/>
      <c r="PVD192" s="321"/>
      <c r="PVE192" s="331"/>
      <c r="PVF192" s="308"/>
      <c r="PVG192" s="301"/>
      <c r="PVH192" s="301"/>
      <c r="PVI192" s="302"/>
      <c r="PVJ192" s="309"/>
      <c r="PVK192" s="329"/>
      <c r="PVL192" s="311"/>
      <c r="PVM192" s="312"/>
      <c r="PVN192" s="326"/>
      <c r="PVO192" s="332"/>
      <c r="PVP192" s="321"/>
      <c r="PVQ192" s="321"/>
      <c r="PVR192" s="331"/>
      <c r="PVS192" s="308"/>
      <c r="PVT192" s="301"/>
      <c r="PVU192" s="301"/>
      <c r="PVV192" s="302"/>
      <c r="PVW192" s="309"/>
      <c r="PVX192" s="329"/>
      <c r="PVY192" s="311"/>
      <c r="PVZ192" s="312"/>
      <c r="PWA192" s="326"/>
      <c r="PWB192" s="332"/>
      <c r="PWC192" s="321"/>
      <c r="PWD192" s="321"/>
      <c r="PWE192" s="331"/>
      <c r="PWF192" s="308"/>
      <c r="PWG192" s="301"/>
      <c r="PWH192" s="301"/>
      <c r="PWI192" s="302"/>
      <c r="PWJ192" s="309"/>
      <c r="PWK192" s="329"/>
      <c r="PWL192" s="311"/>
      <c r="PWM192" s="312"/>
      <c r="PWN192" s="326"/>
      <c r="PWO192" s="332"/>
      <c r="PWP192" s="321"/>
      <c r="PWQ192" s="321"/>
      <c r="PWR192" s="331"/>
      <c r="PWS192" s="308"/>
      <c r="PWT192" s="301"/>
      <c r="PWU192" s="301"/>
      <c r="PWV192" s="302"/>
      <c r="PWW192" s="309"/>
      <c r="PWX192" s="329"/>
      <c r="PWY192" s="311"/>
      <c r="PWZ192" s="312"/>
      <c r="PXA192" s="326"/>
      <c r="PXB192" s="332"/>
      <c r="PXC192" s="321"/>
      <c r="PXD192" s="321"/>
      <c r="PXE192" s="331"/>
      <c r="PXF192" s="308"/>
      <c r="PXG192" s="301"/>
      <c r="PXH192" s="301"/>
      <c r="PXI192" s="302"/>
      <c r="PXJ192" s="309"/>
      <c r="PXK192" s="329"/>
      <c r="PXL192" s="311"/>
      <c r="PXM192" s="312"/>
      <c r="PXN192" s="326"/>
      <c r="PXO192" s="332"/>
      <c r="PXP192" s="321"/>
      <c r="PXQ192" s="321"/>
      <c r="PXR192" s="331"/>
      <c r="PXS192" s="308"/>
      <c r="PXT192" s="301"/>
      <c r="PXU192" s="301"/>
      <c r="PXV192" s="302"/>
      <c r="PXW192" s="309"/>
      <c r="PXX192" s="329"/>
      <c r="PXY192" s="311"/>
      <c r="PXZ192" s="312"/>
      <c r="PYA192" s="326"/>
      <c r="PYB192" s="332"/>
      <c r="PYC192" s="321"/>
      <c r="PYD192" s="321"/>
      <c r="PYE192" s="331"/>
      <c r="PYF192" s="308"/>
      <c r="PYG192" s="301"/>
      <c r="PYH192" s="301"/>
      <c r="PYI192" s="302"/>
      <c r="PYJ192" s="309"/>
      <c r="PYK192" s="329"/>
      <c r="PYL192" s="311"/>
      <c r="PYM192" s="312"/>
      <c r="PYN192" s="326"/>
      <c r="PYO192" s="332"/>
      <c r="PYP192" s="321"/>
      <c r="PYQ192" s="321"/>
      <c r="PYR192" s="331"/>
      <c r="PYS192" s="308"/>
      <c r="PYT192" s="301"/>
      <c r="PYU192" s="301"/>
      <c r="PYV192" s="302"/>
      <c r="PYW192" s="309"/>
      <c r="PYX192" s="329"/>
      <c r="PYY192" s="311"/>
      <c r="PYZ192" s="312"/>
      <c r="PZA192" s="326"/>
      <c r="PZB192" s="332"/>
      <c r="PZC192" s="321"/>
      <c r="PZD192" s="321"/>
      <c r="PZE192" s="331"/>
      <c r="PZF192" s="308"/>
      <c r="PZG192" s="301"/>
      <c r="PZH192" s="301"/>
      <c r="PZI192" s="302"/>
      <c r="PZJ192" s="309"/>
      <c r="PZK192" s="329"/>
      <c r="PZL192" s="311"/>
      <c r="PZM192" s="312"/>
      <c r="PZN192" s="326"/>
      <c r="PZO192" s="332"/>
      <c r="PZP192" s="321"/>
      <c r="PZQ192" s="321"/>
      <c r="PZR192" s="331"/>
      <c r="PZS192" s="308"/>
      <c r="PZT192" s="301"/>
      <c r="PZU192" s="301"/>
      <c r="PZV192" s="302"/>
      <c r="PZW192" s="309"/>
      <c r="PZX192" s="329"/>
      <c r="PZY192" s="311"/>
      <c r="PZZ192" s="312"/>
      <c r="QAA192" s="326"/>
      <c r="QAB192" s="332"/>
      <c r="QAC192" s="321"/>
      <c r="QAD192" s="321"/>
      <c r="QAE192" s="331"/>
      <c r="QAF192" s="308"/>
      <c r="QAG192" s="301"/>
      <c r="QAH192" s="301"/>
      <c r="QAI192" s="302"/>
      <c r="QAJ192" s="309"/>
      <c r="QAK192" s="329"/>
      <c r="QAL192" s="311"/>
      <c r="QAM192" s="312"/>
      <c r="QAN192" s="326"/>
      <c r="QAO192" s="332"/>
      <c r="QAP192" s="321"/>
      <c r="QAQ192" s="321"/>
      <c r="QAR192" s="331"/>
      <c r="QAS192" s="308"/>
      <c r="QAT192" s="301"/>
      <c r="QAU192" s="301"/>
      <c r="QAV192" s="302"/>
      <c r="QAW192" s="309"/>
      <c r="QAX192" s="329"/>
      <c r="QAY192" s="311"/>
      <c r="QAZ192" s="312"/>
      <c r="QBA192" s="326"/>
      <c r="QBB192" s="332"/>
      <c r="QBC192" s="321"/>
      <c r="QBD192" s="321"/>
      <c r="QBE192" s="331"/>
      <c r="QBF192" s="308"/>
      <c r="QBG192" s="301"/>
      <c r="QBH192" s="301"/>
      <c r="QBI192" s="302"/>
      <c r="QBJ192" s="309"/>
      <c r="QBK192" s="329"/>
      <c r="QBL192" s="311"/>
      <c r="QBM192" s="312"/>
      <c r="QBN192" s="326"/>
      <c r="QBO192" s="332"/>
      <c r="QBP192" s="321"/>
      <c r="QBQ192" s="321"/>
      <c r="QBR192" s="331"/>
      <c r="QBS192" s="308"/>
      <c r="QBT192" s="301"/>
      <c r="QBU192" s="301"/>
      <c r="QBV192" s="302"/>
      <c r="QBW192" s="309"/>
      <c r="QBX192" s="329"/>
      <c r="QBY192" s="311"/>
      <c r="QBZ192" s="312"/>
      <c r="QCA192" s="326"/>
      <c r="QCB192" s="332"/>
      <c r="QCC192" s="321"/>
      <c r="QCD192" s="321"/>
      <c r="QCE192" s="331"/>
      <c r="QCF192" s="308"/>
      <c r="QCG192" s="301"/>
      <c r="QCH192" s="301"/>
      <c r="QCI192" s="302"/>
      <c r="QCJ192" s="309"/>
      <c r="QCK192" s="329"/>
      <c r="QCL192" s="311"/>
      <c r="QCM192" s="312"/>
      <c r="QCN192" s="326"/>
      <c r="QCO192" s="332"/>
      <c r="QCP192" s="321"/>
      <c r="QCQ192" s="321"/>
      <c r="QCR192" s="331"/>
      <c r="QCS192" s="308"/>
      <c r="QCT192" s="301"/>
      <c r="QCU192" s="301"/>
      <c r="QCV192" s="302"/>
      <c r="QCW192" s="309"/>
      <c r="QCX192" s="329"/>
      <c r="QCY192" s="311"/>
      <c r="QCZ192" s="312"/>
      <c r="QDA192" s="326"/>
      <c r="QDB192" s="332"/>
      <c r="QDC192" s="321"/>
      <c r="QDD192" s="321"/>
      <c r="QDE192" s="331"/>
      <c r="QDF192" s="308"/>
      <c r="QDG192" s="301"/>
      <c r="QDH192" s="301"/>
      <c r="QDI192" s="302"/>
      <c r="QDJ192" s="309"/>
      <c r="QDK192" s="329"/>
      <c r="QDL192" s="311"/>
      <c r="QDM192" s="312"/>
      <c r="QDN192" s="326"/>
      <c r="QDO192" s="332"/>
      <c r="QDP192" s="321"/>
      <c r="QDQ192" s="321"/>
      <c r="QDR192" s="331"/>
      <c r="QDS192" s="308"/>
      <c r="QDT192" s="301"/>
      <c r="QDU192" s="301"/>
      <c r="QDV192" s="302"/>
      <c r="QDW192" s="309"/>
      <c r="QDX192" s="329"/>
      <c r="QDY192" s="311"/>
      <c r="QDZ192" s="312"/>
      <c r="QEA192" s="326"/>
      <c r="QEB192" s="332"/>
      <c r="QEC192" s="321"/>
      <c r="QED192" s="321"/>
      <c r="QEE192" s="331"/>
      <c r="QEF192" s="308"/>
      <c r="QEG192" s="301"/>
      <c r="QEH192" s="301"/>
      <c r="QEI192" s="302"/>
      <c r="QEJ192" s="309"/>
      <c r="QEK192" s="329"/>
      <c r="QEL192" s="311"/>
      <c r="QEM192" s="312"/>
      <c r="QEN192" s="326"/>
      <c r="QEO192" s="332"/>
      <c r="QEP192" s="321"/>
      <c r="QEQ192" s="321"/>
      <c r="QER192" s="331"/>
      <c r="QES192" s="308"/>
      <c r="QET192" s="301"/>
      <c r="QEU192" s="301"/>
      <c r="QEV192" s="302"/>
      <c r="QEW192" s="309"/>
      <c r="QEX192" s="329"/>
      <c r="QEY192" s="311"/>
      <c r="QEZ192" s="312"/>
      <c r="QFA192" s="326"/>
      <c r="QFB192" s="332"/>
      <c r="QFC192" s="321"/>
      <c r="QFD192" s="321"/>
      <c r="QFE192" s="331"/>
      <c r="QFF192" s="308"/>
      <c r="QFG192" s="301"/>
      <c r="QFH192" s="301"/>
      <c r="QFI192" s="302"/>
      <c r="QFJ192" s="309"/>
      <c r="QFK192" s="329"/>
      <c r="QFL192" s="311"/>
      <c r="QFM192" s="312"/>
      <c r="QFN192" s="326"/>
      <c r="QFO192" s="332"/>
      <c r="QFP192" s="321"/>
      <c r="QFQ192" s="321"/>
      <c r="QFR192" s="331"/>
      <c r="QFS192" s="308"/>
      <c r="QFT192" s="301"/>
      <c r="QFU192" s="301"/>
      <c r="QFV192" s="302"/>
      <c r="QFW192" s="309"/>
      <c r="QFX192" s="329"/>
      <c r="QFY192" s="311"/>
      <c r="QFZ192" s="312"/>
      <c r="QGA192" s="326"/>
      <c r="QGB192" s="332"/>
      <c r="QGC192" s="321"/>
      <c r="QGD192" s="321"/>
      <c r="QGE192" s="331"/>
      <c r="QGF192" s="308"/>
      <c r="QGG192" s="301"/>
      <c r="QGH192" s="301"/>
      <c r="QGI192" s="302"/>
      <c r="QGJ192" s="309"/>
      <c r="QGK192" s="329"/>
      <c r="QGL192" s="311"/>
      <c r="QGM192" s="312"/>
      <c r="QGN192" s="326"/>
      <c r="QGO192" s="332"/>
      <c r="QGP192" s="321"/>
      <c r="QGQ192" s="321"/>
      <c r="QGR192" s="331"/>
      <c r="QGS192" s="308"/>
      <c r="QGT192" s="301"/>
      <c r="QGU192" s="301"/>
      <c r="QGV192" s="302"/>
      <c r="QGW192" s="309"/>
      <c r="QGX192" s="329"/>
      <c r="QGY192" s="311"/>
      <c r="QGZ192" s="312"/>
      <c r="QHA192" s="326"/>
      <c r="QHB192" s="332"/>
      <c r="QHC192" s="321"/>
      <c r="QHD192" s="321"/>
      <c r="QHE192" s="331"/>
      <c r="QHF192" s="308"/>
      <c r="QHG192" s="301"/>
      <c r="QHH192" s="301"/>
      <c r="QHI192" s="302"/>
      <c r="QHJ192" s="309"/>
      <c r="QHK192" s="329"/>
      <c r="QHL192" s="311"/>
      <c r="QHM192" s="312"/>
      <c r="QHN192" s="326"/>
      <c r="QHO192" s="332"/>
      <c r="QHP192" s="321"/>
      <c r="QHQ192" s="321"/>
      <c r="QHR192" s="331"/>
      <c r="QHS192" s="308"/>
      <c r="QHT192" s="301"/>
      <c r="QHU192" s="301"/>
      <c r="QHV192" s="302"/>
      <c r="QHW192" s="309"/>
      <c r="QHX192" s="329"/>
      <c r="QHY192" s="311"/>
      <c r="QHZ192" s="312"/>
      <c r="QIA192" s="326"/>
      <c r="QIB192" s="332"/>
      <c r="QIC192" s="321"/>
      <c r="QID192" s="321"/>
      <c r="QIE192" s="331"/>
      <c r="QIF192" s="308"/>
      <c r="QIG192" s="301"/>
      <c r="QIH192" s="301"/>
      <c r="QII192" s="302"/>
      <c r="QIJ192" s="309"/>
      <c r="QIK192" s="329"/>
      <c r="QIL192" s="311"/>
      <c r="QIM192" s="312"/>
      <c r="QIN192" s="326"/>
      <c r="QIO192" s="332"/>
      <c r="QIP192" s="321"/>
      <c r="QIQ192" s="321"/>
      <c r="QIR192" s="331"/>
      <c r="QIS192" s="308"/>
      <c r="QIT192" s="301"/>
      <c r="QIU192" s="301"/>
      <c r="QIV192" s="302"/>
      <c r="QIW192" s="309"/>
      <c r="QIX192" s="329"/>
      <c r="QIY192" s="311"/>
      <c r="QIZ192" s="312"/>
      <c r="QJA192" s="326"/>
      <c r="QJB192" s="332"/>
      <c r="QJC192" s="321"/>
      <c r="QJD192" s="321"/>
      <c r="QJE192" s="331"/>
      <c r="QJF192" s="308"/>
      <c r="QJG192" s="301"/>
      <c r="QJH192" s="301"/>
      <c r="QJI192" s="302"/>
      <c r="QJJ192" s="309"/>
      <c r="QJK192" s="329"/>
      <c r="QJL192" s="311"/>
      <c r="QJM192" s="312"/>
      <c r="QJN192" s="326"/>
      <c r="QJO192" s="332"/>
      <c r="QJP192" s="321"/>
      <c r="QJQ192" s="321"/>
      <c r="QJR192" s="331"/>
      <c r="QJS192" s="308"/>
      <c r="QJT192" s="301"/>
      <c r="QJU192" s="301"/>
      <c r="QJV192" s="302"/>
      <c r="QJW192" s="309"/>
      <c r="QJX192" s="329"/>
      <c r="QJY192" s="311"/>
      <c r="QJZ192" s="312"/>
      <c r="QKA192" s="326"/>
      <c r="QKB192" s="332"/>
      <c r="QKC192" s="321"/>
      <c r="QKD192" s="321"/>
      <c r="QKE192" s="331"/>
      <c r="QKF192" s="308"/>
      <c r="QKG192" s="301"/>
      <c r="QKH192" s="301"/>
      <c r="QKI192" s="302"/>
      <c r="QKJ192" s="309"/>
      <c r="QKK192" s="329"/>
      <c r="QKL192" s="311"/>
      <c r="QKM192" s="312"/>
      <c r="QKN192" s="326"/>
      <c r="QKO192" s="332"/>
      <c r="QKP192" s="321"/>
      <c r="QKQ192" s="321"/>
      <c r="QKR192" s="331"/>
      <c r="QKS192" s="308"/>
      <c r="QKT192" s="301"/>
      <c r="QKU192" s="301"/>
      <c r="QKV192" s="302"/>
      <c r="QKW192" s="309"/>
      <c r="QKX192" s="329"/>
      <c r="QKY192" s="311"/>
      <c r="QKZ192" s="312"/>
      <c r="QLA192" s="326"/>
      <c r="QLB192" s="332"/>
      <c r="QLC192" s="321"/>
      <c r="QLD192" s="321"/>
      <c r="QLE192" s="331"/>
      <c r="QLF192" s="308"/>
      <c r="QLG192" s="301"/>
      <c r="QLH192" s="301"/>
      <c r="QLI192" s="302"/>
      <c r="QLJ192" s="309"/>
      <c r="QLK192" s="329"/>
      <c r="QLL192" s="311"/>
      <c r="QLM192" s="312"/>
      <c r="QLN192" s="326"/>
      <c r="QLO192" s="332"/>
      <c r="QLP192" s="321"/>
      <c r="QLQ192" s="321"/>
      <c r="QLR192" s="331"/>
      <c r="QLS192" s="308"/>
      <c r="QLT192" s="301"/>
      <c r="QLU192" s="301"/>
      <c r="QLV192" s="302"/>
      <c r="QLW192" s="309"/>
      <c r="QLX192" s="329"/>
      <c r="QLY192" s="311"/>
      <c r="QLZ192" s="312"/>
      <c r="QMA192" s="326"/>
      <c r="QMB192" s="332"/>
      <c r="QMC192" s="321"/>
      <c r="QMD192" s="321"/>
      <c r="QME192" s="331"/>
      <c r="QMF192" s="308"/>
      <c r="QMG192" s="301"/>
      <c r="QMH192" s="301"/>
      <c r="QMI192" s="302"/>
      <c r="QMJ192" s="309"/>
      <c r="QMK192" s="329"/>
      <c r="QML192" s="311"/>
      <c r="QMM192" s="312"/>
      <c r="QMN192" s="326"/>
      <c r="QMO192" s="332"/>
      <c r="QMP192" s="321"/>
      <c r="QMQ192" s="321"/>
      <c r="QMR192" s="331"/>
      <c r="QMS192" s="308"/>
      <c r="QMT192" s="301"/>
      <c r="QMU192" s="301"/>
      <c r="QMV192" s="302"/>
      <c r="QMW192" s="309"/>
      <c r="QMX192" s="329"/>
      <c r="QMY192" s="311"/>
      <c r="QMZ192" s="312"/>
      <c r="QNA192" s="326"/>
      <c r="QNB192" s="332"/>
      <c r="QNC192" s="321"/>
      <c r="QND192" s="321"/>
      <c r="QNE192" s="331"/>
      <c r="QNF192" s="308"/>
      <c r="QNG192" s="301"/>
      <c r="QNH192" s="301"/>
      <c r="QNI192" s="302"/>
      <c r="QNJ192" s="309"/>
      <c r="QNK192" s="329"/>
      <c r="QNL192" s="311"/>
      <c r="QNM192" s="312"/>
      <c r="QNN192" s="326"/>
      <c r="QNO192" s="332"/>
      <c r="QNP192" s="321"/>
      <c r="QNQ192" s="321"/>
      <c r="QNR192" s="331"/>
      <c r="QNS192" s="308"/>
      <c r="QNT192" s="301"/>
      <c r="QNU192" s="301"/>
      <c r="QNV192" s="302"/>
      <c r="QNW192" s="309"/>
      <c r="QNX192" s="329"/>
      <c r="QNY192" s="311"/>
      <c r="QNZ192" s="312"/>
      <c r="QOA192" s="326"/>
      <c r="QOB192" s="332"/>
      <c r="QOC192" s="321"/>
      <c r="QOD192" s="321"/>
      <c r="QOE192" s="331"/>
      <c r="QOF192" s="308"/>
      <c r="QOG192" s="301"/>
      <c r="QOH192" s="301"/>
      <c r="QOI192" s="302"/>
      <c r="QOJ192" s="309"/>
      <c r="QOK192" s="329"/>
      <c r="QOL192" s="311"/>
      <c r="QOM192" s="312"/>
      <c r="QON192" s="326"/>
      <c r="QOO192" s="332"/>
      <c r="QOP192" s="321"/>
      <c r="QOQ192" s="321"/>
      <c r="QOR192" s="331"/>
      <c r="QOS192" s="308"/>
      <c r="QOT192" s="301"/>
      <c r="QOU192" s="301"/>
      <c r="QOV192" s="302"/>
      <c r="QOW192" s="309"/>
      <c r="QOX192" s="329"/>
      <c r="QOY192" s="311"/>
      <c r="QOZ192" s="312"/>
      <c r="QPA192" s="326"/>
      <c r="QPB192" s="332"/>
      <c r="QPC192" s="321"/>
      <c r="QPD192" s="321"/>
      <c r="QPE192" s="331"/>
      <c r="QPF192" s="308"/>
      <c r="QPG192" s="301"/>
      <c r="QPH192" s="301"/>
      <c r="QPI192" s="302"/>
      <c r="QPJ192" s="309"/>
      <c r="QPK192" s="329"/>
      <c r="QPL192" s="311"/>
      <c r="QPM192" s="312"/>
      <c r="QPN192" s="326"/>
      <c r="QPO192" s="332"/>
      <c r="QPP192" s="321"/>
      <c r="QPQ192" s="321"/>
      <c r="QPR192" s="331"/>
      <c r="QPS192" s="308"/>
      <c r="QPT192" s="301"/>
      <c r="QPU192" s="301"/>
      <c r="QPV192" s="302"/>
      <c r="QPW192" s="309"/>
      <c r="QPX192" s="329"/>
      <c r="QPY192" s="311"/>
      <c r="QPZ192" s="312"/>
      <c r="QQA192" s="326"/>
      <c r="QQB192" s="332"/>
      <c r="QQC192" s="321"/>
      <c r="QQD192" s="321"/>
      <c r="QQE192" s="331"/>
      <c r="QQF192" s="308"/>
      <c r="QQG192" s="301"/>
      <c r="QQH192" s="301"/>
      <c r="QQI192" s="302"/>
      <c r="QQJ192" s="309"/>
      <c r="QQK192" s="329"/>
      <c r="QQL192" s="311"/>
      <c r="QQM192" s="312"/>
      <c r="QQN192" s="326"/>
      <c r="QQO192" s="332"/>
      <c r="QQP192" s="321"/>
      <c r="QQQ192" s="321"/>
      <c r="QQR192" s="331"/>
      <c r="QQS192" s="308"/>
      <c r="QQT192" s="301"/>
      <c r="QQU192" s="301"/>
      <c r="QQV192" s="302"/>
      <c r="QQW192" s="309"/>
      <c r="QQX192" s="329"/>
      <c r="QQY192" s="311"/>
      <c r="QQZ192" s="312"/>
      <c r="QRA192" s="326"/>
      <c r="QRB192" s="332"/>
      <c r="QRC192" s="321"/>
      <c r="QRD192" s="321"/>
      <c r="QRE192" s="331"/>
      <c r="QRF192" s="308"/>
      <c r="QRG192" s="301"/>
      <c r="QRH192" s="301"/>
      <c r="QRI192" s="302"/>
      <c r="QRJ192" s="309"/>
      <c r="QRK192" s="329"/>
      <c r="QRL192" s="311"/>
      <c r="QRM192" s="312"/>
      <c r="QRN192" s="326"/>
      <c r="QRO192" s="332"/>
      <c r="QRP192" s="321"/>
      <c r="QRQ192" s="321"/>
      <c r="QRR192" s="331"/>
      <c r="QRS192" s="308"/>
      <c r="QRT192" s="301"/>
      <c r="QRU192" s="301"/>
      <c r="QRV192" s="302"/>
      <c r="QRW192" s="309"/>
      <c r="QRX192" s="329"/>
      <c r="QRY192" s="311"/>
      <c r="QRZ192" s="312"/>
      <c r="QSA192" s="326"/>
      <c r="QSB192" s="332"/>
      <c r="QSC192" s="321"/>
      <c r="QSD192" s="321"/>
      <c r="QSE192" s="331"/>
      <c r="QSF192" s="308"/>
      <c r="QSG192" s="301"/>
      <c r="QSH192" s="301"/>
      <c r="QSI192" s="302"/>
      <c r="QSJ192" s="309"/>
      <c r="QSK192" s="329"/>
      <c r="QSL192" s="311"/>
      <c r="QSM192" s="312"/>
      <c r="QSN192" s="326"/>
      <c r="QSO192" s="332"/>
      <c r="QSP192" s="321"/>
      <c r="QSQ192" s="321"/>
      <c r="QSR192" s="331"/>
      <c r="QSS192" s="308"/>
      <c r="QST192" s="301"/>
      <c r="QSU192" s="301"/>
      <c r="QSV192" s="302"/>
      <c r="QSW192" s="309"/>
      <c r="QSX192" s="329"/>
      <c r="QSY192" s="311"/>
      <c r="QSZ192" s="312"/>
      <c r="QTA192" s="326"/>
      <c r="QTB192" s="332"/>
      <c r="QTC192" s="321"/>
      <c r="QTD192" s="321"/>
      <c r="QTE192" s="331"/>
      <c r="QTF192" s="308"/>
      <c r="QTG192" s="301"/>
      <c r="QTH192" s="301"/>
      <c r="QTI192" s="302"/>
      <c r="QTJ192" s="309"/>
      <c r="QTK192" s="329"/>
      <c r="QTL192" s="311"/>
      <c r="QTM192" s="312"/>
      <c r="QTN192" s="326"/>
      <c r="QTO192" s="332"/>
      <c r="QTP192" s="321"/>
      <c r="QTQ192" s="321"/>
      <c r="QTR192" s="331"/>
      <c r="QTS192" s="308"/>
      <c r="QTT192" s="301"/>
      <c r="QTU192" s="301"/>
      <c r="QTV192" s="302"/>
      <c r="QTW192" s="309"/>
      <c r="QTX192" s="329"/>
      <c r="QTY192" s="311"/>
      <c r="QTZ192" s="312"/>
      <c r="QUA192" s="326"/>
      <c r="QUB192" s="332"/>
      <c r="QUC192" s="321"/>
      <c r="QUD192" s="321"/>
      <c r="QUE192" s="331"/>
      <c r="QUF192" s="308"/>
      <c r="QUG192" s="301"/>
      <c r="QUH192" s="301"/>
      <c r="QUI192" s="302"/>
      <c r="QUJ192" s="309"/>
      <c r="QUK192" s="329"/>
      <c r="QUL192" s="311"/>
      <c r="QUM192" s="312"/>
      <c r="QUN192" s="326"/>
      <c r="QUO192" s="332"/>
      <c r="QUP192" s="321"/>
      <c r="QUQ192" s="321"/>
      <c r="QUR192" s="331"/>
      <c r="QUS192" s="308"/>
      <c r="QUT192" s="301"/>
      <c r="QUU192" s="301"/>
      <c r="QUV192" s="302"/>
      <c r="QUW192" s="309"/>
      <c r="QUX192" s="329"/>
      <c r="QUY192" s="311"/>
      <c r="QUZ192" s="312"/>
      <c r="QVA192" s="326"/>
      <c r="QVB192" s="332"/>
      <c r="QVC192" s="321"/>
      <c r="QVD192" s="321"/>
      <c r="QVE192" s="331"/>
      <c r="QVF192" s="308"/>
      <c r="QVG192" s="301"/>
      <c r="QVH192" s="301"/>
      <c r="QVI192" s="302"/>
      <c r="QVJ192" s="309"/>
      <c r="QVK192" s="329"/>
      <c r="QVL192" s="311"/>
      <c r="QVM192" s="312"/>
      <c r="QVN192" s="326"/>
      <c r="QVO192" s="332"/>
      <c r="QVP192" s="321"/>
      <c r="QVQ192" s="321"/>
      <c r="QVR192" s="331"/>
      <c r="QVS192" s="308"/>
      <c r="QVT192" s="301"/>
      <c r="QVU192" s="301"/>
      <c r="QVV192" s="302"/>
      <c r="QVW192" s="309"/>
      <c r="QVX192" s="329"/>
      <c r="QVY192" s="311"/>
      <c r="QVZ192" s="312"/>
      <c r="QWA192" s="326"/>
      <c r="QWB192" s="332"/>
      <c r="QWC192" s="321"/>
      <c r="QWD192" s="321"/>
      <c r="QWE192" s="331"/>
      <c r="QWF192" s="308"/>
      <c r="QWG192" s="301"/>
      <c r="QWH192" s="301"/>
      <c r="QWI192" s="302"/>
      <c r="QWJ192" s="309"/>
      <c r="QWK192" s="329"/>
      <c r="QWL192" s="311"/>
      <c r="QWM192" s="312"/>
      <c r="QWN192" s="326"/>
      <c r="QWO192" s="332"/>
      <c r="QWP192" s="321"/>
      <c r="QWQ192" s="321"/>
      <c r="QWR192" s="331"/>
      <c r="QWS192" s="308"/>
      <c r="QWT192" s="301"/>
      <c r="QWU192" s="301"/>
      <c r="QWV192" s="302"/>
      <c r="QWW192" s="309"/>
      <c r="QWX192" s="329"/>
      <c r="QWY192" s="311"/>
      <c r="QWZ192" s="312"/>
      <c r="QXA192" s="326"/>
      <c r="QXB192" s="332"/>
      <c r="QXC192" s="321"/>
      <c r="QXD192" s="321"/>
      <c r="QXE192" s="331"/>
      <c r="QXF192" s="308"/>
      <c r="QXG192" s="301"/>
      <c r="QXH192" s="301"/>
      <c r="QXI192" s="302"/>
      <c r="QXJ192" s="309"/>
      <c r="QXK192" s="329"/>
      <c r="QXL192" s="311"/>
      <c r="QXM192" s="312"/>
      <c r="QXN192" s="326"/>
      <c r="QXO192" s="332"/>
      <c r="QXP192" s="321"/>
      <c r="QXQ192" s="321"/>
      <c r="QXR192" s="331"/>
      <c r="QXS192" s="308"/>
      <c r="QXT192" s="301"/>
      <c r="QXU192" s="301"/>
      <c r="QXV192" s="302"/>
      <c r="QXW192" s="309"/>
      <c r="QXX192" s="329"/>
      <c r="QXY192" s="311"/>
      <c r="QXZ192" s="312"/>
      <c r="QYA192" s="326"/>
      <c r="QYB192" s="332"/>
      <c r="QYC192" s="321"/>
      <c r="QYD192" s="321"/>
      <c r="QYE192" s="331"/>
      <c r="QYF192" s="308"/>
      <c r="QYG192" s="301"/>
      <c r="QYH192" s="301"/>
      <c r="QYI192" s="302"/>
      <c r="QYJ192" s="309"/>
      <c r="QYK192" s="329"/>
      <c r="QYL192" s="311"/>
      <c r="QYM192" s="312"/>
      <c r="QYN192" s="326"/>
      <c r="QYO192" s="332"/>
      <c r="QYP192" s="321"/>
      <c r="QYQ192" s="321"/>
      <c r="QYR192" s="331"/>
      <c r="QYS192" s="308"/>
      <c r="QYT192" s="301"/>
      <c r="QYU192" s="301"/>
      <c r="QYV192" s="302"/>
      <c r="QYW192" s="309"/>
      <c r="QYX192" s="329"/>
      <c r="QYY192" s="311"/>
      <c r="QYZ192" s="312"/>
      <c r="QZA192" s="326"/>
      <c r="QZB192" s="332"/>
      <c r="QZC192" s="321"/>
      <c r="QZD192" s="321"/>
      <c r="QZE192" s="331"/>
      <c r="QZF192" s="308"/>
      <c r="QZG192" s="301"/>
      <c r="QZH192" s="301"/>
      <c r="QZI192" s="302"/>
      <c r="QZJ192" s="309"/>
      <c r="QZK192" s="329"/>
      <c r="QZL192" s="311"/>
      <c r="QZM192" s="312"/>
      <c r="QZN192" s="326"/>
      <c r="QZO192" s="332"/>
      <c r="QZP192" s="321"/>
      <c r="QZQ192" s="321"/>
      <c r="QZR192" s="331"/>
      <c r="QZS192" s="308"/>
      <c r="QZT192" s="301"/>
      <c r="QZU192" s="301"/>
      <c r="QZV192" s="302"/>
      <c r="QZW192" s="309"/>
      <c r="QZX192" s="329"/>
      <c r="QZY192" s="311"/>
      <c r="QZZ192" s="312"/>
      <c r="RAA192" s="326"/>
      <c r="RAB192" s="332"/>
      <c r="RAC192" s="321"/>
      <c r="RAD192" s="321"/>
      <c r="RAE192" s="331"/>
      <c r="RAF192" s="308"/>
      <c r="RAG192" s="301"/>
      <c r="RAH192" s="301"/>
      <c r="RAI192" s="302"/>
      <c r="RAJ192" s="309"/>
      <c r="RAK192" s="329"/>
      <c r="RAL192" s="311"/>
      <c r="RAM192" s="312"/>
      <c r="RAN192" s="326"/>
      <c r="RAO192" s="332"/>
      <c r="RAP192" s="321"/>
      <c r="RAQ192" s="321"/>
      <c r="RAR192" s="331"/>
      <c r="RAS192" s="308"/>
      <c r="RAT192" s="301"/>
      <c r="RAU192" s="301"/>
      <c r="RAV192" s="302"/>
      <c r="RAW192" s="309"/>
      <c r="RAX192" s="329"/>
      <c r="RAY192" s="311"/>
      <c r="RAZ192" s="312"/>
      <c r="RBA192" s="326"/>
      <c r="RBB192" s="332"/>
      <c r="RBC192" s="321"/>
      <c r="RBD192" s="321"/>
      <c r="RBE192" s="331"/>
      <c r="RBF192" s="308"/>
      <c r="RBG192" s="301"/>
      <c r="RBH192" s="301"/>
      <c r="RBI192" s="302"/>
      <c r="RBJ192" s="309"/>
      <c r="RBK192" s="329"/>
      <c r="RBL192" s="311"/>
      <c r="RBM192" s="312"/>
      <c r="RBN192" s="326"/>
      <c r="RBO192" s="332"/>
      <c r="RBP192" s="321"/>
      <c r="RBQ192" s="321"/>
      <c r="RBR192" s="331"/>
      <c r="RBS192" s="308"/>
      <c r="RBT192" s="301"/>
      <c r="RBU192" s="301"/>
      <c r="RBV192" s="302"/>
      <c r="RBW192" s="309"/>
      <c r="RBX192" s="329"/>
      <c r="RBY192" s="311"/>
      <c r="RBZ192" s="312"/>
      <c r="RCA192" s="326"/>
      <c r="RCB192" s="332"/>
      <c r="RCC192" s="321"/>
      <c r="RCD192" s="321"/>
      <c r="RCE192" s="331"/>
      <c r="RCF192" s="308"/>
      <c r="RCG192" s="301"/>
      <c r="RCH192" s="301"/>
      <c r="RCI192" s="302"/>
      <c r="RCJ192" s="309"/>
      <c r="RCK192" s="329"/>
      <c r="RCL192" s="311"/>
      <c r="RCM192" s="312"/>
      <c r="RCN192" s="326"/>
      <c r="RCO192" s="332"/>
      <c r="RCP192" s="321"/>
      <c r="RCQ192" s="321"/>
      <c r="RCR192" s="331"/>
      <c r="RCS192" s="308"/>
      <c r="RCT192" s="301"/>
      <c r="RCU192" s="301"/>
      <c r="RCV192" s="302"/>
      <c r="RCW192" s="309"/>
      <c r="RCX192" s="329"/>
      <c r="RCY192" s="311"/>
      <c r="RCZ192" s="312"/>
      <c r="RDA192" s="326"/>
      <c r="RDB192" s="332"/>
      <c r="RDC192" s="321"/>
      <c r="RDD192" s="321"/>
      <c r="RDE192" s="331"/>
      <c r="RDF192" s="308"/>
      <c r="RDG192" s="301"/>
      <c r="RDH192" s="301"/>
      <c r="RDI192" s="302"/>
      <c r="RDJ192" s="309"/>
      <c r="RDK192" s="329"/>
      <c r="RDL192" s="311"/>
      <c r="RDM192" s="312"/>
      <c r="RDN192" s="326"/>
      <c r="RDO192" s="332"/>
      <c r="RDP192" s="321"/>
      <c r="RDQ192" s="321"/>
      <c r="RDR192" s="331"/>
      <c r="RDS192" s="308"/>
      <c r="RDT192" s="301"/>
      <c r="RDU192" s="301"/>
      <c r="RDV192" s="302"/>
      <c r="RDW192" s="309"/>
      <c r="RDX192" s="329"/>
      <c r="RDY192" s="311"/>
      <c r="RDZ192" s="312"/>
      <c r="REA192" s="326"/>
      <c r="REB192" s="332"/>
      <c r="REC192" s="321"/>
      <c r="RED192" s="321"/>
      <c r="REE192" s="331"/>
      <c r="REF192" s="308"/>
      <c r="REG192" s="301"/>
      <c r="REH192" s="301"/>
      <c r="REI192" s="302"/>
      <c r="REJ192" s="309"/>
      <c r="REK192" s="329"/>
      <c r="REL192" s="311"/>
      <c r="REM192" s="312"/>
      <c r="REN192" s="326"/>
      <c r="REO192" s="332"/>
      <c r="REP192" s="321"/>
      <c r="REQ192" s="321"/>
      <c r="RER192" s="331"/>
      <c r="RES192" s="308"/>
      <c r="RET192" s="301"/>
      <c r="REU192" s="301"/>
      <c r="REV192" s="302"/>
      <c r="REW192" s="309"/>
      <c r="REX192" s="329"/>
      <c r="REY192" s="311"/>
      <c r="REZ192" s="312"/>
      <c r="RFA192" s="326"/>
      <c r="RFB192" s="332"/>
      <c r="RFC192" s="321"/>
      <c r="RFD192" s="321"/>
      <c r="RFE192" s="331"/>
      <c r="RFF192" s="308"/>
      <c r="RFG192" s="301"/>
      <c r="RFH192" s="301"/>
      <c r="RFI192" s="302"/>
      <c r="RFJ192" s="309"/>
      <c r="RFK192" s="329"/>
      <c r="RFL192" s="311"/>
      <c r="RFM192" s="312"/>
      <c r="RFN192" s="326"/>
      <c r="RFO192" s="332"/>
      <c r="RFP192" s="321"/>
      <c r="RFQ192" s="321"/>
      <c r="RFR192" s="331"/>
      <c r="RFS192" s="308"/>
      <c r="RFT192" s="301"/>
      <c r="RFU192" s="301"/>
      <c r="RFV192" s="302"/>
      <c r="RFW192" s="309"/>
      <c r="RFX192" s="329"/>
      <c r="RFY192" s="311"/>
      <c r="RFZ192" s="312"/>
      <c r="RGA192" s="326"/>
      <c r="RGB192" s="332"/>
      <c r="RGC192" s="321"/>
      <c r="RGD192" s="321"/>
      <c r="RGE192" s="331"/>
      <c r="RGF192" s="308"/>
      <c r="RGG192" s="301"/>
      <c r="RGH192" s="301"/>
      <c r="RGI192" s="302"/>
      <c r="RGJ192" s="309"/>
      <c r="RGK192" s="329"/>
      <c r="RGL192" s="311"/>
      <c r="RGM192" s="312"/>
      <c r="RGN192" s="326"/>
      <c r="RGO192" s="332"/>
      <c r="RGP192" s="321"/>
      <c r="RGQ192" s="321"/>
      <c r="RGR192" s="331"/>
      <c r="RGS192" s="308"/>
      <c r="RGT192" s="301"/>
      <c r="RGU192" s="301"/>
      <c r="RGV192" s="302"/>
      <c r="RGW192" s="309"/>
      <c r="RGX192" s="329"/>
      <c r="RGY192" s="311"/>
      <c r="RGZ192" s="312"/>
      <c r="RHA192" s="326"/>
      <c r="RHB192" s="332"/>
      <c r="RHC192" s="321"/>
      <c r="RHD192" s="321"/>
      <c r="RHE192" s="331"/>
      <c r="RHF192" s="308"/>
      <c r="RHG192" s="301"/>
      <c r="RHH192" s="301"/>
      <c r="RHI192" s="302"/>
      <c r="RHJ192" s="309"/>
      <c r="RHK192" s="329"/>
      <c r="RHL192" s="311"/>
      <c r="RHM192" s="312"/>
      <c r="RHN192" s="326"/>
      <c r="RHO192" s="332"/>
      <c r="RHP192" s="321"/>
      <c r="RHQ192" s="321"/>
      <c r="RHR192" s="331"/>
      <c r="RHS192" s="308"/>
      <c r="RHT192" s="301"/>
      <c r="RHU192" s="301"/>
      <c r="RHV192" s="302"/>
      <c r="RHW192" s="309"/>
      <c r="RHX192" s="329"/>
      <c r="RHY192" s="311"/>
      <c r="RHZ192" s="312"/>
      <c r="RIA192" s="326"/>
      <c r="RIB192" s="332"/>
      <c r="RIC192" s="321"/>
      <c r="RID192" s="321"/>
      <c r="RIE192" s="331"/>
      <c r="RIF192" s="308"/>
      <c r="RIG192" s="301"/>
      <c r="RIH192" s="301"/>
      <c r="RII192" s="302"/>
      <c r="RIJ192" s="309"/>
      <c r="RIK192" s="329"/>
      <c r="RIL192" s="311"/>
      <c r="RIM192" s="312"/>
      <c r="RIN192" s="326"/>
      <c r="RIO192" s="332"/>
      <c r="RIP192" s="321"/>
      <c r="RIQ192" s="321"/>
      <c r="RIR192" s="331"/>
      <c r="RIS192" s="308"/>
      <c r="RIT192" s="301"/>
      <c r="RIU192" s="301"/>
      <c r="RIV192" s="302"/>
      <c r="RIW192" s="309"/>
      <c r="RIX192" s="329"/>
      <c r="RIY192" s="311"/>
      <c r="RIZ192" s="312"/>
      <c r="RJA192" s="326"/>
      <c r="RJB192" s="332"/>
      <c r="RJC192" s="321"/>
      <c r="RJD192" s="321"/>
      <c r="RJE192" s="331"/>
      <c r="RJF192" s="308"/>
      <c r="RJG192" s="301"/>
      <c r="RJH192" s="301"/>
      <c r="RJI192" s="302"/>
      <c r="RJJ192" s="309"/>
      <c r="RJK192" s="329"/>
      <c r="RJL192" s="311"/>
      <c r="RJM192" s="312"/>
      <c r="RJN192" s="326"/>
      <c r="RJO192" s="332"/>
      <c r="RJP192" s="321"/>
      <c r="RJQ192" s="321"/>
      <c r="RJR192" s="331"/>
      <c r="RJS192" s="308"/>
      <c r="RJT192" s="301"/>
      <c r="RJU192" s="301"/>
      <c r="RJV192" s="302"/>
      <c r="RJW192" s="309"/>
      <c r="RJX192" s="329"/>
      <c r="RJY192" s="311"/>
      <c r="RJZ192" s="312"/>
      <c r="RKA192" s="326"/>
      <c r="RKB192" s="332"/>
      <c r="RKC192" s="321"/>
      <c r="RKD192" s="321"/>
      <c r="RKE192" s="331"/>
      <c r="RKF192" s="308"/>
      <c r="RKG192" s="301"/>
      <c r="RKH192" s="301"/>
      <c r="RKI192" s="302"/>
      <c r="RKJ192" s="309"/>
      <c r="RKK192" s="329"/>
      <c r="RKL192" s="311"/>
      <c r="RKM192" s="312"/>
      <c r="RKN192" s="326"/>
      <c r="RKO192" s="332"/>
      <c r="RKP192" s="321"/>
      <c r="RKQ192" s="321"/>
      <c r="RKR192" s="331"/>
      <c r="RKS192" s="308"/>
      <c r="RKT192" s="301"/>
      <c r="RKU192" s="301"/>
      <c r="RKV192" s="302"/>
      <c r="RKW192" s="309"/>
      <c r="RKX192" s="329"/>
      <c r="RKY192" s="311"/>
      <c r="RKZ192" s="312"/>
      <c r="RLA192" s="326"/>
      <c r="RLB192" s="332"/>
      <c r="RLC192" s="321"/>
      <c r="RLD192" s="321"/>
      <c r="RLE192" s="331"/>
      <c r="RLF192" s="308"/>
      <c r="RLG192" s="301"/>
      <c r="RLH192" s="301"/>
      <c r="RLI192" s="302"/>
      <c r="RLJ192" s="309"/>
      <c r="RLK192" s="329"/>
      <c r="RLL192" s="311"/>
      <c r="RLM192" s="312"/>
      <c r="RLN192" s="326"/>
      <c r="RLO192" s="332"/>
      <c r="RLP192" s="321"/>
      <c r="RLQ192" s="321"/>
      <c r="RLR192" s="331"/>
      <c r="RLS192" s="308"/>
      <c r="RLT192" s="301"/>
      <c r="RLU192" s="301"/>
      <c r="RLV192" s="302"/>
      <c r="RLW192" s="309"/>
      <c r="RLX192" s="329"/>
      <c r="RLY192" s="311"/>
      <c r="RLZ192" s="312"/>
      <c r="RMA192" s="326"/>
      <c r="RMB192" s="332"/>
      <c r="RMC192" s="321"/>
      <c r="RMD192" s="321"/>
      <c r="RME192" s="331"/>
      <c r="RMF192" s="308"/>
      <c r="RMG192" s="301"/>
      <c r="RMH192" s="301"/>
      <c r="RMI192" s="302"/>
      <c r="RMJ192" s="309"/>
      <c r="RMK192" s="329"/>
      <c r="RML192" s="311"/>
      <c r="RMM192" s="312"/>
      <c r="RMN192" s="326"/>
      <c r="RMO192" s="332"/>
      <c r="RMP192" s="321"/>
      <c r="RMQ192" s="321"/>
      <c r="RMR192" s="331"/>
      <c r="RMS192" s="308"/>
      <c r="RMT192" s="301"/>
      <c r="RMU192" s="301"/>
      <c r="RMV192" s="302"/>
      <c r="RMW192" s="309"/>
      <c r="RMX192" s="329"/>
      <c r="RMY192" s="311"/>
      <c r="RMZ192" s="312"/>
      <c r="RNA192" s="326"/>
      <c r="RNB192" s="332"/>
      <c r="RNC192" s="321"/>
      <c r="RND192" s="321"/>
      <c r="RNE192" s="331"/>
      <c r="RNF192" s="308"/>
      <c r="RNG192" s="301"/>
      <c r="RNH192" s="301"/>
      <c r="RNI192" s="302"/>
      <c r="RNJ192" s="309"/>
      <c r="RNK192" s="329"/>
      <c r="RNL192" s="311"/>
      <c r="RNM192" s="312"/>
      <c r="RNN192" s="326"/>
      <c r="RNO192" s="332"/>
      <c r="RNP192" s="321"/>
      <c r="RNQ192" s="321"/>
      <c r="RNR192" s="331"/>
      <c r="RNS192" s="308"/>
      <c r="RNT192" s="301"/>
      <c r="RNU192" s="301"/>
      <c r="RNV192" s="302"/>
      <c r="RNW192" s="309"/>
      <c r="RNX192" s="329"/>
      <c r="RNY192" s="311"/>
      <c r="RNZ192" s="312"/>
      <c r="ROA192" s="326"/>
      <c r="ROB192" s="332"/>
      <c r="ROC192" s="321"/>
      <c r="ROD192" s="321"/>
      <c r="ROE192" s="331"/>
      <c r="ROF192" s="308"/>
      <c r="ROG192" s="301"/>
      <c r="ROH192" s="301"/>
      <c r="ROI192" s="302"/>
      <c r="ROJ192" s="309"/>
      <c r="ROK192" s="329"/>
      <c r="ROL192" s="311"/>
      <c r="ROM192" s="312"/>
      <c r="RON192" s="326"/>
      <c r="ROO192" s="332"/>
      <c r="ROP192" s="321"/>
      <c r="ROQ192" s="321"/>
      <c r="ROR192" s="331"/>
      <c r="ROS192" s="308"/>
      <c r="ROT192" s="301"/>
      <c r="ROU192" s="301"/>
      <c r="ROV192" s="302"/>
      <c r="ROW192" s="309"/>
      <c r="ROX192" s="329"/>
      <c r="ROY192" s="311"/>
      <c r="ROZ192" s="312"/>
      <c r="RPA192" s="326"/>
      <c r="RPB192" s="332"/>
      <c r="RPC192" s="321"/>
      <c r="RPD192" s="321"/>
      <c r="RPE192" s="331"/>
      <c r="RPF192" s="308"/>
      <c r="RPG192" s="301"/>
      <c r="RPH192" s="301"/>
      <c r="RPI192" s="302"/>
      <c r="RPJ192" s="309"/>
      <c r="RPK192" s="329"/>
      <c r="RPL192" s="311"/>
      <c r="RPM192" s="312"/>
      <c r="RPN192" s="326"/>
      <c r="RPO192" s="332"/>
      <c r="RPP192" s="321"/>
      <c r="RPQ192" s="321"/>
      <c r="RPR192" s="331"/>
      <c r="RPS192" s="308"/>
      <c r="RPT192" s="301"/>
      <c r="RPU192" s="301"/>
      <c r="RPV192" s="302"/>
      <c r="RPW192" s="309"/>
      <c r="RPX192" s="329"/>
      <c r="RPY192" s="311"/>
      <c r="RPZ192" s="312"/>
      <c r="RQA192" s="326"/>
      <c r="RQB192" s="332"/>
      <c r="RQC192" s="321"/>
      <c r="RQD192" s="321"/>
      <c r="RQE192" s="331"/>
      <c r="RQF192" s="308"/>
      <c r="RQG192" s="301"/>
      <c r="RQH192" s="301"/>
      <c r="RQI192" s="302"/>
      <c r="RQJ192" s="309"/>
      <c r="RQK192" s="329"/>
      <c r="RQL192" s="311"/>
      <c r="RQM192" s="312"/>
      <c r="RQN192" s="326"/>
      <c r="RQO192" s="332"/>
      <c r="RQP192" s="321"/>
      <c r="RQQ192" s="321"/>
      <c r="RQR192" s="331"/>
      <c r="RQS192" s="308"/>
      <c r="RQT192" s="301"/>
      <c r="RQU192" s="301"/>
      <c r="RQV192" s="302"/>
      <c r="RQW192" s="309"/>
      <c r="RQX192" s="329"/>
      <c r="RQY192" s="311"/>
      <c r="RQZ192" s="312"/>
      <c r="RRA192" s="326"/>
      <c r="RRB192" s="332"/>
      <c r="RRC192" s="321"/>
      <c r="RRD192" s="321"/>
      <c r="RRE192" s="331"/>
      <c r="RRF192" s="308"/>
      <c r="RRG192" s="301"/>
      <c r="RRH192" s="301"/>
      <c r="RRI192" s="302"/>
      <c r="RRJ192" s="309"/>
      <c r="RRK192" s="329"/>
      <c r="RRL192" s="311"/>
      <c r="RRM192" s="312"/>
      <c r="RRN192" s="326"/>
      <c r="RRO192" s="332"/>
      <c r="RRP192" s="321"/>
      <c r="RRQ192" s="321"/>
      <c r="RRR192" s="331"/>
      <c r="RRS192" s="308"/>
      <c r="RRT192" s="301"/>
      <c r="RRU192" s="301"/>
      <c r="RRV192" s="302"/>
      <c r="RRW192" s="309"/>
      <c r="RRX192" s="329"/>
      <c r="RRY192" s="311"/>
      <c r="RRZ192" s="312"/>
      <c r="RSA192" s="326"/>
      <c r="RSB192" s="332"/>
      <c r="RSC192" s="321"/>
      <c r="RSD192" s="321"/>
      <c r="RSE192" s="331"/>
      <c r="RSF192" s="308"/>
      <c r="RSG192" s="301"/>
      <c r="RSH192" s="301"/>
      <c r="RSI192" s="302"/>
      <c r="RSJ192" s="309"/>
      <c r="RSK192" s="329"/>
      <c r="RSL192" s="311"/>
      <c r="RSM192" s="312"/>
      <c r="RSN192" s="326"/>
      <c r="RSO192" s="332"/>
      <c r="RSP192" s="321"/>
      <c r="RSQ192" s="321"/>
      <c r="RSR192" s="331"/>
      <c r="RSS192" s="308"/>
      <c r="RST192" s="301"/>
      <c r="RSU192" s="301"/>
      <c r="RSV192" s="302"/>
      <c r="RSW192" s="309"/>
      <c r="RSX192" s="329"/>
      <c r="RSY192" s="311"/>
      <c r="RSZ192" s="312"/>
      <c r="RTA192" s="326"/>
      <c r="RTB192" s="332"/>
      <c r="RTC192" s="321"/>
      <c r="RTD192" s="321"/>
      <c r="RTE192" s="331"/>
      <c r="RTF192" s="308"/>
      <c r="RTG192" s="301"/>
      <c r="RTH192" s="301"/>
      <c r="RTI192" s="302"/>
      <c r="RTJ192" s="309"/>
      <c r="RTK192" s="329"/>
      <c r="RTL192" s="311"/>
      <c r="RTM192" s="312"/>
      <c r="RTN192" s="326"/>
      <c r="RTO192" s="332"/>
      <c r="RTP192" s="321"/>
      <c r="RTQ192" s="321"/>
      <c r="RTR192" s="331"/>
      <c r="RTS192" s="308"/>
      <c r="RTT192" s="301"/>
      <c r="RTU192" s="301"/>
      <c r="RTV192" s="302"/>
      <c r="RTW192" s="309"/>
      <c r="RTX192" s="329"/>
      <c r="RTY192" s="311"/>
      <c r="RTZ192" s="312"/>
      <c r="RUA192" s="326"/>
      <c r="RUB192" s="332"/>
      <c r="RUC192" s="321"/>
      <c r="RUD192" s="321"/>
      <c r="RUE192" s="331"/>
      <c r="RUF192" s="308"/>
      <c r="RUG192" s="301"/>
      <c r="RUH192" s="301"/>
      <c r="RUI192" s="302"/>
      <c r="RUJ192" s="309"/>
      <c r="RUK192" s="329"/>
      <c r="RUL192" s="311"/>
      <c r="RUM192" s="312"/>
      <c r="RUN192" s="326"/>
      <c r="RUO192" s="332"/>
      <c r="RUP192" s="321"/>
      <c r="RUQ192" s="321"/>
      <c r="RUR192" s="331"/>
      <c r="RUS192" s="308"/>
      <c r="RUT192" s="301"/>
      <c r="RUU192" s="301"/>
      <c r="RUV192" s="302"/>
      <c r="RUW192" s="309"/>
      <c r="RUX192" s="329"/>
      <c r="RUY192" s="311"/>
      <c r="RUZ192" s="312"/>
      <c r="RVA192" s="326"/>
      <c r="RVB192" s="332"/>
      <c r="RVC192" s="321"/>
      <c r="RVD192" s="321"/>
      <c r="RVE192" s="331"/>
      <c r="RVF192" s="308"/>
      <c r="RVG192" s="301"/>
      <c r="RVH192" s="301"/>
      <c r="RVI192" s="302"/>
      <c r="RVJ192" s="309"/>
      <c r="RVK192" s="329"/>
      <c r="RVL192" s="311"/>
      <c r="RVM192" s="312"/>
      <c r="RVN192" s="326"/>
      <c r="RVO192" s="332"/>
      <c r="RVP192" s="321"/>
      <c r="RVQ192" s="321"/>
      <c r="RVR192" s="331"/>
      <c r="RVS192" s="308"/>
      <c r="RVT192" s="301"/>
      <c r="RVU192" s="301"/>
      <c r="RVV192" s="302"/>
      <c r="RVW192" s="309"/>
      <c r="RVX192" s="329"/>
      <c r="RVY192" s="311"/>
      <c r="RVZ192" s="312"/>
      <c r="RWA192" s="326"/>
      <c r="RWB192" s="332"/>
      <c r="RWC192" s="321"/>
      <c r="RWD192" s="321"/>
      <c r="RWE192" s="331"/>
      <c r="RWF192" s="308"/>
      <c r="RWG192" s="301"/>
      <c r="RWH192" s="301"/>
      <c r="RWI192" s="302"/>
      <c r="RWJ192" s="309"/>
      <c r="RWK192" s="329"/>
      <c r="RWL192" s="311"/>
      <c r="RWM192" s="312"/>
      <c r="RWN192" s="326"/>
      <c r="RWO192" s="332"/>
      <c r="RWP192" s="321"/>
      <c r="RWQ192" s="321"/>
      <c r="RWR192" s="331"/>
      <c r="RWS192" s="308"/>
      <c r="RWT192" s="301"/>
      <c r="RWU192" s="301"/>
      <c r="RWV192" s="302"/>
      <c r="RWW192" s="309"/>
      <c r="RWX192" s="329"/>
      <c r="RWY192" s="311"/>
      <c r="RWZ192" s="312"/>
      <c r="RXA192" s="326"/>
      <c r="RXB192" s="332"/>
      <c r="RXC192" s="321"/>
      <c r="RXD192" s="321"/>
      <c r="RXE192" s="331"/>
      <c r="RXF192" s="308"/>
      <c r="RXG192" s="301"/>
      <c r="RXH192" s="301"/>
      <c r="RXI192" s="302"/>
      <c r="RXJ192" s="309"/>
      <c r="RXK192" s="329"/>
      <c r="RXL192" s="311"/>
      <c r="RXM192" s="312"/>
      <c r="RXN192" s="326"/>
      <c r="RXO192" s="332"/>
      <c r="RXP192" s="321"/>
      <c r="RXQ192" s="321"/>
      <c r="RXR192" s="331"/>
      <c r="RXS192" s="308"/>
      <c r="RXT192" s="301"/>
      <c r="RXU192" s="301"/>
      <c r="RXV192" s="302"/>
      <c r="RXW192" s="309"/>
      <c r="RXX192" s="329"/>
      <c r="RXY192" s="311"/>
      <c r="RXZ192" s="312"/>
      <c r="RYA192" s="326"/>
      <c r="RYB192" s="332"/>
      <c r="RYC192" s="321"/>
      <c r="RYD192" s="321"/>
      <c r="RYE192" s="331"/>
      <c r="RYF192" s="308"/>
      <c r="RYG192" s="301"/>
      <c r="RYH192" s="301"/>
      <c r="RYI192" s="302"/>
      <c r="RYJ192" s="309"/>
      <c r="RYK192" s="329"/>
      <c r="RYL192" s="311"/>
      <c r="RYM192" s="312"/>
      <c r="RYN192" s="326"/>
      <c r="RYO192" s="332"/>
      <c r="RYP192" s="321"/>
      <c r="RYQ192" s="321"/>
      <c r="RYR192" s="331"/>
      <c r="RYS192" s="308"/>
      <c r="RYT192" s="301"/>
      <c r="RYU192" s="301"/>
      <c r="RYV192" s="302"/>
      <c r="RYW192" s="309"/>
      <c r="RYX192" s="329"/>
      <c r="RYY192" s="311"/>
      <c r="RYZ192" s="312"/>
      <c r="RZA192" s="326"/>
      <c r="RZB192" s="332"/>
      <c r="RZC192" s="321"/>
      <c r="RZD192" s="321"/>
      <c r="RZE192" s="331"/>
      <c r="RZF192" s="308"/>
      <c r="RZG192" s="301"/>
      <c r="RZH192" s="301"/>
      <c r="RZI192" s="302"/>
      <c r="RZJ192" s="309"/>
      <c r="RZK192" s="329"/>
      <c r="RZL192" s="311"/>
      <c r="RZM192" s="312"/>
      <c r="RZN192" s="326"/>
      <c r="RZO192" s="332"/>
      <c r="RZP192" s="321"/>
      <c r="RZQ192" s="321"/>
      <c r="RZR192" s="331"/>
      <c r="RZS192" s="308"/>
      <c r="RZT192" s="301"/>
      <c r="RZU192" s="301"/>
      <c r="RZV192" s="302"/>
      <c r="RZW192" s="309"/>
      <c r="RZX192" s="329"/>
      <c r="RZY192" s="311"/>
      <c r="RZZ192" s="312"/>
      <c r="SAA192" s="326"/>
      <c r="SAB192" s="332"/>
      <c r="SAC192" s="321"/>
      <c r="SAD192" s="321"/>
      <c r="SAE192" s="331"/>
      <c r="SAF192" s="308"/>
      <c r="SAG192" s="301"/>
      <c r="SAH192" s="301"/>
      <c r="SAI192" s="302"/>
      <c r="SAJ192" s="309"/>
      <c r="SAK192" s="329"/>
      <c r="SAL192" s="311"/>
      <c r="SAM192" s="312"/>
      <c r="SAN192" s="326"/>
      <c r="SAO192" s="332"/>
      <c r="SAP192" s="321"/>
      <c r="SAQ192" s="321"/>
      <c r="SAR192" s="331"/>
      <c r="SAS192" s="308"/>
      <c r="SAT192" s="301"/>
      <c r="SAU192" s="301"/>
      <c r="SAV192" s="302"/>
      <c r="SAW192" s="309"/>
      <c r="SAX192" s="329"/>
      <c r="SAY192" s="311"/>
      <c r="SAZ192" s="312"/>
      <c r="SBA192" s="326"/>
      <c r="SBB192" s="332"/>
      <c r="SBC192" s="321"/>
      <c r="SBD192" s="321"/>
      <c r="SBE192" s="331"/>
      <c r="SBF192" s="308"/>
      <c r="SBG192" s="301"/>
      <c r="SBH192" s="301"/>
      <c r="SBI192" s="302"/>
      <c r="SBJ192" s="309"/>
      <c r="SBK192" s="329"/>
      <c r="SBL192" s="311"/>
      <c r="SBM192" s="312"/>
      <c r="SBN192" s="326"/>
      <c r="SBO192" s="332"/>
      <c r="SBP192" s="321"/>
      <c r="SBQ192" s="321"/>
      <c r="SBR192" s="331"/>
      <c r="SBS192" s="308"/>
      <c r="SBT192" s="301"/>
      <c r="SBU192" s="301"/>
      <c r="SBV192" s="302"/>
      <c r="SBW192" s="309"/>
      <c r="SBX192" s="329"/>
      <c r="SBY192" s="311"/>
      <c r="SBZ192" s="312"/>
      <c r="SCA192" s="326"/>
      <c r="SCB192" s="332"/>
      <c r="SCC192" s="321"/>
      <c r="SCD192" s="321"/>
      <c r="SCE192" s="331"/>
      <c r="SCF192" s="308"/>
      <c r="SCG192" s="301"/>
      <c r="SCH192" s="301"/>
      <c r="SCI192" s="302"/>
      <c r="SCJ192" s="309"/>
      <c r="SCK192" s="329"/>
      <c r="SCL192" s="311"/>
      <c r="SCM192" s="312"/>
      <c r="SCN192" s="326"/>
      <c r="SCO192" s="332"/>
      <c r="SCP192" s="321"/>
      <c r="SCQ192" s="321"/>
      <c r="SCR192" s="331"/>
      <c r="SCS192" s="308"/>
      <c r="SCT192" s="301"/>
      <c r="SCU192" s="301"/>
      <c r="SCV192" s="302"/>
      <c r="SCW192" s="309"/>
      <c r="SCX192" s="329"/>
      <c r="SCY192" s="311"/>
      <c r="SCZ192" s="312"/>
      <c r="SDA192" s="326"/>
      <c r="SDB192" s="332"/>
      <c r="SDC192" s="321"/>
      <c r="SDD192" s="321"/>
      <c r="SDE192" s="331"/>
      <c r="SDF192" s="308"/>
      <c r="SDG192" s="301"/>
      <c r="SDH192" s="301"/>
      <c r="SDI192" s="302"/>
      <c r="SDJ192" s="309"/>
      <c r="SDK192" s="329"/>
      <c r="SDL192" s="311"/>
      <c r="SDM192" s="312"/>
      <c r="SDN192" s="326"/>
      <c r="SDO192" s="332"/>
      <c r="SDP192" s="321"/>
      <c r="SDQ192" s="321"/>
      <c r="SDR192" s="331"/>
      <c r="SDS192" s="308"/>
      <c r="SDT192" s="301"/>
      <c r="SDU192" s="301"/>
      <c r="SDV192" s="302"/>
      <c r="SDW192" s="309"/>
      <c r="SDX192" s="329"/>
      <c r="SDY192" s="311"/>
      <c r="SDZ192" s="312"/>
      <c r="SEA192" s="326"/>
      <c r="SEB192" s="332"/>
      <c r="SEC192" s="321"/>
      <c r="SED192" s="321"/>
      <c r="SEE192" s="331"/>
      <c r="SEF192" s="308"/>
      <c r="SEG192" s="301"/>
      <c r="SEH192" s="301"/>
      <c r="SEI192" s="302"/>
      <c r="SEJ192" s="309"/>
      <c r="SEK192" s="329"/>
      <c r="SEL192" s="311"/>
      <c r="SEM192" s="312"/>
      <c r="SEN192" s="326"/>
      <c r="SEO192" s="332"/>
      <c r="SEP192" s="321"/>
      <c r="SEQ192" s="321"/>
      <c r="SER192" s="331"/>
      <c r="SES192" s="308"/>
      <c r="SET192" s="301"/>
      <c r="SEU192" s="301"/>
      <c r="SEV192" s="302"/>
      <c r="SEW192" s="309"/>
      <c r="SEX192" s="329"/>
      <c r="SEY192" s="311"/>
      <c r="SEZ192" s="312"/>
      <c r="SFA192" s="326"/>
      <c r="SFB192" s="332"/>
      <c r="SFC192" s="321"/>
      <c r="SFD192" s="321"/>
      <c r="SFE192" s="331"/>
      <c r="SFF192" s="308"/>
      <c r="SFG192" s="301"/>
      <c r="SFH192" s="301"/>
      <c r="SFI192" s="302"/>
      <c r="SFJ192" s="309"/>
      <c r="SFK192" s="329"/>
      <c r="SFL192" s="311"/>
      <c r="SFM192" s="312"/>
      <c r="SFN192" s="326"/>
      <c r="SFO192" s="332"/>
      <c r="SFP192" s="321"/>
      <c r="SFQ192" s="321"/>
      <c r="SFR192" s="331"/>
      <c r="SFS192" s="308"/>
      <c r="SFT192" s="301"/>
      <c r="SFU192" s="301"/>
      <c r="SFV192" s="302"/>
      <c r="SFW192" s="309"/>
      <c r="SFX192" s="329"/>
      <c r="SFY192" s="311"/>
      <c r="SFZ192" s="312"/>
      <c r="SGA192" s="326"/>
      <c r="SGB192" s="332"/>
      <c r="SGC192" s="321"/>
      <c r="SGD192" s="321"/>
      <c r="SGE192" s="331"/>
      <c r="SGF192" s="308"/>
      <c r="SGG192" s="301"/>
      <c r="SGH192" s="301"/>
      <c r="SGI192" s="302"/>
      <c r="SGJ192" s="309"/>
      <c r="SGK192" s="329"/>
      <c r="SGL192" s="311"/>
      <c r="SGM192" s="312"/>
      <c r="SGN192" s="326"/>
      <c r="SGO192" s="332"/>
      <c r="SGP192" s="321"/>
      <c r="SGQ192" s="321"/>
      <c r="SGR192" s="331"/>
      <c r="SGS192" s="308"/>
      <c r="SGT192" s="301"/>
      <c r="SGU192" s="301"/>
      <c r="SGV192" s="302"/>
      <c r="SGW192" s="309"/>
      <c r="SGX192" s="329"/>
      <c r="SGY192" s="311"/>
      <c r="SGZ192" s="312"/>
      <c r="SHA192" s="326"/>
      <c r="SHB192" s="332"/>
      <c r="SHC192" s="321"/>
      <c r="SHD192" s="321"/>
      <c r="SHE192" s="331"/>
      <c r="SHF192" s="308"/>
      <c r="SHG192" s="301"/>
      <c r="SHH192" s="301"/>
      <c r="SHI192" s="302"/>
      <c r="SHJ192" s="309"/>
      <c r="SHK192" s="329"/>
      <c r="SHL192" s="311"/>
      <c r="SHM192" s="312"/>
      <c r="SHN192" s="326"/>
      <c r="SHO192" s="332"/>
      <c r="SHP192" s="321"/>
      <c r="SHQ192" s="321"/>
      <c r="SHR192" s="331"/>
      <c r="SHS192" s="308"/>
      <c r="SHT192" s="301"/>
      <c r="SHU192" s="301"/>
      <c r="SHV192" s="302"/>
      <c r="SHW192" s="309"/>
      <c r="SHX192" s="329"/>
      <c r="SHY192" s="311"/>
      <c r="SHZ192" s="312"/>
      <c r="SIA192" s="326"/>
      <c r="SIB192" s="332"/>
      <c r="SIC192" s="321"/>
      <c r="SID192" s="321"/>
      <c r="SIE192" s="331"/>
      <c r="SIF192" s="308"/>
      <c r="SIG192" s="301"/>
      <c r="SIH192" s="301"/>
      <c r="SII192" s="302"/>
      <c r="SIJ192" s="309"/>
      <c r="SIK192" s="329"/>
      <c r="SIL192" s="311"/>
      <c r="SIM192" s="312"/>
      <c r="SIN192" s="326"/>
      <c r="SIO192" s="332"/>
      <c r="SIP192" s="321"/>
      <c r="SIQ192" s="321"/>
      <c r="SIR192" s="331"/>
      <c r="SIS192" s="308"/>
      <c r="SIT192" s="301"/>
      <c r="SIU192" s="301"/>
      <c r="SIV192" s="302"/>
      <c r="SIW192" s="309"/>
      <c r="SIX192" s="329"/>
      <c r="SIY192" s="311"/>
      <c r="SIZ192" s="312"/>
      <c r="SJA192" s="326"/>
      <c r="SJB192" s="332"/>
      <c r="SJC192" s="321"/>
      <c r="SJD192" s="321"/>
      <c r="SJE192" s="331"/>
      <c r="SJF192" s="308"/>
      <c r="SJG192" s="301"/>
      <c r="SJH192" s="301"/>
      <c r="SJI192" s="302"/>
      <c r="SJJ192" s="309"/>
      <c r="SJK192" s="329"/>
      <c r="SJL192" s="311"/>
      <c r="SJM192" s="312"/>
      <c r="SJN192" s="326"/>
      <c r="SJO192" s="332"/>
      <c r="SJP192" s="321"/>
      <c r="SJQ192" s="321"/>
      <c r="SJR192" s="331"/>
      <c r="SJS192" s="308"/>
      <c r="SJT192" s="301"/>
      <c r="SJU192" s="301"/>
      <c r="SJV192" s="302"/>
      <c r="SJW192" s="309"/>
      <c r="SJX192" s="329"/>
      <c r="SJY192" s="311"/>
      <c r="SJZ192" s="312"/>
      <c r="SKA192" s="326"/>
      <c r="SKB192" s="332"/>
      <c r="SKC192" s="321"/>
      <c r="SKD192" s="321"/>
      <c r="SKE192" s="331"/>
      <c r="SKF192" s="308"/>
      <c r="SKG192" s="301"/>
      <c r="SKH192" s="301"/>
      <c r="SKI192" s="302"/>
      <c r="SKJ192" s="309"/>
      <c r="SKK192" s="329"/>
      <c r="SKL192" s="311"/>
      <c r="SKM192" s="312"/>
      <c r="SKN192" s="326"/>
      <c r="SKO192" s="332"/>
      <c r="SKP192" s="321"/>
      <c r="SKQ192" s="321"/>
      <c r="SKR192" s="331"/>
      <c r="SKS192" s="308"/>
      <c r="SKT192" s="301"/>
      <c r="SKU192" s="301"/>
      <c r="SKV192" s="302"/>
      <c r="SKW192" s="309"/>
      <c r="SKX192" s="329"/>
      <c r="SKY192" s="311"/>
      <c r="SKZ192" s="312"/>
      <c r="SLA192" s="326"/>
      <c r="SLB192" s="332"/>
      <c r="SLC192" s="321"/>
      <c r="SLD192" s="321"/>
      <c r="SLE192" s="331"/>
      <c r="SLF192" s="308"/>
      <c r="SLG192" s="301"/>
      <c r="SLH192" s="301"/>
      <c r="SLI192" s="302"/>
      <c r="SLJ192" s="309"/>
      <c r="SLK192" s="329"/>
      <c r="SLL192" s="311"/>
      <c r="SLM192" s="312"/>
      <c r="SLN192" s="326"/>
      <c r="SLO192" s="332"/>
      <c r="SLP192" s="321"/>
      <c r="SLQ192" s="321"/>
      <c r="SLR192" s="331"/>
      <c r="SLS192" s="308"/>
      <c r="SLT192" s="301"/>
      <c r="SLU192" s="301"/>
      <c r="SLV192" s="302"/>
      <c r="SLW192" s="309"/>
      <c r="SLX192" s="329"/>
      <c r="SLY192" s="311"/>
      <c r="SLZ192" s="312"/>
      <c r="SMA192" s="326"/>
      <c r="SMB192" s="332"/>
      <c r="SMC192" s="321"/>
      <c r="SMD192" s="321"/>
      <c r="SME192" s="331"/>
      <c r="SMF192" s="308"/>
      <c r="SMG192" s="301"/>
      <c r="SMH192" s="301"/>
      <c r="SMI192" s="302"/>
      <c r="SMJ192" s="309"/>
      <c r="SMK192" s="329"/>
      <c r="SML192" s="311"/>
      <c r="SMM192" s="312"/>
      <c r="SMN192" s="326"/>
      <c r="SMO192" s="332"/>
      <c r="SMP192" s="321"/>
      <c r="SMQ192" s="321"/>
      <c r="SMR192" s="331"/>
      <c r="SMS192" s="308"/>
      <c r="SMT192" s="301"/>
      <c r="SMU192" s="301"/>
      <c r="SMV192" s="302"/>
      <c r="SMW192" s="309"/>
      <c r="SMX192" s="329"/>
      <c r="SMY192" s="311"/>
      <c r="SMZ192" s="312"/>
      <c r="SNA192" s="326"/>
      <c r="SNB192" s="332"/>
      <c r="SNC192" s="321"/>
      <c r="SND192" s="321"/>
      <c r="SNE192" s="331"/>
      <c r="SNF192" s="308"/>
      <c r="SNG192" s="301"/>
      <c r="SNH192" s="301"/>
      <c r="SNI192" s="302"/>
      <c r="SNJ192" s="309"/>
      <c r="SNK192" s="329"/>
      <c r="SNL192" s="311"/>
      <c r="SNM192" s="312"/>
      <c r="SNN192" s="326"/>
      <c r="SNO192" s="332"/>
      <c r="SNP192" s="321"/>
      <c r="SNQ192" s="321"/>
      <c r="SNR192" s="331"/>
      <c r="SNS192" s="308"/>
      <c r="SNT192" s="301"/>
      <c r="SNU192" s="301"/>
      <c r="SNV192" s="302"/>
      <c r="SNW192" s="309"/>
      <c r="SNX192" s="329"/>
      <c r="SNY192" s="311"/>
      <c r="SNZ192" s="312"/>
      <c r="SOA192" s="326"/>
      <c r="SOB192" s="332"/>
      <c r="SOC192" s="321"/>
      <c r="SOD192" s="321"/>
      <c r="SOE192" s="331"/>
      <c r="SOF192" s="308"/>
      <c r="SOG192" s="301"/>
      <c r="SOH192" s="301"/>
      <c r="SOI192" s="302"/>
      <c r="SOJ192" s="309"/>
      <c r="SOK192" s="329"/>
      <c r="SOL192" s="311"/>
      <c r="SOM192" s="312"/>
      <c r="SON192" s="326"/>
      <c r="SOO192" s="332"/>
      <c r="SOP192" s="321"/>
      <c r="SOQ192" s="321"/>
      <c r="SOR192" s="331"/>
      <c r="SOS192" s="308"/>
      <c r="SOT192" s="301"/>
      <c r="SOU192" s="301"/>
      <c r="SOV192" s="302"/>
      <c r="SOW192" s="309"/>
      <c r="SOX192" s="329"/>
      <c r="SOY192" s="311"/>
      <c r="SOZ192" s="312"/>
      <c r="SPA192" s="326"/>
      <c r="SPB192" s="332"/>
      <c r="SPC192" s="321"/>
      <c r="SPD192" s="321"/>
      <c r="SPE192" s="331"/>
      <c r="SPF192" s="308"/>
      <c r="SPG192" s="301"/>
      <c r="SPH192" s="301"/>
      <c r="SPI192" s="302"/>
      <c r="SPJ192" s="309"/>
      <c r="SPK192" s="329"/>
      <c r="SPL192" s="311"/>
      <c r="SPM192" s="312"/>
      <c r="SPN192" s="326"/>
      <c r="SPO192" s="332"/>
      <c r="SPP192" s="321"/>
      <c r="SPQ192" s="321"/>
      <c r="SPR192" s="331"/>
      <c r="SPS192" s="308"/>
      <c r="SPT192" s="301"/>
      <c r="SPU192" s="301"/>
      <c r="SPV192" s="302"/>
      <c r="SPW192" s="309"/>
      <c r="SPX192" s="329"/>
      <c r="SPY192" s="311"/>
      <c r="SPZ192" s="312"/>
      <c r="SQA192" s="326"/>
      <c r="SQB192" s="332"/>
      <c r="SQC192" s="321"/>
      <c r="SQD192" s="321"/>
      <c r="SQE192" s="331"/>
      <c r="SQF192" s="308"/>
      <c r="SQG192" s="301"/>
      <c r="SQH192" s="301"/>
      <c r="SQI192" s="302"/>
      <c r="SQJ192" s="309"/>
      <c r="SQK192" s="329"/>
      <c r="SQL192" s="311"/>
      <c r="SQM192" s="312"/>
      <c r="SQN192" s="326"/>
      <c r="SQO192" s="332"/>
      <c r="SQP192" s="321"/>
      <c r="SQQ192" s="321"/>
      <c r="SQR192" s="331"/>
      <c r="SQS192" s="308"/>
      <c r="SQT192" s="301"/>
      <c r="SQU192" s="301"/>
      <c r="SQV192" s="302"/>
      <c r="SQW192" s="309"/>
      <c r="SQX192" s="329"/>
      <c r="SQY192" s="311"/>
      <c r="SQZ192" s="312"/>
      <c r="SRA192" s="326"/>
      <c r="SRB192" s="332"/>
      <c r="SRC192" s="321"/>
      <c r="SRD192" s="321"/>
      <c r="SRE192" s="331"/>
      <c r="SRF192" s="308"/>
      <c r="SRG192" s="301"/>
      <c r="SRH192" s="301"/>
      <c r="SRI192" s="302"/>
      <c r="SRJ192" s="309"/>
      <c r="SRK192" s="329"/>
      <c r="SRL192" s="311"/>
      <c r="SRM192" s="312"/>
      <c r="SRN192" s="326"/>
      <c r="SRO192" s="332"/>
      <c r="SRP192" s="321"/>
      <c r="SRQ192" s="321"/>
      <c r="SRR192" s="331"/>
      <c r="SRS192" s="308"/>
      <c r="SRT192" s="301"/>
      <c r="SRU192" s="301"/>
      <c r="SRV192" s="302"/>
      <c r="SRW192" s="309"/>
      <c r="SRX192" s="329"/>
      <c r="SRY192" s="311"/>
      <c r="SRZ192" s="312"/>
      <c r="SSA192" s="326"/>
      <c r="SSB192" s="332"/>
      <c r="SSC192" s="321"/>
      <c r="SSD192" s="321"/>
      <c r="SSE192" s="331"/>
      <c r="SSF192" s="308"/>
      <c r="SSG192" s="301"/>
      <c r="SSH192" s="301"/>
      <c r="SSI192" s="302"/>
      <c r="SSJ192" s="309"/>
      <c r="SSK192" s="329"/>
      <c r="SSL192" s="311"/>
      <c r="SSM192" s="312"/>
      <c r="SSN192" s="326"/>
      <c r="SSO192" s="332"/>
      <c r="SSP192" s="321"/>
      <c r="SSQ192" s="321"/>
      <c r="SSR192" s="331"/>
      <c r="SSS192" s="308"/>
      <c r="SST192" s="301"/>
      <c r="SSU192" s="301"/>
      <c r="SSV192" s="302"/>
      <c r="SSW192" s="309"/>
      <c r="SSX192" s="329"/>
      <c r="SSY192" s="311"/>
      <c r="SSZ192" s="312"/>
      <c r="STA192" s="326"/>
      <c r="STB192" s="332"/>
      <c r="STC192" s="321"/>
      <c r="STD192" s="321"/>
      <c r="STE192" s="331"/>
      <c r="STF192" s="308"/>
      <c r="STG192" s="301"/>
      <c r="STH192" s="301"/>
      <c r="STI192" s="302"/>
      <c r="STJ192" s="309"/>
      <c r="STK192" s="329"/>
      <c r="STL192" s="311"/>
      <c r="STM192" s="312"/>
      <c r="STN192" s="326"/>
      <c r="STO192" s="332"/>
      <c r="STP192" s="321"/>
      <c r="STQ192" s="321"/>
      <c r="STR192" s="331"/>
      <c r="STS192" s="308"/>
      <c r="STT192" s="301"/>
      <c r="STU192" s="301"/>
      <c r="STV192" s="302"/>
      <c r="STW192" s="309"/>
      <c r="STX192" s="329"/>
      <c r="STY192" s="311"/>
      <c r="STZ192" s="312"/>
      <c r="SUA192" s="326"/>
      <c r="SUB192" s="332"/>
      <c r="SUC192" s="321"/>
      <c r="SUD192" s="321"/>
      <c r="SUE192" s="331"/>
      <c r="SUF192" s="308"/>
      <c r="SUG192" s="301"/>
      <c r="SUH192" s="301"/>
      <c r="SUI192" s="302"/>
      <c r="SUJ192" s="309"/>
      <c r="SUK192" s="329"/>
      <c r="SUL192" s="311"/>
      <c r="SUM192" s="312"/>
      <c r="SUN192" s="326"/>
      <c r="SUO192" s="332"/>
      <c r="SUP192" s="321"/>
      <c r="SUQ192" s="321"/>
      <c r="SUR192" s="331"/>
      <c r="SUS192" s="308"/>
      <c r="SUT192" s="301"/>
      <c r="SUU192" s="301"/>
      <c r="SUV192" s="302"/>
      <c r="SUW192" s="309"/>
      <c r="SUX192" s="329"/>
      <c r="SUY192" s="311"/>
      <c r="SUZ192" s="312"/>
      <c r="SVA192" s="326"/>
      <c r="SVB192" s="332"/>
      <c r="SVC192" s="321"/>
      <c r="SVD192" s="321"/>
      <c r="SVE192" s="331"/>
      <c r="SVF192" s="308"/>
      <c r="SVG192" s="301"/>
      <c r="SVH192" s="301"/>
      <c r="SVI192" s="302"/>
      <c r="SVJ192" s="309"/>
      <c r="SVK192" s="329"/>
      <c r="SVL192" s="311"/>
      <c r="SVM192" s="312"/>
      <c r="SVN192" s="326"/>
      <c r="SVO192" s="332"/>
      <c r="SVP192" s="321"/>
      <c r="SVQ192" s="321"/>
      <c r="SVR192" s="331"/>
      <c r="SVS192" s="308"/>
      <c r="SVT192" s="301"/>
      <c r="SVU192" s="301"/>
      <c r="SVV192" s="302"/>
      <c r="SVW192" s="309"/>
      <c r="SVX192" s="329"/>
      <c r="SVY192" s="311"/>
      <c r="SVZ192" s="312"/>
      <c r="SWA192" s="326"/>
      <c r="SWB192" s="332"/>
      <c r="SWC192" s="321"/>
      <c r="SWD192" s="321"/>
      <c r="SWE192" s="331"/>
      <c r="SWF192" s="308"/>
      <c r="SWG192" s="301"/>
      <c r="SWH192" s="301"/>
      <c r="SWI192" s="302"/>
      <c r="SWJ192" s="309"/>
      <c r="SWK192" s="329"/>
      <c r="SWL192" s="311"/>
      <c r="SWM192" s="312"/>
      <c r="SWN192" s="326"/>
      <c r="SWO192" s="332"/>
      <c r="SWP192" s="321"/>
      <c r="SWQ192" s="321"/>
      <c r="SWR192" s="331"/>
      <c r="SWS192" s="308"/>
      <c r="SWT192" s="301"/>
      <c r="SWU192" s="301"/>
      <c r="SWV192" s="302"/>
      <c r="SWW192" s="309"/>
      <c r="SWX192" s="329"/>
      <c r="SWY192" s="311"/>
      <c r="SWZ192" s="312"/>
      <c r="SXA192" s="326"/>
      <c r="SXB192" s="332"/>
      <c r="SXC192" s="321"/>
      <c r="SXD192" s="321"/>
      <c r="SXE192" s="331"/>
      <c r="SXF192" s="308"/>
      <c r="SXG192" s="301"/>
      <c r="SXH192" s="301"/>
      <c r="SXI192" s="302"/>
      <c r="SXJ192" s="309"/>
      <c r="SXK192" s="329"/>
      <c r="SXL192" s="311"/>
      <c r="SXM192" s="312"/>
      <c r="SXN192" s="326"/>
      <c r="SXO192" s="332"/>
      <c r="SXP192" s="321"/>
      <c r="SXQ192" s="321"/>
      <c r="SXR192" s="331"/>
      <c r="SXS192" s="308"/>
      <c r="SXT192" s="301"/>
      <c r="SXU192" s="301"/>
      <c r="SXV192" s="302"/>
      <c r="SXW192" s="309"/>
      <c r="SXX192" s="329"/>
      <c r="SXY192" s="311"/>
      <c r="SXZ192" s="312"/>
      <c r="SYA192" s="326"/>
      <c r="SYB192" s="332"/>
      <c r="SYC192" s="321"/>
      <c r="SYD192" s="321"/>
      <c r="SYE192" s="331"/>
      <c r="SYF192" s="308"/>
      <c r="SYG192" s="301"/>
      <c r="SYH192" s="301"/>
      <c r="SYI192" s="302"/>
      <c r="SYJ192" s="309"/>
      <c r="SYK192" s="329"/>
      <c r="SYL192" s="311"/>
      <c r="SYM192" s="312"/>
      <c r="SYN192" s="326"/>
      <c r="SYO192" s="332"/>
      <c r="SYP192" s="321"/>
      <c r="SYQ192" s="321"/>
      <c r="SYR192" s="331"/>
      <c r="SYS192" s="308"/>
      <c r="SYT192" s="301"/>
      <c r="SYU192" s="301"/>
      <c r="SYV192" s="302"/>
      <c r="SYW192" s="309"/>
      <c r="SYX192" s="329"/>
      <c r="SYY192" s="311"/>
      <c r="SYZ192" s="312"/>
      <c r="SZA192" s="326"/>
      <c r="SZB192" s="332"/>
      <c r="SZC192" s="321"/>
      <c r="SZD192" s="321"/>
      <c r="SZE192" s="331"/>
      <c r="SZF192" s="308"/>
      <c r="SZG192" s="301"/>
      <c r="SZH192" s="301"/>
      <c r="SZI192" s="302"/>
      <c r="SZJ192" s="309"/>
      <c r="SZK192" s="329"/>
      <c r="SZL192" s="311"/>
      <c r="SZM192" s="312"/>
      <c r="SZN192" s="326"/>
      <c r="SZO192" s="332"/>
      <c r="SZP192" s="321"/>
      <c r="SZQ192" s="321"/>
      <c r="SZR192" s="331"/>
      <c r="SZS192" s="308"/>
      <c r="SZT192" s="301"/>
      <c r="SZU192" s="301"/>
      <c r="SZV192" s="302"/>
      <c r="SZW192" s="309"/>
      <c r="SZX192" s="329"/>
      <c r="SZY192" s="311"/>
      <c r="SZZ192" s="312"/>
      <c r="TAA192" s="326"/>
      <c r="TAB192" s="332"/>
      <c r="TAC192" s="321"/>
      <c r="TAD192" s="321"/>
      <c r="TAE192" s="331"/>
      <c r="TAF192" s="308"/>
      <c r="TAG192" s="301"/>
      <c r="TAH192" s="301"/>
      <c r="TAI192" s="302"/>
      <c r="TAJ192" s="309"/>
      <c r="TAK192" s="329"/>
      <c r="TAL192" s="311"/>
      <c r="TAM192" s="312"/>
      <c r="TAN192" s="326"/>
      <c r="TAO192" s="332"/>
      <c r="TAP192" s="321"/>
      <c r="TAQ192" s="321"/>
      <c r="TAR192" s="331"/>
      <c r="TAS192" s="308"/>
      <c r="TAT192" s="301"/>
      <c r="TAU192" s="301"/>
      <c r="TAV192" s="302"/>
      <c r="TAW192" s="309"/>
      <c r="TAX192" s="329"/>
      <c r="TAY192" s="311"/>
      <c r="TAZ192" s="312"/>
      <c r="TBA192" s="326"/>
      <c r="TBB192" s="332"/>
      <c r="TBC192" s="321"/>
      <c r="TBD192" s="321"/>
      <c r="TBE192" s="331"/>
      <c r="TBF192" s="308"/>
      <c r="TBG192" s="301"/>
      <c r="TBH192" s="301"/>
      <c r="TBI192" s="302"/>
      <c r="TBJ192" s="309"/>
      <c r="TBK192" s="329"/>
      <c r="TBL192" s="311"/>
      <c r="TBM192" s="312"/>
      <c r="TBN192" s="326"/>
      <c r="TBO192" s="332"/>
      <c r="TBP192" s="321"/>
      <c r="TBQ192" s="321"/>
      <c r="TBR192" s="331"/>
      <c r="TBS192" s="308"/>
      <c r="TBT192" s="301"/>
      <c r="TBU192" s="301"/>
      <c r="TBV192" s="302"/>
      <c r="TBW192" s="309"/>
      <c r="TBX192" s="329"/>
      <c r="TBY192" s="311"/>
      <c r="TBZ192" s="312"/>
      <c r="TCA192" s="326"/>
      <c r="TCB192" s="332"/>
      <c r="TCC192" s="321"/>
      <c r="TCD192" s="321"/>
      <c r="TCE192" s="331"/>
      <c r="TCF192" s="308"/>
      <c r="TCG192" s="301"/>
      <c r="TCH192" s="301"/>
      <c r="TCI192" s="302"/>
      <c r="TCJ192" s="309"/>
      <c r="TCK192" s="329"/>
      <c r="TCL192" s="311"/>
      <c r="TCM192" s="312"/>
      <c r="TCN192" s="326"/>
      <c r="TCO192" s="332"/>
      <c r="TCP192" s="321"/>
      <c r="TCQ192" s="321"/>
      <c r="TCR192" s="331"/>
      <c r="TCS192" s="308"/>
      <c r="TCT192" s="301"/>
      <c r="TCU192" s="301"/>
      <c r="TCV192" s="302"/>
      <c r="TCW192" s="309"/>
      <c r="TCX192" s="329"/>
      <c r="TCY192" s="311"/>
      <c r="TCZ192" s="312"/>
      <c r="TDA192" s="326"/>
      <c r="TDB192" s="332"/>
      <c r="TDC192" s="321"/>
      <c r="TDD192" s="321"/>
      <c r="TDE192" s="331"/>
      <c r="TDF192" s="308"/>
      <c r="TDG192" s="301"/>
      <c r="TDH192" s="301"/>
      <c r="TDI192" s="302"/>
      <c r="TDJ192" s="309"/>
      <c r="TDK192" s="329"/>
      <c r="TDL192" s="311"/>
      <c r="TDM192" s="312"/>
      <c r="TDN192" s="326"/>
      <c r="TDO192" s="332"/>
      <c r="TDP192" s="321"/>
      <c r="TDQ192" s="321"/>
      <c r="TDR192" s="331"/>
      <c r="TDS192" s="308"/>
      <c r="TDT192" s="301"/>
      <c r="TDU192" s="301"/>
      <c r="TDV192" s="302"/>
      <c r="TDW192" s="309"/>
      <c r="TDX192" s="329"/>
      <c r="TDY192" s="311"/>
      <c r="TDZ192" s="312"/>
      <c r="TEA192" s="326"/>
      <c r="TEB192" s="332"/>
      <c r="TEC192" s="321"/>
      <c r="TED192" s="321"/>
      <c r="TEE192" s="331"/>
      <c r="TEF192" s="308"/>
      <c r="TEG192" s="301"/>
      <c r="TEH192" s="301"/>
      <c r="TEI192" s="302"/>
      <c r="TEJ192" s="309"/>
      <c r="TEK192" s="329"/>
      <c r="TEL192" s="311"/>
      <c r="TEM192" s="312"/>
      <c r="TEN192" s="326"/>
      <c r="TEO192" s="332"/>
      <c r="TEP192" s="321"/>
      <c r="TEQ192" s="321"/>
      <c r="TER192" s="331"/>
      <c r="TES192" s="308"/>
      <c r="TET192" s="301"/>
      <c r="TEU192" s="301"/>
      <c r="TEV192" s="302"/>
      <c r="TEW192" s="309"/>
      <c r="TEX192" s="329"/>
      <c r="TEY192" s="311"/>
      <c r="TEZ192" s="312"/>
      <c r="TFA192" s="326"/>
      <c r="TFB192" s="332"/>
      <c r="TFC192" s="321"/>
      <c r="TFD192" s="321"/>
      <c r="TFE192" s="331"/>
      <c r="TFF192" s="308"/>
      <c r="TFG192" s="301"/>
      <c r="TFH192" s="301"/>
      <c r="TFI192" s="302"/>
      <c r="TFJ192" s="309"/>
      <c r="TFK192" s="329"/>
      <c r="TFL192" s="311"/>
      <c r="TFM192" s="312"/>
      <c r="TFN192" s="326"/>
      <c r="TFO192" s="332"/>
      <c r="TFP192" s="321"/>
      <c r="TFQ192" s="321"/>
      <c r="TFR192" s="331"/>
      <c r="TFS192" s="308"/>
      <c r="TFT192" s="301"/>
      <c r="TFU192" s="301"/>
      <c r="TFV192" s="302"/>
      <c r="TFW192" s="309"/>
      <c r="TFX192" s="329"/>
      <c r="TFY192" s="311"/>
      <c r="TFZ192" s="312"/>
      <c r="TGA192" s="326"/>
      <c r="TGB192" s="332"/>
      <c r="TGC192" s="321"/>
      <c r="TGD192" s="321"/>
      <c r="TGE192" s="331"/>
      <c r="TGF192" s="308"/>
      <c r="TGG192" s="301"/>
      <c r="TGH192" s="301"/>
      <c r="TGI192" s="302"/>
      <c r="TGJ192" s="309"/>
      <c r="TGK192" s="329"/>
      <c r="TGL192" s="311"/>
      <c r="TGM192" s="312"/>
      <c r="TGN192" s="326"/>
      <c r="TGO192" s="332"/>
      <c r="TGP192" s="321"/>
      <c r="TGQ192" s="321"/>
      <c r="TGR192" s="331"/>
      <c r="TGS192" s="308"/>
      <c r="TGT192" s="301"/>
      <c r="TGU192" s="301"/>
      <c r="TGV192" s="302"/>
      <c r="TGW192" s="309"/>
      <c r="TGX192" s="329"/>
      <c r="TGY192" s="311"/>
      <c r="TGZ192" s="312"/>
      <c r="THA192" s="326"/>
      <c r="THB192" s="332"/>
      <c r="THC192" s="321"/>
      <c r="THD192" s="321"/>
      <c r="THE192" s="331"/>
      <c r="THF192" s="308"/>
      <c r="THG192" s="301"/>
      <c r="THH192" s="301"/>
      <c r="THI192" s="302"/>
      <c r="THJ192" s="309"/>
      <c r="THK192" s="329"/>
      <c r="THL192" s="311"/>
      <c r="THM192" s="312"/>
      <c r="THN192" s="326"/>
      <c r="THO192" s="332"/>
      <c r="THP192" s="321"/>
      <c r="THQ192" s="321"/>
      <c r="THR192" s="331"/>
      <c r="THS192" s="308"/>
      <c r="THT192" s="301"/>
      <c r="THU192" s="301"/>
      <c r="THV192" s="302"/>
      <c r="THW192" s="309"/>
      <c r="THX192" s="329"/>
      <c r="THY192" s="311"/>
      <c r="THZ192" s="312"/>
      <c r="TIA192" s="326"/>
      <c r="TIB192" s="332"/>
      <c r="TIC192" s="321"/>
      <c r="TID192" s="321"/>
      <c r="TIE192" s="331"/>
      <c r="TIF192" s="308"/>
      <c r="TIG192" s="301"/>
      <c r="TIH192" s="301"/>
      <c r="TII192" s="302"/>
      <c r="TIJ192" s="309"/>
      <c r="TIK192" s="329"/>
      <c r="TIL192" s="311"/>
      <c r="TIM192" s="312"/>
      <c r="TIN192" s="326"/>
      <c r="TIO192" s="332"/>
      <c r="TIP192" s="321"/>
      <c r="TIQ192" s="321"/>
      <c r="TIR192" s="331"/>
      <c r="TIS192" s="308"/>
      <c r="TIT192" s="301"/>
      <c r="TIU192" s="301"/>
      <c r="TIV192" s="302"/>
      <c r="TIW192" s="309"/>
      <c r="TIX192" s="329"/>
      <c r="TIY192" s="311"/>
      <c r="TIZ192" s="312"/>
      <c r="TJA192" s="326"/>
      <c r="TJB192" s="332"/>
      <c r="TJC192" s="321"/>
      <c r="TJD192" s="321"/>
      <c r="TJE192" s="331"/>
      <c r="TJF192" s="308"/>
      <c r="TJG192" s="301"/>
      <c r="TJH192" s="301"/>
      <c r="TJI192" s="302"/>
      <c r="TJJ192" s="309"/>
      <c r="TJK192" s="329"/>
      <c r="TJL192" s="311"/>
      <c r="TJM192" s="312"/>
      <c r="TJN192" s="326"/>
      <c r="TJO192" s="332"/>
      <c r="TJP192" s="321"/>
      <c r="TJQ192" s="321"/>
      <c r="TJR192" s="331"/>
      <c r="TJS192" s="308"/>
      <c r="TJT192" s="301"/>
      <c r="TJU192" s="301"/>
      <c r="TJV192" s="302"/>
      <c r="TJW192" s="309"/>
      <c r="TJX192" s="329"/>
      <c r="TJY192" s="311"/>
      <c r="TJZ192" s="312"/>
      <c r="TKA192" s="326"/>
      <c r="TKB192" s="332"/>
      <c r="TKC192" s="321"/>
      <c r="TKD192" s="321"/>
      <c r="TKE192" s="331"/>
      <c r="TKF192" s="308"/>
      <c r="TKG192" s="301"/>
      <c r="TKH192" s="301"/>
      <c r="TKI192" s="302"/>
      <c r="TKJ192" s="309"/>
      <c r="TKK192" s="329"/>
      <c r="TKL192" s="311"/>
      <c r="TKM192" s="312"/>
      <c r="TKN192" s="326"/>
      <c r="TKO192" s="332"/>
      <c r="TKP192" s="321"/>
      <c r="TKQ192" s="321"/>
      <c r="TKR192" s="331"/>
      <c r="TKS192" s="308"/>
      <c r="TKT192" s="301"/>
      <c r="TKU192" s="301"/>
      <c r="TKV192" s="302"/>
      <c r="TKW192" s="309"/>
      <c r="TKX192" s="329"/>
      <c r="TKY192" s="311"/>
      <c r="TKZ192" s="312"/>
      <c r="TLA192" s="326"/>
      <c r="TLB192" s="332"/>
      <c r="TLC192" s="321"/>
      <c r="TLD192" s="321"/>
      <c r="TLE192" s="331"/>
      <c r="TLF192" s="308"/>
      <c r="TLG192" s="301"/>
      <c r="TLH192" s="301"/>
      <c r="TLI192" s="302"/>
      <c r="TLJ192" s="309"/>
      <c r="TLK192" s="329"/>
      <c r="TLL192" s="311"/>
      <c r="TLM192" s="312"/>
      <c r="TLN192" s="326"/>
      <c r="TLO192" s="332"/>
      <c r="TLP192" s="321"/>
      <c r="TLQ192" s="321"/>
      <c r="TLR192" s="331"/>
      <c r="TLS192" s="308"/>
      <c r="TLT192" s="301"/>
      <c r="TLU192" s="301"/>
      <c r="TLV192" s="302"/>
      <c r="TLW192" s="309"/>
      <c r="TLX192" s="329"/>
      <c r="TLY192" s="311"/>
      <c r="TLZ192" s="312"/>
      <c r="TMA192" s="326"/>
      <c r="TMB192" s="332"/>
      <c r="TMC192" s="321"/>
      <c r="TMD192" s="321"/>
      <c r="TME192" s="331"/>
      <c r="TMF192" s="308"/>
      <c r="TMG192" s="301"/>
      <c r="TMH192" s="301"/>
      <c r="TMI192" s="302"/>
      <c r="TMJ192" s="309"/>
      <c r="TMK192" s="329"/>
      <c r="TML192" s="311"/>
      <c r="TMM192" s="312"/>
      <c r="TMN192" s="326"/>
      <c r="TMO192" s="332"/>
      <c r="TMP192" s="321"/>
      <c r="TMQ192" s="321"/>
      <c r="TMR192" s="331"/>
      <c r="TMS192" s="308"/>
      <c r="TMT192" s="301"/>
      <c r="TMU192" s="301"/>
      <c r="TMV192" s="302"/>
      <c r="TMW192" s="309"/>
      <c r="TMX192" s="329"/>
      <c r="TMY192" s="311"/>
      <c r="TMZ192" s="312"/>
      <c r="TNA192" s="326"/>
      <c r="TNB192" s="332"/>
      <c r="TNC192" s="321"/>
      <c r="TND192" s="321"/>
      <c r="TNE192" s="331"/>
      <c r="TNF192" s="308"/>
      <c r="TNG192" s="301"/>
      <c r="TNH192" s="301"/>
      <c r="TNI192" s="302"/>
      <c r="TNJ192" s="309"/>
      <c r="TNK192" s="329"/>
      <c r="TNL192" s="311"/>
      <c r="TNM192" s="312"/>
      <c r="TNN192" s="326"/>
      <c r="TNO192" s="332"/>
      <c r="TNP192" s="321"/>
      <c r="TNQ192" s="321"/>
      <c r="TNR192" s="331"/>
      <c r="TNS192" s="308"/>
      <c r="TNT192" s="301"/>
      <c r="TNU192" s="301"/>
      <c r="TNV192" s="302"/>
      <c r="TNW192" s="309"/>
      <c r="TNX192" s="329"/>
      <c r="TNY192" s="311"/>
      <c r="TNZ192" s="312"/>
      <c r="TOA192" s="326"/>
      <c r="TOB192" s="332"/>
      <c r="TOC192" s="321"/>
      <c r="TOD192" s="321"/>
      <c r="TOE192" s="331"/>
      <c r="TOF192" s="308"/>
      <c r="TOG192" s="301"/>
      <c r="TOH192" s="301"/>
      <c r="TOI192" s="302"/>
      <c r="TOJ192" s="309"/>
      <c r="TOK192" s="329"/>
      <c r="TOL192" s="311"/>
      <c r="TOM192" s="312"/>
      <c r="TON192" s="326"/>
      <c r="TOO192" s="332"/>
      <c r="TOP192" s="321"/>
      <c r="TOQ192" s="321"/>
      <c r="TOR192" s="331"/>
      <c r="TOS192" s="308"/>
      <c r="TOT192" s="301"/>
      <c r="TOU192" s="301"/>
      <c r="TOV192" s="302"/>
      <c r="TOW192" s="309"/>
      <c r="TOX192" s="329"/>
      <c r="TOY192" s="311"/>
      <c r="TOZ192" s="312"/>
      <c r="TPA192" s="326"/>
      <c r="TPB192" s="332"/>
      <c r="TPC192" s="321"/>
      <c r="TPD192" s="321"/>
      <c r="TPE192" s="331"/>
      <c r="TPF192" s="308"/>
      <c r="TPG192" s="301"/>
      <c r="TPH192" s="301"/>
      <c r="TPI192" s="302"/>
      <c r="TPJ192" s="309"/>
      <c r="TPK192" s="329"/>
      <c r="TPL192" s="311"/>
      <c r="TPM192" s="312"/>
      <c r="TPN192" s="326"/>
      <c r="TPO192" s="332"/>
      <c r="TPP192" s="321"/>
      <c r="TPQ192" s="321"/>
      <c r="TPR192" s="331"/>
      <c r="TPS192" s="308"/>
      <c r="TPT192" s="301"/>
      <c r="TPU192" s="301"/>
      <c r="TPV192" s="302"/>
      <c r="TPW192" s="309"/>
      <c r="TPX192" s="329"/>
      <c r="TPY192" s="311"/>
      <c r="TPZ192" s="312"/>
      <c r="TQA192" s="326"/>
      <c r="TQB192" s="332"/>
      <c r="TQC192" s="321"/>
      <c r="TQD192" s="321"/>
      <c r="TQE192" s="331"/>
      <c r="TQF192" s="308"/>
      <c r="TQG192" s="301"/>
      <c r="TQH192" s="301"/>
      <c r="TQI192" s="302"/>
      <c r="TQJ192" s="309"/>
      <c r="TQK192" s="329"/>
      <c r="TQL192" s="311"/>
      <c r="TQM192" s="312"/>
      <c r="TQN192" s="326"/>
      <c r="TQO192" s="332"/>
      <c r="TQP192" s="321"/>
      <c r="TQQ192" s="321"/>
      <c r="TQR192" s="331"/>
      <c r="TQS192" s="308"/>
      <c r="TQT192" s="301"/>
      <c r="TQU192" s="301"/>
      <c r="TQV192" s="302"/>
      <c r="TQW192" s="309"/>
      <c r="TQX192" s="329"/>
      <c r="TQY192" s="311"/>
      <c r="TQZ192" s="312"/>
      <c r="TRA192" s="326"/>
      <c r="TRB192" s="332"/>
      <c r="TRC192" s="321"/>
      <c r="TRD192" s="321"/>
      <c r="TRE192" s="331"/>
      <c r="TRF192" s="308"/>
      <c r="TRG192" s="301"/>
      <c r="TRH192" s="301"/>
      <c r="TRI192" s="302"/>
      <c r="TRJ192" s="309"/>
      <c r="TRK192" s="329"/>
      <c r="TRL192" s="311"/>
      <c r="TRM192" s="312"/>
      <c r="TRN192" s="326"/>
      <c r="TRO192" s="332"/>
      <c r="TRP192" s="321"/>
      <c r="TRQ192" s="321"/>
      <c r="TRR192" s="331"/>
      <c r="TRS192" s="308"/>
      <c r="TRT192" s="301"/>
      <c r="TRU192" s="301"/>
      <c r="TRV192" s="302"/>
      <c r="TRW192" s="309"/>
      <c r="TRX192" s="329"/>
      <c r="TRY192" s="311"/>
      <c r="TRZ192" s="312"/>
      <c r="TSA192" s="326"/>
      <c r="TSB192" s="332"/>
      <c r="TSC192" s="321"/>
      <c r="TSD192" s="321"/>
      <c r="TSE192" s="331"/>
      <c r="TSF192" s="308"/>
      <c r="TSG192" s="301"/>
      <c r="TSH192" s="301"/>
      <c r="TSI192" s="302"/>
      <c r="TSJ192" s="309"/>
      <c r="TSK192" s="329"/>
      <c r="TSL192" s="311"/>
      <c r="TSM192" s="312"/>
      <c r="TSN192" s="326"/>
      <c r="TSO192" s="332"/>
      <c r="TSP192" s="321"/>
      <c r="TSQ192" s="321"/>
      <c r="TSR192" s="331"/>
      <c r="TSS192" s="308"/>
      <c r="TST192" s="301"/>
      <c r="TSU192" s="301"/>
      <c r="TSV192" s="302"/>
      <c r="TSW192" s="309"/>
      <c r="TSX192" s="329"/>
      <c r="TSY192" s="311"/>
      <c r="TSZ192" s="312"/>
      <c r="TTA192" s="326"/>
      <c r="TTB192" s="332"/>
      <c r="TTC192" s="321"/>
      <c r="TTD192" s="321"/>
      <c r="TTE192" s="331"/>
      <c r="TTF192" s="308"/>
      <c r="TTG192" s="301"/>
      <c r="TTH192" s="301"/>
      <c r="TTI192" s="302"/>
      <c r="TTJ192" s="309"/>
      <c r="TTK192" s="329"/>
      <c r="TTL192" s="311"/>
      <c r="TTM192" s="312"/>
      <c r="TTN192" s="326"/>
      <c r="TTO192" s="332"/>
      <c r="TTP192" s="321"/>
      <c r="TTQ192" s="321"/>
      <c r="TTR192" s="331"/>
      <c r="TTS192" s="308"/>
      <c r="TTT192" s="301"/>
      <c r="TTU192" s="301"/>
      <c r="TTV192" s="302"/>
      <c r="TTW192" s="309"/>
      <c r="TTX192" s="329"/>
      <c r="TTY192" s="311"/>
      <c r="TTZ192" s="312"/>
      <c r="TUA192" s="326"/>
      <c r="TUB192" s="332"/>
      <c r="TUC192" s="321"/>
      <c r="TUD192" s="321"/>
      <c r="TUE192" s="331"/>
      <c r="TUF192" s="308"/>
      <c r="TUG192" s="301"/>
      <c r="TUH192" s="301"/>
      <c r="TUI192" s="302"/>
      <c r="TUJ192" s="309"/>
      <c r="TUK192" s="329"/>
      <c r="TUL192" s="311"/>
      <c r="TUM192" s="312"/>
      <c r="TUN192" s="326"/>
      <c r="TUO192" s="332"/>
      <c r="TUP192" s="321"/>
      <c r="TUQ192" s="321"/>
      <c r="TUR192" s="331"/>
      <c r="TUS192" s="308"/>
      <c r="TUT192" s="301"/>
      <c r="TUU192" s="301"/>
      <c r="TUV192" s="302"/>
      <c r="TUW192" s="309"/>
      <c r="TUX192" s="329"/>
      <c r="TUY192" s="311"/>
      <c r="TUZ192" s="312"/>
      <c r="TVA192" s="326"/>
      <c r="TVB192" s="332"/>
      <c r="TVC192" s="321"/>
      <c r="TVD192" s="321"/>
      <c r="TVE192" s="331"/>
      <c r="TVF192" s="308"/>
      <c r="TVG192" s="301"/>
      <c r="TVH192" s="301"/>
      <c r="TVI192" s="302"/>
      <c r="TVJ192" s="309"/>
      <c r="TVK192" s="329"/>
      <c r="TVL192" s="311"/>
      <c r="TVM192" s="312"/>
      <c r="TVN192" s="326"/>
      <c r="TVO192" s="332"/>
      <c r="TVP192" s="321"/>
      <c r="TVQ192" s="321"/>
      <c r="TVR192" s="331"/>
      <c r="TVS192" s="308"/>
      <c r="TVT192" s="301"/>
      <c r="TVU192" s="301"/>
      <c r="TVV192" s="302"/>
      <c r="TVW192" s="309"/>
      <c r="TVX192" s="329"/>
      <c r="TVY192" s="311"/>
      <c r="TVZ192" s="312"/>
      <c r="TWA192" s="326"/>
      <c r="TWB192" s="332"/>
      <c r="TWC192" s="321"/>
      <c r="TWD192" s="321"/>
      <c r="TWE192" s="331"/>
      <c r="TWF192" s="308"/>
      <c r="TWG192" s="301"/>
      <c r="TWH192" s="301"/>
      <c r="TWI192" s="302"/>
      <c r="TWJ192" s="309"/>
      <c r="TWK192" s="329"/>
      <c r="TWL192" s="311"/>
      <c r="TWM192" s="312"/>
      <c r="TWN192" s="326"/>
      <c r="TWO192" s="332"/>
      <c r="TWP192" s="321"/>
      <c r="TWQ192" s="321"/>
      <c r="TWR192" s="331"/>
      <c r="TWS192" s="308"/>
      <c r="TWT192" s="301"/>
      <c r="TWU192" s="301"/>
      <c r="TWV192" s="302"/>
      <c r="TWW192" s="309"/>
      <c r="TWX192" s="329"/>
      <c r="TWY192" s="311"/>
      <c r="TWZ192" s="312"/>
      <c r="TXA192" s="326"/>
      <c r="TXB192" s="332"/>
      <c r="TXC192" s="321"/>
      <c r="TXD192" s="321"/>
      <c r="TXE192" s="331"/>
      <c r="TXF192" s="308"/>
      <c r="TXG192" s="301"/>
      <c r="TXH192" s="301"/>
      <c r="TXI192" s="302"/>
      <c r="TXJ192" s="309"/>
      <c r="TXK192" s="329"/>
      <c r="TXL192" s="311"/>
      <c r="TXM192" s="312"/>
      <c r="TXN192" s="326"/>
      <c r="TXO192" s="332"/>
      <c r="TXP192" s="321"/>
      <c r="TXQ192" s="321"/>
      <c r="TXR192" s="331"/>
      <c r="TXS192" s="308"/>
      <c r="TXT192" s="301"/>
      <c r="TXU192" s="301"/>
      <c r="TXV192" s="302"/>
      <c r="TXW192" s="309"/>
      <c r="TXX192" s="329"/>
      <c r="TXY192" s="311"/>
      <c r="TXZ192" s="312"/>
      <c r="TYA192" s="326"/>
      <c r="TYB192" s="332"/>
      <c r="TYC192" s="321"/>
      <c r="TYD192" s="321"/>
      <c r="TYE192" s="331"/>
      <c r="TYF192" s="308"/>
      <c r="TYG192" s="301"/>
      <c r="TYH192" s="301"/>
      <c r="TYI192" s="302"/>
      <c r="TYJ192" s="309"/>
      <c r="TYK192" s="329"/>
      <c r="TYL192" s="311"/>
      <c r="TYM192" s="312"/>
      <c r="TYN192" s="326"/>
      <c r="TYO192" s="332"/>
      <c r="TYP192" s="321"/>
      <c r="TYQ192" s="321"/>
      <c r="TYR192" s="331"/>
      <c r="TYS192" s="308"/>
      <c r="TYT192" s="301"/>
      <c r="TYU192" s="301"/>
      <c r="TYV192" s="302"/>
      <c r="TYW192" s="309"/>
      <c r="TYX192" s="329"/>
      <c r="TYY192" s="311"/>
      <c r="TYZ192" s="312"/>
      <c r="TZA192" s="326"/>
      <c r="TZB192" s="332"/>
      <c r="TZC192" s="321"/>
      <c r="TZD192" s="321"/>
      <c r="TZE192" s="331"/>
      <c r="TZF192" s="308"/>
      <c r="TZG192" s="301"/>
      <c r="TZH192" s="301"/>
      <c r="TZI192" s="302"/>
      <c r="TZJ192" s="309"/>
      <c r="TZK192" s="329"/>
      <c r="TZL192" s="311"/>
      <c r="TZM192" s="312"/>
      <c r="TZN192" s="326"/>
      <c r="TZO192" s="332"/>
      <c r="TZP192" s="321"/>
      <c r="TZQ192" s="321"/>
      <c r="TZR192" s="331"/>
      <c r="TZS192" s="308"/>
      <c r="TZT192" s="301"/>
      <c r="TZU192" s="301"/>
      <c r="TZV192" s="302"/>
      <c r="TZW192" s="309"/>
      <c r="TZX192" s="329"/>
      <c r="TZY192" s="311"/>
      <c r="TZZ192" s="312"/>
      <c r="UAA192" s="326"/>
      <c r="UAB192" s="332"/>
      <c r="UAC192" s="321"/>
      <c r="UAD192" s="321"/>
      <c r="UAE192" s="331"/>
      <c r="UAF192" s="308"/>
      <c r="UAG192" s="301"/>
      <c r="UAH192" s="301"/>
      <c r="UAI192" s="302"/>
      <c r="UAJ192" s="309"/>
      <c r="UAK192" s="329"/>
      <c r="UAL192" s="311"/>
      <c r="UAM192" s="312"/>
      <c r="UAN192" s="326"/>
      <c r="UAO192" s="332"/>
      <c r="UAP192" s="321"/>
      <c r="UAQ192" s="321"/>
      <c r="UAR192" s="331"/>
      <c r="UAS192" s="308"/>
      <c r="UAT192" s="301"/>
      <c r="UAU192" s="301"/>
      <c r="UAV192" s="302"/>
      <c r="UAW192" s="309"/>
      <c r="UAX192" s="329"/>
      <c r="UAY192" s="311"/>
      <c r="UAZ192" s="312"/>
      <c r="UBA192" s="326"/>
      <c r="UBB192" s="332"/>
      <c r="UBC192" s="321"/>
      <c r="UBD192" s="321"/>
      <c r="UBE192" s="331"/>
      <c r="UBF192" s="308"/>
      <c r="UBG192" s="301"/>
      <c r="UBH192" s="301"/>
      <c r="UBI192" s="302"/>
      <c r="UBJ192" s="309"/>
      <c r="UBK192" s="329"/>
      <c r="UBL192" s="311"/>
      <c r="UBM192" s="312"/>
      <c r="UBN192" s="326"/>
      <c r="UBO192" s="332"/>
      <c r="UBP192" s="321"/>
      <c r="UBQ192" s="321"/>
      <c r="UBR192" s="331"/>
      <c r="UBS192" s="308"/>
      <c r="UBT192" s="301"/>
      <c r="UBU192" s="301"/>
      <c r="UBV192" s="302"/>
      <c r="UBW192" s="309"/>
      <c r="UBX192" s="329"/>
      <c r="UBY192" s="311"/>
      <c r="UBZ192" s="312"/>
      <c r="UCA192" s="326"/>
      <c r="UCB192" s="332"/>
      <c r="UCC192" s="321"/>
      <c r="UCD192" s="321"/>
      <c r="UCE192" s="331"/>
      <c r="UCF192" s="308"/>
      <c r="UCG192" s="301"/>
      <c r="UCH192" s="301"/>
      <c r="UCI192" s="302"/>
      <c r="UCJ192" s="309"/>
      <c r="UCK192" s="329"/>
      <c r="UCL192" s="311"/>
      <c r="UCM192" s="312"/>
      <c r="UCN192" s="326"/>
      <c r="UCO192" s="332"/>
      <c r="UCP192" s="321"/>
      <c r="UCQ192" s="321"/>
      <c r="UCR192" s="331"/>
      <c r="UCS192" s="308"/>
      <c r="UCT192" s="301"/>
      <c r="UCU192" s="301"/>
      <c r="UCV192" s="302"/>
      <c r="UCW192" s="309"/>
      <c r="UCX192" s="329"/>
      <c r="UCY192" s="311"/>
      <c r="UCZ192" s="312"/>
      <c r="UDA192" s="326"/>
      <c r="UDB192" s="332"/>
      <c r="UDC192" s="321"/>
      <c r="UDD192" s="321"/>
      <c r="UDE192" s="331"/>
      <c r="UDF192" s="308"/>
      <c r="UDG192" s="301"/>
      <c r="UDH192" s="301"/>
      <c r="UDI192" s="302"/>
      <c r="UDJ192" s="309"/>
      <c r="UDK192" s="329"/>
      <c r="UDL192" s="311"/>
      <c r="UDM192" s="312"/>
      <c r="UDN192" s="326"/>
      <c r="UDO192" s="332"/>
      <c r="UDP192" s="321"/>
      <c r="UDQ192" s="321"/>
      <c r="UDR192" s="331"/>
      <c r="UDS192" s="308"/>
      <c r="UDT192" s="301"/>
      <c r="UDU192" s="301"/>
      <c r="UDV192" s="302"/>
      <c r="UDW192" s="309"/>
      <c r="UDX192" s="329"/>
      <c r="UDY192" s="311"/>
      <c r="UDZ192" s="312"/>
      <c r="UEA192" s="326"/>
      <c r="UEB192" s="332"/>
      <c r="UEC192" s="321"/>
      <c r="UED192" s="321"/>
      <c r="UEE192" s="331"/>
      <c r="UEF192" s="308"/>
      <c r="UEG192" s="301"/>
      <c r="UEH192" s="301"/>
      <c r="UEI192" s="302"/>
      <c r="UEJ192" s="309"/>
      <c r="UEK192" s="329"/>
      <c r="UEL192" s="311"/>
      <c r="UEM192" s="312"/>
      <c r="UEN192" s="326"/>
      <c r="UEO192" s="332"/>
      <c r="UEP192" s="321"/>
      <c r="UEQ192" s="321"/>
      <c r="UER192" s="331"/>
      <c r="UES192" s="308"/>
      <c r="UET192" s="301"/>
      <c r="UEU192" s="301"/>
      <c r="UEV192" s="302"/>
      <c r="UEW192" s="309"/>
      <c r="UEX192" s="329"/>
      <c r="UEY192" s="311"/>
      <c r="UEZ192" s="312"/>
      <c r="UFA192" s="326"/>
      <c r="UFB192" s="332"/>
      <c r="UFC192" s="321"/>
      <c r="UFD192" s="321"/>
      <c r="UFE192" s="331"/>
      <c r="UFF192" s="308"/>
      <c r="UFG192" s="301"/>
      <c r="UFH192" s="301"/>
      <c r="UFI192" s="302"/>
      <c r="UFJ192" s="309"/>
      <c r="UFK192" s="329"/>
      <c r="UFL192" s="311"/>
      <c r="UFM192" s="312"/>
      <c r="UFN192" s="326"/>
      <c r="UFO192" s="332"/>
      <c r="UFP192" s="321"/>
      <c r="UFQ192" s="321"/>
      <c r="UFR192" s="331"/>
      <c r="UFS192" s="308"/>
      <c r="UFT192" s="301"/>
      <c r="UFU192" s="301"/>
      <c r="UFV192" s="302"/>
      <c r="UFW192" s="309"/>
      <c r="UFX192" s="329"/>
      <c r="UFY192" s="311"/>
      <c r="UFZ192" s="312"/>
      <c r="UGA192" s="326"/>
      <c r="UGB192" s="332"/>
      <c r="UGC192" s="321"/>
      <c r="UGD192" s="321"/>
      <c r="UGE192" s="331"/>
      <c r="UGF192" s="308"/>
      <c r="UGG192" s="301"/>
      <c r="UGH192" s="301"/>
      <c r="UGI192" s="302"/>
      <c r="UGJ192" s="309"/>
      <c r="UGK192" s="329"/>
      <c r="UGL192" s="311"/>
      <c r="UGM192" s="312"/>
      <c r="UGN192" s="326"/>
      <c r="UGO192" s="332"/>
      <c r="UGP192" s="321"/>
      <c r="UGQ192" s="321"/>
      <c r="UGR192" s="331"/>
      <c r="UGS192" s="308"/>
      <c r="UGT192" s="301"/>
      <c r="UGU192" s="301"/>
      <c r="UGV192" s="302"/>
      <c r="UGW192" s="309"/>
      <c r="UGX192" s="329"/>
      <c r="UGY192" s="311"/>
      <c r="UGZ192" s="312"/>
      <c r="UHA192" s="326"/>
      <c r="UHB192" s="332"/>
      <c r="UHC192" s="321"/>
      <c r="UHD192" s="321"/>
      <c r="UHE192" s="331"/>
      <c r="UHF192" s="308"/>
      <c r="UHG192" s="301"/>
      <c r="UHH192" s="301"/>
      <c r="UHI192" s="302"/>
      <c r="UHJ192" s="309"/>
      <c r="UHK192" s="329"/>
      <c r="UHL192" s="311"/>
      <c r="UHM192" s="312"/>
      <c r="UHN192" s="326"/>
      <c r="UHO192" s="332"/>
      <c r="UHP192" s="321"/>
      <c r="UHQ192" s="321"/>
      <c r="UHR192" s="331"/>
      <c r="UHS192" s="308"/>
      <c r="UHT192" s="301"/>
      <c r="UHU192" s="301"/>
      <c r="UHV192" s="302"/>
      <c r="UHW192" s="309"/>
      <c r="UHX192" s="329"/>
      <c r="UHY192" s="311"/>
      <c r="UHZ192" s="312"/>
      <c r="UIA192" s="326"/>
      <c r="UIB192" s="332"/>
      <c r="UIC192" s="321"/>
      <c r="UID192" s="321"/>
      <c r="UIE192" s="331"/>
      <c r="UIF192" s="308"/>
      <c r="UIG192" s="301"/>
      <c r="UIH192" s="301"/>
      <c r="UII192" s="302"/>
      <c r="UIJ192" s="309"/>
      <c r="UIK192" s="329"/>
      <c r="UIL192" s="311"/>
      <c r="UIM192" s="312"/>
      <c r="UIN192" s="326"/>
      <c r="UIO192" s="332"/>
      <c r="UIP192" s="321"/>
      <c r="UIQ192" s="321"/>
      <c r="UIR192" s="331"/>
      <c r="UIS192" s="308"/>
      <c r="UIT192" s="301"/>
      <c r="UIU192" s="301"/>
      <c r="UIV192" s="302"/>
      <c r="UIW192" s="309"/>
      <c r="UIX192" s="329"/>
      <c r="UIY192" s="311"/>
      <c r="UIZ192" s="312"/>
      <c r="UJA192" s="326"/>
      <c r="UJB192" s="332"/>
      <c r="UJC192" s="321"/>
      <c r="UJD192" s="321"/>
      <c r="UJE192" s="331"/>
      <c r="UJF192" s="308"/>
      <c r="UJG192" s="301"/>
      <c r="UJH192" s="301"/>
      <c r="UJI192" s="302"/>
      <c r="UJJ192" s="309"/>
      <c r="UJK192" s="329"/>
      <c r="UJL192" s="311"/>
      <c r="UJM192" s="312"/>
      <c r="UJN192" s="326"/>
      <c r="UJO192" s="332"/>
      <c r="UJP192" s="321"/>
      <c r="UJQ192" s="321"/>
      <c r="UJR192" s="331"/>
      <c r="UJS192" s="308"/>
      <c r="UJT192" s="301"/>
      <c r="UJU192" s="301"/>
      <c r="UJV192" s="302"/>
      <c r="UJW192" s="309"/>
      <c r="UJX192" s="329"/>
      <c r="UJY192" s="311"/>
      <c r="UJZ192" s="312"/>
      <c r="UKA192" s="326"/>
      <c r="UKB192" s="332"/>
      <c r="UKC192" s="321"/>
      <c r="UKD192" s="321"/>
      <c r="UKE192" s="331"/>
      <c r="UKF192" s="308"/>
      <c r="UKG192" s="301"/>
      <c r="UKH192" s="301"/>
      <c r="UKI192" s="302"/>
      <c r="UKJ192" s="309"/>
      <c r="UKK192" s="329"/>
      <c r="UKL192" s="311"/>
      <c r="UKM192" s="312"/>
      <c r="UKN192" s="326"/>
      <c r="UKO192" s="332"/>
      <c r="UKP192" s="321"/>
      <c r="UKQ192" s="321"/>
      <c r="UKR192" s="331"/>
      <c r="UKS192" s="308"/>
      <c r="UKT192" s="301"/>
      <c r="UKU192" s="301"/>
      <c r="UKV192" s="302"/>
      <c r="UKW192" s="309"/>
      <c r="UKX192" s="329"/>
      <c r="UKY192" s="311"/>
      <c r="UKZ192" s="312"/>
      <c r="ULA192" s="326"/>
      <c r="ULB192" s="332"/>
      <c r="ULC192" s="321"/>
      <c r="ULD192" s="321"/>
      <c r="ULE192" s="331"/>
      <c r="ULF192" s="308"/>
      <c r="ULG192" s="301"/>
      <c r="ULH192" s="301"/>
      <c r="ULI192" s="302"/>
      <c r="ULJ192" s="309"/>
      <c r="ULK192" s="329"/>
      <c r="ULL192" s="311"/>
      <c r="ULM192" s="312"/>
      <c r="ULN192" s="326"/>
      <c r="ULO192" s="332"/>
      <c r="ULP192" s="321"/>
      <c r="ULQ192" s="321"/>
      <c r="ULR192" s="331"/>
      <c r="ULS192" s="308"/>
      <c r="ULT192" s="301"/>
      <c r="ULU192" s="301"/>
      <c r="ULV192" s="302"/>
      <c r="ULW192" s="309"/>
      <c r="ULX192" s="329"/>
      <c r="ULY192" s="311"/>
      <c r="ULZ192" s="312"/>
      <c r="UMA192" s="326"/>
      <c r="UMB192" s="332"/>
      <c r="UMC192" s="321"/>
      <c r="UMD192" s="321"/>
      <c r="UME192" s="331"/>
      <c r="UMF192" s="308"/>
      <c r="UMG192" s="301"/>
      <c r="UMH192" s="301"/>
      <c r="UMI192" s="302"/>
      <c r="UMJ192" s="309"/>
      <c r="UMK192" s="329"/>
      <c r="UML192" s="311"/>
      <c r="UMM192" s="312"/>
      <c r="UMN192" s="326"/>
      <c r="UMO192" s="332"/>
      <c r="UMP192" s="321"/>
      <c r="UMQ192" s="321"/>
      <c r="UMR192" s="331"/>
      <c r="UMS192" s="308"/>
      <c r="UMT192" s="301"/>
      <c r="UMU192" s="301"/>
      <c r="UMV192" s="302"/>
      <c r="UMW192" s="309"/>
      <c r="UMX192" s="329"/>
      <c r="UMY192" s="311"/>
      <c r="UMZ192" s="312"/>
      <c r="UNA192" s="326"/>
      <c r="UNB192" s="332"/>
      <c r="UNC192" s="321"/>
      <c r="UND192" s="321"/>
      <c r="UNE192" s="331"/>
      <c r="UNF192" s="308"/>
      <c r="UNG192" s="301"/>
      <c r="UNH192" s="301"/>
      <c r="UNI192" s="302"/>
      <c r="UNJ192" s="309"/>
      <c r="UNK192" s="329"/>
      <c r="UNL192" s="311"/>
      <c r="UNM192" s="312"/>
      <c r="UNN192" s="326"/>
      <c r="UNO192" s="332"/>
      <c r="UNP192" s="321"/>
      <c r="UNQ192" s="321"/>
      <c r="UNR192" s="331"/>
      <c r="UNS192" s="308"/>
      <c r="UNT192" s="301"/>
      <c r="UNU192" s="301"/>
      <c r="UNV192" s="302"/>
      <c r="UNW192" s="309"/>
      <c r="UNX192" s="329"/>
      <c r="UNY192" s="311"/>
      <c r="UNZ192" s="312"/>
      <c r="UOA192" s="326"/>
      <c r="UOB192" s="332"/>
      <c r="UOC192" s="321"/>
      <c r="UOD192" s="321"/>
      <c r="UOE192" s="331"/>
      <c r="UOF192" s="308"/>
      <c r="UOG192" s="301"/>
      <c r="UOH192" s="301"/>
      <c r="UOI192" s="302"/>
      <c r="UOJ192" s="309"/>
      <c r="UOK192" s="329"/>
      <c r="UOL192" s="311"/>
      <c r="UOM192" s="312"/>
      <c r="UON192" s="326"/>
      <c r="UOO192" s="332"/>
      <c r="UOP192" s="321"/>
      <c r="UOQ192" s="321"/>
      <c r="UOR192" s="331"/>
      <c r="UOS192" s="308"/>
      <c r="UOT192" s="301"/>
      <c r="UOU192" s="301"/>
      <c r="UOV192" s="302"/>
      <c r="UOW192" s="309"/>
      <c r="UOX192" s="329"/>
      <c r="UOY192" s="311"/>
      <c r="UOZ192" s="312"/>
      <c r="UPA192" s="326"/>
      <c r="UPB192" s="332"/>
      <c r="UPC192" s="321"/>
      <c r="UPD192" s="321"/>
      <c r="UPE192" s="331"/>
      <c r="UPF192" s="308"/>
      <c r="UPG192" s="301"/>
      <c r="UPH192" s="301"/>
      <c r="UPI192" s="302"/>
      <c r="UPJ192" s="309"/>
      <c r="UPK192" s="329"/>
      <c r="UPL192" s="311"/>
      <c r="UPM192" s="312"/>
      <c r="UPN192" s="326"/>
      <c r="UPO192" s="332"/>
      <c r="UPP192" s="321"/>
      <c r="UPQ192" s="321"/>
      <c r="UPR192" s="331"/>
      <c r="UPS192" s="308"/>
      <c r="UPT192" s="301"/>
      <c r="UPU192" s="301"/>
      <c r="UPV192" s="302"/>
      <c r="UPW192" s="309"/>
      <c r="UPX192" s="329"/>
      <c r="UPY192" s="311"/>
      <c r="UPZ192" s="312"/>
      <c r="UQA192" s="326"/>
      <c r="UQB192" s="332"/>
      <c r="UQC192" s="321"/>
      <c r="UQD192" s="321"/>
      <c r="UQE192" s="331"/>
      <c r="UQF192" s="308"/>
      <c r="UQG192" s="301"/>
      <c r="UQH192" s="301"/>
      <c r="UQI192" s="302"/>
      <c r="UQJ192" s="309"/>
      <c r="UQK192" s="329"/>
      <c r="UQL192" s="311"/>
      <c r="UQM192" s="312"/>
      <c r="UQN192" s="326"/>
      <c r="UQO192" s="332"/>
      <c r="UQP192" s="321"/>
      <c r="UQQ192" s="321"/>
      <c r="UQR192" s="331"/>
      <c r="UQS192" s="308"/>
      <c r="UQT192" s="301"/>
      <c r="UQU192" s="301"/>
      <c r="UQV192" s="302"/>
      <c r="UQW192" s="309"/>
      <c r="UQX192" s="329"/>
      <c r="UQY192" s="311"/>
      <c r="UQZ192" s="312"/>
      <c r="URA192" s="326"/>
      <c r="URB192" s="332"/>
      <c r="URC192" s="321"/>
      <c r="URD192" s="321"/>
      <c r="URE192" s="331"/>
      <c r="URF192" s="308"/>
      <c r="URG192" s="301"/>
      <c r="URH192" s="301"/>
      <c r="URI192" s="302"/>
      <c r="URJ192" s="309"/>
      <c r="URK192" s="329"/>
      <c r="URL192" s="311"/>
      <c r="URM192" s="312"/>
      <c r="URN192" s="326"/>
      <c r="URO192" s="332"/>
      <c r="URP192" s="321"/>
      <c r="URQ192" s="321"/>
      <c r="URR192" s="331"/>
      <c r="URS192" s="308"/>
      <c r="URT192" s="301"/>
      <c r="URU192" s="301"/>
      <c r="URV192" s="302"/>
      <c r="URW192" s="309"/>
      <c r="URX192" s="329"/>
      <c r="URY192" s="311"/>
      <c r="URZ192" s="312"/>
      <c r="USA192" s="326"/>
      <c r="USB192" s="332"/>
      <c r="USC192" s="321"/>
      <c r="USD192" s="321"/>
      <c r="USE192" s="331"/>
      <c r="USF192" s="308"/>
      <c r="USG192" s="301"/>
      <c r="USH192" s="301"/>
      <c r="USI192" s="302"/>
      <c r="USJ192" s="309"/>
      <c r="USK192" s="329"/>
      <c r="USL192" s="311"/>
      <c r="USM192" s="312"/>
      <c r="USN192" s="326"/>
      <c r="USO192" s="332"/>
      <c r="USP192" s="321"/>
      <c r="USQ192" s="321"/>
      <c r="USR192" s="331"/>
      <c r="USS192" s="308"/>
      <c r="UST192" s="301"/>
      <c r="USU192" s="301"/>
      <c r="USV192" s="302"/>
      <c r="USW192" s="309"/>
      <c r="USX192" s="329"/>
      <c r="USY192" s="311"/>
      <c r="USZ192" s="312"/>
      <c r="UTA192" s="326"/>
      <c r="UTB192" s="332"/>
      <c r="UTC192" s="321"/>
      <c r="UTD192" s="321"/>
      <c r="UTE192" s="331"/>
      <c r="UTF192" s="308"/>
      <c r="UTG192" s="301"/>
      <c r="UTH192" s="301"/>
      <c r="UTI192" s="302"/>
      <c r="UTJ192" s="309"/>
      <c r="UTK192" s="329"/>
      <c r="UTL192" s="311"/>
      <c r="UTM192" s="312"/>
      <c r="UTN192" s="326"/>
      <c r="UTO192" s="332"/>
      <c r="UTP192" s="321"/>
      <c r="UTQ192" s="321"/>
      <c r="UTR192" s="331"/>
      <c r="UTS192" s="308"/>
      <c r="UTT192" s="301"/>
      <c r="UTU192" s="301"/>
      <c r="UTV192" s="302"/>
      <c r="UTW192" s="309"/>
      <c r="UTX192" s="329"/>
      <c r="UTY192" s="311"/>
      <c r="UTZ192" s="312"/>
      <c r="UUA192" s="326"/>
      <c r="UUB192" s="332"/>
      <c r="UUC192" s="321"/>
      <c r="UUD192" s="321"/>
      <c r="UUE192" s="331"/>
      <c r="UUF192" s="308"/>
      <c r="UUG192" s="301"/>
      <c r="UUH192" s="301"/>
      <c r="UUI192" s="302"/>
      <c r="UUJ192" s="309"/>
      <c r="UUK192" s="329"/>
      <c r="UUL192" s="311"/>
      <c r="UUM192" s="312"/>
      <c r="UUN192" s="326"/>
      <c r="UUO192" s="332"/>
      <c r="UUP192" s="321"/>
      <c r="UUQ192" s="321"/>
      <c r="UUR192" s="331"/>
      <c r="UUS192" s="308"/>
      <c r="UUT192" s="301"/>
      <c r="UUU192" s="301"/>
      <c r="UUV192" s="302"/>
      <c r="UUW192" s="309"/>
      <c r="UUX192" s="329"/>
      <c r="UUY192" s="311"/>
      <c r="UUZ192" s="312"/>
      <c r="UVA192" s="326"/>
      <c r="UVB192" s="332"/>
      <c r="UVC192" s="321"/>
      <c r="UVD192" s="321"/>
      <c r="UVE192" s="331"/>
      <c r="UVF192" s="308"/>
      <c r="UVG192" s="301"/>
      <c r="UVH192" s="301"/>
      <c r="UVI192" s="302"/>
      <c r="UVJ192" s="309"/>
      <c r="UVK192" s="329"/>
      <c r="UVL192" s="311"/>
      <c r="UVM192" s="312"/>
      <c r="UVN192" s="326"/>
      <c r="UVO192" s="332"/>
      <c r="UVP192" s="321"/>
      <c r="UVQ192" s="321"/>
      <c r="UVR192" s="331"/>
      <c r="UVS192" s="308"/>
      <c r="UVT192" s="301"/>
      <c r="UVU192" s="301"/>
      <c r="UVV192" s="302"/>
      <c r="UVW192" s="309"/>
      <c r="UVX192" s="329"/>
      <c r="UVY192" s="311"/>
      <c r="UVZ192" s="312"/>
      <c r="UWA192" s="326"/>
      <c r="UWB192" s="332"/>
      <c r="UWC192" s="321"/>
      <c r="UWD192" s="321"/>
      <c r="UWE192" s="331"/>
      <c r="UWF192" s="308"/>
      <c r="UWG192" s="301"/>
      <c r="UWH192" s="301"/>
      <c r="UWI192" s="302"/>
      <c r="UWJ192" s="309"/>
      <c r="UWK192" s="329"/>
      <c r="UWL192" s="311"/>
      <c r="UWM192" s="312"/>
      <c r="UWN192" s="326"/>
      <c r="UWO192" s="332"/>
      <c r="UWP192" s="321"/>
      <c r="UWQ192" s="321"/>
      <c r="UWR192" s="331"/>
      <c r="UWS192" s="308"/>
      <c r="UWT192" s="301"/>
      <c r="UWU192" s="301"/>
      <c r="UWV192" s="302"/>
      <c r="UWW192" s="309"/>
      <c r="UWX192" s="329"/>
      <c r="UWY192" s="311"/>
      <c r="UWZ192" s="312"/>
      <c r="UXA192" s="326"/>
      <c r="UXB192" s="332"/>
      <c r="UXC192" s="321"/>
      <c r="UXD192" s="321"/>
      <c r="UXE192" s="331"/>
      <c r="UXF192" s="308"/>
      <c r="UXG192" s="301"/>
      <c r="UXH192" s="301"/>
      <c r="UXI192" s="302"/>
      <c r="UXJ192" s="309"/>
      <c r="UXK192" s="329"/>
      <c r="UXL192" s="311"/>
      <c r="UXM192" s="312"/>
      <c r="UXN192" s="326"/>
      <c r="UXO192" s="332"/>
      <c r="UXP192" s="321"/>
      <c r="UXQ192" s="321"/>
      <c r="UXR192" s="331"/>
      <c r="UXS192" s="308"/>
      <c r="UXT192" s="301"/>
      <c r="UXU192" s="301"/>
      <c r="UXV192" s="302"/>
      <c r="UXW192" s="309"/>
      <c r="UXX192" s="329"/>
      <c r="UXY192" s="311"/>
      <c r="UXZ192" s="312"/>
      <c r="UYA192" s="326"/>
      <c r="UYB192" s="332"/>
      <c r="UYC192" s="321"/>
      <c r="UYD192" s="321"/>
      <c r="UYE192" s="331"/>
      <c r="UYF192" s="308"/>
      <c r="UYG192" s="301"/>
      <c r="UYH192" s="301"/>
      <c r="UYI192" s="302"/>
      <c r="UYJ192" s="309"/>
      <c r="UYK192" s="329"/>
      <c r="UYL192" s="311"/>
      <c r="UYM192" s="312"/>
      <c r="UYN192" s="326"/>
      <c r="UYO192" s="332"/>
      <c r="UYP192" s="321"/>
      <c r="UYQ192" s="321"/>
      <c r="UYR192" s="331"/>
      <c r="UYS192" s="308"/>
      <c r="UYT192" s="301"/>
      <c r="UYU192" s="301"/>
      <c r="UYV192" s="302"/>
      <c r="UYW192" s="309"/>
      <c r="UYX192" s="329"/>
      <c r="UYY192" s="311"/>
      <c r="UYZ192" s="312"/>
      <c r="UZA192" s="326"/>
      <c r="UZB192" s="332"/>
      <c r="UZC192" s="321"/>
      <c r="UZD192" s="321"/>
      <c r="UZE192" s="331"/>
      <c r="UZF192" s="308"/>
      <c r="UZG192" s="301"/>
      <c r="UZH192" s="301"/>
      <c r="UZI192" s="302"/>
      <c r="UZJ192" s="309"/>
      <c r="UZK192" s="329"/>
      <c r="UZL192" s="311"/>
      <c r="UZM192" s="312"/>
      <c r="UZN192" s="326"/>
      <c r="UZO192" s="332"/>
      <c r="UZP192" s="321"/>
      <c r="UZQ192" s="321"/>
      <c r="UZR192" s="331"/>
      <c r="UZS192" s="308"/>
      <c r="UZT192" s="301"/>
      <c r="UZU192" s="301"/>
      <c r="UZV192" s="302"/>
      <c r="UZW192" s="309"/>
      <c r="UZX192" s="329"/>
      <c r="UZY192" s="311"/>
      <c r="UZZ192" s="312"/>
      <c r="VAA192" s="326"/>
      <c r="VAB192" s="332"/>
      <c r="VAC192" s="321"/>
      <c r="VAD192" s="321"/>
      <c r="VAE192" s="331"/>
      <c r="VAF192" s="308"/>
      <c r="VAG192" s="301"/>
      <c r="VAH192" s="301"/>
      <c r="VAI192" s="302"/>
      <c r="VAJ192" s="309"/>
      <c r="VAK192" s="329"/>
      <c r="VAL192" s="311"/>
      <c r="VAM192" s="312"/>
      <c r="VAN192" s="326"/>
      <c r="VAO192" s="332"/>
      <c r="VAP192" s="321"/>
      <c r="VAQ192" s="321"/>
      <c r="VAR192" s="331"/>
      <c r="VAS192" s="308"/>
      <c r="VAT192" s="301"/>
      <c r="VAU192" s="301"/>
      <c r="VAV192" s="302"/>
      <c r="VAW192" s="309"/>
      <c r="VAX192" s="329"/>
      <c r="VAY192" s="311"/>
      <c r="VAZ192" s="312"/>
      <c r="VBA192" s="326"/>
      <c r="VBB192" s="332"/>
      <c r="VBC192" s="321"/>
      <c r="VBD192" s="321"/>
      <c r="VBE192" s="331"/>
      <c r="VBF192" s="308"/>
      <c r="VBG192" s="301"/>
      <c r="VBH192" s="301"/>
      <c r="VBI192" s="302"/>
      <c r="VBJ192" s="309"/>
      <c r="VBK192" s="329"/>
      <c r="VBL192" s="311"/>
      <c r="VBM192" s="312"/>
      <c r="VBN192" s="326"/>
      <c r="VBO192" s="332"/>
      <c r="VBP192" s="321"/>
      <c r="VBQ192" s="321"/>
      <c r="VBR192" s="331"/>
      <c r="VBS192" s="308"/>
      <c r="VBT192" s="301"/>
      <c r="VBU192" s="301"/>
      <c r="VBV192" s="302"/>
      <c r="VBW192" s="309"/>
      <c r="VBX192" s="329"/>
      <c r="VBY192" s="311"/>
      <c r="VBZ192" s="312"/>
      <c r="VCA192" s="326"/>
      <c r="VCB192" s="332"/>
      <c r="VCC192" s="321"/>
      <c r="VCD192" s="321"/>
      <c r="VCE192" s="331"/>
      <c r="VCF192" s="308"/>
      <c r="VCG192" s="301"/>
      <c r="VCH192" s="301"/>
      <c r="VCI192" s="302"/>
      <c r="VCJ192" s="309"/>
      <c r="VCK192" s="329"/>
      <c r="VCL192" s="311"/>
      <c r="VCM192" s="312"/>
      <c r="VCN192" s="326"/>
      <c r="VCO192" s="332"/>
      <c r="VCP192" s="321"/>
      <c r="VCQ192" s="321"/>
      <c r="VCR192" s="331"/>
      <c r="VCS192" s="308"/>
      <c r="VCT192" s="301"/>
      <c r="VCU192" s="301"/>
      <c r="VCV192" s="302"/>
      <c r="VCW192" s="309"/>
      <c r="VCX192" s="329"/>
      <c r="VCY192" s="311"/>
      <c r="VCZ192" s="312"/>
      <c r="VDA192" s="326"/>
      <c r="VDB192" s="332"/>
      <c r="VDC192" s="321"/>
      <c r="VDD192" s="321"/>
      <c r="VDE192" s="331"/>
      <c r="VDF192" s="308"/>
      <c r="VDG192" s="301"/>
      <c r="VDH192" s="301"/>
      <c r="VDI192" s="302"/>
      <c r="VDJ192" s="309"/>
      <c r="VDK192" s="329"/>
      <c r="VDL192" s="311"/>
      <c r="VDM192" s="312"/>
      <c r="VDN192" s="326"/>
      <c r="VDO192" s="332"/>
      <c r="VDP192" s="321"/>
      <c r="VDQ192" s="321"/>
      <c r="VDR192" s="331"/>
      <c r="VDS192" s="308"/>
      <c r="VDT192" s="301"/>
      <c r="VDU192" s="301"/>
      <c r="VDV192" s="302"/>
      <c r="VDW192" s="309"/>
      <c r="VDX192" s="329"/>
      <c r="VDY192" s="311"/>
      <c r="VDZ192" s="312"/>
      <c r="VEA192" s="326"/>
      <c r="VEB192" s="332"/>
      <c r="VEC192" s="321"/>
      <c r="VED192" s="321"/>
      <c r="VEE192" s="331"/>
      <c r="VEF192" s="308"/>
      <c r="VEG192" s="301"/>
      <c r="VEH192" s="301"/>
      <c r="VEI192" s="302"/>
      <c r="VEJ192" s="309"/>
      <c r="VEK192" s="329"/>
      <c r="VEL192" s="311"/>
      <c r="VEM192" s="312"/>
      <c r="VEN192" s="326"/>
      <c r="VEO192" s="332"/>
      <c r="VEP192" s="321"/>
      <c r="VEQ192" s="321"/>
      <c r="VER192" s="331"/>
      <c r="VES192" s="308"/>
      <c r="VET192" s="301"/>
      <c r="VEU192" s="301"/>
      <c r="VEV192" s="302"/>
      <c r="VEW192" s="309"/>
      <c r="VEX192" s="329"/>
      <c r="VEY192" s="311"/>
      <c r="VEZ192" s="312"/>
      <c r="VFA192" s="326"/>
      <c r="VFB192" s="332"/>
      <c r="VFC192" s="321"/>
      <c r="VFD192" s="321"/>
      <c r="VFE192" s="331"/>
      <c r="VFF192" s="308"/>
      <c r="VFG192" s="301"/>
      <c r="VFH192" s="301"/>
      <c r="VFI192" s="302"/>
      <c r="VFJ192" s="309"/>
      <c r="VFK192" s="329"/>
      <c r="VFL192" s="311"/>
      <c r="VFM192" s="312"/>
      <c r="VFN192" s="326"/>
      <c r="VFO192" s="332"/>
      <c r="VFP192" s="321"/>
      <c r="VFQ192" s="321"/>
      <c r="VFR192" s="331"/>
      <c r="VFS192" s="308"/>
      <c r="VFT192" s="301"/>
      <c r="VFU192" s="301"/>
      <c r="VFV192" s="302"/>
      <c r="VFW192" s="309"/>
      <c r="VFX192" s="329"/>
      <c r="VFY192" s="311"/>
      <c r="VFZ192" s="312"/>
      <c r="VGA192" s="326"/>
      <c r="VGB192" s="332"/>
      <c r="VGC192" s="321"/>
      <c r="VGD192" s="321"/>
      <c r="VGE192" s="331"/>
      <c r="VGF192" s="308"/>
      <c r="VGG192" s="301"/>
      <c r="VGH192" s="301"/>
      <c r="VGI192" s="302"/>
      <c r="VGJ192" s="309"/>
      <c r="VGK192" s="329"/>
      <c r="VGL192" s="311"/>
      <c r="VGM192" s="312"/>
      <c r="VGN192" s="326"/>
      <c r="VGO192" s="332"/>
      <c r="VGP192" s="321"/>
      <c r="VGQ192" s="321"/>
      <c r="VGR192" s="331"/>
      <c r="VGS192" s="308"/>
      <c r="VGT192" s="301"/>
      <c r="VGU192" s="301"/>
      <c r="VGV192" s="302"/>
      <c r="VGW192" s="309"/>
      <c r="VGX192" s="329"/>
      <c r="VGY192" s="311"/>
      <c r="VGZ192" s="312"/>
      <c r="VHA192" s="326"/>
      <c r="VHB192" s="332"/>
      <c r="VHC192" s="321"/>
      <c r="VHD192" s="321"/>
      <c r="VHE192" s="331"/>
      <c r="VHF192" s="308"/>
      <c r="VHG192" s="301"/>
      <c r="VHH192" s="301"/>
      <c r="VHI192" s="302"/>
      <c r="VHJ192" s="309"/>
      <c r="VHK192" s="329"/>
      <c r="VHL192" s="311"/>
      <c r="VHM192" s="312"/>
      <c r="VHN192" s="326"/>
      <c r="VHO192" s="332"/>
      <c r="VHP192" s="321"/>
      <c r="VHQ192" s="321"/>
      <c r="VHR192" s="331"/>
      <c r="VHS192" s="308"/>
      <c r="VHT192" s="301"/>
      <c r="VHU192" s="301"/>
      <c r="VHV192" s="302"/>
      <c r="VHW192" s="309"/>
      <c r="VHX192" s="329"/>
      <c r="VHY192" s="311"/>
      <c r="VHZ192" s="312"/>
      <c r="VIA192" s="326"/>
      <c r="VIB192" s="332"/>
      <c r="VIC192" s="321"/>
      <c r="VID192" s="321"/>
      <c r="VIE192" s="331"/>
      <c r="VIF192" s="308"/>
      <c r="VIG192" s="301"/>
      <c r="VIH192" s="301"/>
      <c r="VII192" s="302"/>
      <c r="VIJ192" s="309"/>
      <c r="VIK192" s="329"/>
      <c r="VIL192" s="311"/>
      <c r="VIM192" s="312"/>
      <c r="VIN192" s="326"/>
      <c r="VIO192" s="332"/>
      <c r="VIP192" s="321"/>
      <c r="VIQ192" s="321"/>
      <c r="VIR192" s="331"/>
      <c r="VIS192" s="308"/>
      <c r="VIT192" s="301"/>
      <c r="VIU192" s="301"/>
      <c r="VIV192" s="302"/>
      <c r="VIW192" s="309"/>
      <c r="VIX192" s="329"/>
      <c r="VIY192" s="311"/>
      <c r="VIZ192" s="312"/>
      <c r="VJA192" s="326"/>
      <c r="VJB192" s="332"/>
      <c r="VJC192" s="321"/>
      <c r="VJD192" s="321"/>
      <c r="VJE192" s="331"/>
      <c r="VJF192" s="308"/>
      <c r="VJG192" s="301"/>
      <c r="VJH192" s="301"/>
      <c r="VJI192" s="302"/>
      <c r="VJJ192" s="309"/>
      <c r="VJK192" s="329"/>
      <c r="VJL192" s="311"/>
      <c r="VJM192" s="312"/>
      <c r="VJN192" s="326"/>
      <c r="VJO192" s="332"/>
      <c r="VJP192" s="321"/>
      <c r="VJQ192" s="321"/>
      <c r="VJR192" s="331"/>
      <c r="VJS192" s="308"/>
      <c r="VJT192" s="301"/>
      <c r="VJU192" s="301"/>
      <c r="VJV192" s="302"/>
      <c r="VJW192" s="309"/>
      <c r="VJX192" s="329"/>
      <c r="VJY192" s="311"/>
      <c r="VJZ192" s="312"/>
      <c r="VKA192" s="326"/>
      <c r="VKB192" s="332"/>
      <c r="VKC192" s="321"/>
      <c r="VKD192" s="321"/>
      <c r="VKE192" s="331"/>
      <c r="VKF192" s="308"/>
      <c r="VKG192" s="301"/>
      <c r="VKH192" s="301"/>
      <c r="VKI192" s="302"/>
      <c r="VKJ192" s="309"/>
      <c r="VKK192" s="329"/>
      <c r="VKL192" s="311"/>
      <c r="VKM192" s="312"/>
      <c r="VKN192" s="326"/>
      <c r="VKO192" s="332"/>
      <c r="VKP192" s="321"/>
      <c r="VKQ192" s="321"/>
      <c r="VKR192" s="331"/>
      <c r="VKS192" s="308"/>
      <c r="VKT192" s="301"/>
      <c r="VKU192" s="301"/>
      <c r="VKV192" s="302"/>
      <c r="VKW192" s="309"/>
      <c r="VKX192" s="329"/>
      <c r="VKY192" s="311"/>
      <c r="VKZ192" s="312"/>
      <c r="VLA192" s="326"/>
      <c r="VLB192" s="332"/>
      <c r="VLC192" s="321"/>
      <c r="VLD192" s="321"/>
      <c r="VLE192" s="331"/>
      <c r="VLF192" s="308"/>
      <c r="VLG192" s="301"/>
      <c r="VLH192" s="301"/>
      <c r="VLI192" s="302"/>
      <c r="VLJ192" s="309"/>
      <c r="VLK192" s="329"/>
      <c r="VLL192" s="311"/>
      <c r="VLM192" s="312"/>
      <c r="VLN192" s="326"/>
      <c r="VLO192" s="332"/>
      <c r="VLP192" s="321"/>
      <c r="VLQ192" s="321"/>
      <c r="VLR192" s="331"/>
      <c r="VLS192" s="308"/>
      <c r="VLT192" s="301"/>
      <c r="VLU192" s="301"/>
      <c r="VLV192" s="302"/>
      <c r="VLW192" s="309"/>
      <c r="VLX192" s="329"/>
      <c r="VLY192" s="311"/>
      <c r="VLZ192" s="312"/>
      <c r="VMA192" s="326"/>
      <c r="VMB192" s="332"/>
      <c r="VMC192" s="321"/>
      <c r="VMD192" s="321"/>
      <c r="VME192" s="331"/>
      <c r="VMF192" s="308"/>
      <c r="VMG192" s="301"/>
      <c r="VMH192" s="301"/>
      <c r="VMI192" s="302"/>
      <c r="VMJ192" s="309"/>
      <c r="VMK192" s="329"/>
      <c r="VML192" s="311"/>
      <c r="VMM192" s="312"/>
      <c r="VMN192" s="326"/>
      <c r="VMO192" s="332"/>
      <c r="VMP192" s="321"/>
      <c r="VMQ192" s="321"/>
      <c r="VMR192" s="331"/>
      <c r="VMS192" s="308"/>
      <c r="VMT192" s="301"/>
      <c r="VMU192" s="301"/>
      <c r="VMV192" s="302"/>
      <c r="VMW192" s="309"/>
      <c r="VMX192" s="329"/>
      <c r="VMY192" s="311"/>
      <c r="VMZ192" s="312"/>
      <c r="VNA192" s="326"/>
      <c r="VNB192" s="332"/>
      <c r="VNC192" s="321"/>
      <c r="VND192" s="321"/>
      <c r="VNE192" s="331"/>
      <c r="VNF192" s="308"/>
      <c r="VNG192" s="301"/>
      <c r="VNH192" s="301"/>
      <c r="VNI192" s="302"/>
      <c r="VNJ192" s="309"/>
      <c r="VNK192" s="329"/>
      <c r="VNL192" s="311"/>
      <c r="VNM192" s="312"/>
      <c r="VNN192" s="326"/>
      <c r="VNO192" s="332"/>
      <c r="VNP192" s="321"/>
      <c r="VNQ192" s="321"/>
      <c r="VNR192" s="331"/>
      <c r="VNS192" s="308"/>
      <c r="VNT192" s="301"/>
      <c r="VNU192" s="301"/>
      <c r="VNV192" s="302"/>
      <c r="VNW192" s="309"/>
      <c r="VNX192" s="329"/>
      <c r="VNY192" s="311"/>
      <c r="VNZ192" s="312"/>
      <c r="VOA192" s="326"/>
      <c r="VOB192" s="332"/>
      <c r="VOC192" s="321"/>
      <c r="VOD192" s="321"/>
      <c r="VOE192" s="331"/>
      <c r="VOF192" s="308"/>
      <c r="VOG192" s="301"/>
      <c r="VOH192" s="301"/>
      <c r="VOI192" s="302"/>
      <c r="VOJ192" s="309"/>
      <c r="VOK192" s="329"/>
      <c r="VOL192" s="311"/>
      <c r="VOM192" s="312"/>
      <c r="VON192" s="326"/>
      <c r="VOO192" s="332"/>
      <c r="VOP192" s="321"/>
      <c r="VOQ192" s="321"/>
      <c r="VOR192" s="331"/>
      <c r="VOS192" s="308"/>
      <c r="VOT192" s="301"/>
      <c r="VOU192" s="301"/>
      <c r="VOV192" s="302"/>
      <c r="VOW192" s="309"/>
      <c r="VOX192" s="329"/>
      <c r="VOY192" s="311"/>
      <c r="VOZ192" s="312"/>
      <c r="VPA192" s="326"/>
      <c r="VPB192" s="332"/>
      <c r="VPC192" s="321"/>
      <c r="VPD192" s="321"/>
      <c r="VPE192" s="331"/>
      <c r="VPF192" s="308"/>
      <c r="VPG192" s="301"/>
      <c r="VPH192" s="301"/>
      <c r="VPI192" s="302"/>
      <c r="VPJ192" s="309"/>
      <c r="VPK192" s="329"/>
      <c r="VPL192" s="311"/>
      <c r="VPM192" s="312"/>
      <c r="VPN192" s="326"/>
      <c r="VPO192" s="332"/>
      <c r="VPP192" s="321"/>
      <c r="VPQ192" s="321"/>
      <c r="VPR192" s="331"/>
      <c r="VPS192" s="308"/>
      <c r="VPT192" s="301"/>
      <c r="VPU192" s="301"/>
      <c r="VPV192" s="302"/>
      <c r="VPW192" s="309"/>
      <c r="VPX192" s="329"/>
      <c r="VPY192" s="311"/>
      <c r="VPZ192" s="312"/>
      <c r="VQA192" s="326"/>
      <c r="VQB192" s="332"/>
      <c r="VQC192" s="321"/>
      <c r="VQD192" s="321"/>
      <c r="VQE192" s="331"/>
      <c r="VQF192" s="308"/>
      <c r="VQG192" s="301"/>
      <c r="VQH192" s="301"/>
      <c r="VQI192" s="302"/>
      <c r="VQJ192" s="309"/>
      <c r="VQK192" s="329"/>
      <c r="VQL192" s="311"/>
      <c r="VQM192" s="312"/>
      <c r="VQN192" s="326"/>
      <c r="VQO192" s="332"/>
      <c r="VQP192" s="321"/>
      <c r="VQQ192" s="321"/>
      <c r="VQR192" s="331"/>
      <c r="VQS192" s="308"/>
      <c r="VQT192" s="301"/>
      <c r="VQU192" s="301"/>
      <c r="VQV192" s="302"/>
      <c r="VQW192" s="309"/>
      <c r="VQX192" s="329"/>
      <c r="VQY192" s="311"/>
      <c r="VQZ192" s="312"/>
      <c r="VRA192" s="326"/>
      <c r="VRB192" s="332"/>
      <c r="VRC192" s="321"/>
      <c r="VRD192" s="321"/>
      <c r="VRE192" s="331"/>
      <c r="VRF192" s="308"/>
      <c r="VRG192" s="301"/>
      <c r="VRH192" s="301"/>
      <c r="VRI192" s="302"/>
      <c r="VRJ192" s="309"/>
      <c r="VRK192" s="329"/>
      <c r="VRL192" s="311"/>
      <c r="VRM192" s="312"/>
      <c r="VRN192" s="326"/>
      <c r="VRO192" s="332"/>
      <c r="VRP192" s="321"/>
      <c r="VRQ192" s="321"/>
      <c r="VRR192" s="331"/>
      <c r="VRS192" s="308"/>
      <c r="VRT192" s="301"/>
      <c r="VRU192" s="301"/>
      <c r="VRV192" s="302"/>
      <c r="VRW192" s="309"/>
      <c r="VRX192" s="329"/>
      <c r="VRY192" s="311"/>
      <c r="VRZ192" s="312"/>
      <c r="VSA192" s="326"/>
      <c r="VSB192" s="332"/>
      <c r="VSC192" s="321"/>
      <c r="VSD192" s="321"/>
      <c r="VSE192" s="331"/>
      <c r="VSF192" s="308"/>
      <c r="VSG192" s="301"/>
      <c r="VSH192" s="301"/>
      <c r="VSI192" s="302"/>
      <c r="VSJ192" s="309"/>
      <c r="VSK192" s="329"/>
      <c r="VSL192" s="311"/>
      <c r="VSM192" s="312"/>
      <c r="VSN192" s="326"/>
      <c r="VSO192" s="332"/>
      <c r="VSP192" s="321"/>
      <c r="VSQ192" s="321"/>
      <c r="VSR192" s="331"/>
      <c r="VSS192" s="308"/>
      <c r="VST192" s="301"/>
      <c r="VSU192" s="301"/>
      <c r="VSV192" s="302"/>
      <c r="VSW192" s="309"/>
      <c r="VSX192" s="329"/>
      <c r="VSY192" s="311"/>
      <c r="VSZ192" s="312"/>
      <c r="VTA192" s="326"/>
      <c r="VTB192" s="332"/>
      <c r="VTC192" s="321"/>
      <c r="VTD192" s="321"/>
      <c r="VTE192" s="331"/>
      <c r="VTF192" s="308"/>
      <c r="VTG192" s="301"/>
      <c r="VTH192" s="301"/>
      <c r="VTI192" s="302"/>
      <c r="VTJ192" s="309"/>
      <c r="VTK192" s="329"/>
      <c r="VTL192" s="311"/>
      <c r="VTM192" s="312"/>
      <c r="VTN192" s="326"/>
      <c r="VTO192" s="332"/>
      <c r="VTP192" s="321"/>
      <c r="VTQ192" s="321"/>
      <c r="VTR192" s="331"/>
      <c r="VTS192" s="308"/>
      <c r="VTT192" s="301"/>
      <c r="VTU192" s="301"/>
      <c r="VTV192" s="302"/>
      <c r="VTW192" s="309"/>
      <c r="VTX192" s="329"/>
      <c r="VTY192" s="311"/>
      <c r="VTZ192" s="312"/>
      <c r="VUA192" s="326"/>
      <c r="VUB192" s="332"/>
      <c r="VUC192" s="321"/>
      <c r="VUD192" s="321"/>
      <c r="VUE192" s="331"/>
      <c r="VUF192" s="308"/>
      <c r="VUG192" s="301"/>
      <c r="VUH192" s="301"/>
      <c r="VUI192" s="302"/>
      <c r="VUJ192" s="309"/>
      <c r="VUK192" s="329"/>
      <c r="VUL192" s="311"/>
      <c r="VUM192" s="312"/>
      <c r="VUN192" s="326"/>
      <c r="VUO192" s="332"/>
      <c r="VUP192" s="321"/>
      <c r="VUQ192" s="321"/>
      <c r="VUR192" s="331"/>
      <c r="VUS192" s="308"/>
      <c r="VUT192" s="301"/>
      <c r="VUU192" s="301"/>
      <c r="VUV192" s="302"/>
      <c r="VUW192" s="309"/>
      <c r="VUX192" s="329"/>
      <c r="VUY192" s="311"/>
      <c r="VUZ192" s="312"/>
      <c r="VVA192" s="326"/>
      <c r="VVB192" s="332"/>
      <c r="VVC192" s="321"/>
      <c r="VVD192" s="321"/>
      <c r="VVE192" s="331"/>
      <c r="VVF192" s="308"/>
      <c r="VVG192" s="301"/>
      <c r="VVH192" s="301"/>
      <c r="VVI192" s="302"/>
      <c r="VVJ192" s="309"/>
      <c r="VVK192" s="329"/>
      <c r="VVL192" s="311"/>
      <c r="VVM192" s="312"/>
      <c r="VVN192" s="326"/>
      <c r="VVO192" s="332"/>
      <c r="VVP192" s="321"/>
      <c r="VVQ192" s="321"/>
      <c r="VVR192" s="331"/>
      <c r="VVS192" s="308"/>
      <c r="VVT192" s="301"/>
      <c r="VVU192" s="301"/>
      <c r="VVV192" s="302"/>
      <c r="VVW192" s="309"/>
      <c r="VVX192" s="329"/>
      <c r="VVY192" s="311"/>
      <c r="VVZ192" s="312"/>
      <c r="VWA192" s="326"/>
      <c r="VWB192" s="332"/>
      <c r="VWC192" s="321"/>
      <c r="VWD192" s="321"/>
      <c r="VWE192" s="331"/>
      <c r="VWF192" s="308"/>
      <c r="VWG192" s="301"/>
      <c r="VWH192" s="301"/>
      <c r="VWI192" s="302"/>
      <c r="VWJ192" s="309"/>
      <c r="VWK192" s="329"/>
      <c r="VWL192" s="311"/>
      <c r="VWM192" s="312"/>
      <c r="VWN192" s="326"/>
      <c r="VWO192" s="332"/>
      <c r="VWP192" s="321"/>
      <c r="VWQ192" s="321"/>
      <c r="VWR192" s="331"/>
      <c r="VWS192" s="308"/>
      <c r="VWT192" s="301"/>
      <c r="VWU192" s="301"/>
      <c r="VWV192" s="302"/>
      <c r="VWW192" s="309"/>
      <c r="VWX192" s="329"/>
      <c r="VWY192" s="311"/>
      <c r="VWZ192" s="312"/>
      <c r="VXA192" s="326"/>
      <c r="VXB192" s="332"/>
      <c r="VXC192" s="321"/>
      <c r="VXD192" s="321"/>
      <c r="VXE192" s="331"/>
      <c r="VXF192" s="308"/>
      <c r="VXG192" s="301"/>
      <c r="VXH192" s="301"/>
      <c r="VXI192" s="302"/>
      <c r="VXJ192" s="309"/>
      <c r="VXK192" s="329"/>
      <c r="VXL192" s="311"/>
      <c r="VXM192" s="312"/>
      <c r="VXN192" s="326"/>
      <c r="VXO192" s="332"/>
      <c r="VXP192" s="321"/>
      <c r="VXQ192" s="321"/>
      <c r="VXR192" s="331"/>
      <c r="VXS192" s="308"/>
      <c r="VXT192" s="301"/>
      <c r="VXU192" s="301"/>
      <c r="VXV192" s="302"/>
      <c r="VXW192" s="309"/>
      <c r="VXX192" s="329"/>
      <c r="VXY192" s="311"/>
      <c r="VXZ192" s="312"/>
      <c r="VYA192" s="326"/>
      <c r="VYB192" s="332"/>
      <c r="VYC192" s="321"/>
      <c r="VYD192" s="321"/>
      <c r="VYE192" s="331"/>
      <c r="VYF192" s="308"/>
      <c r="VYG192" s="301"/>
      <c r="VYH192" s="301"/>
      <c r="VYI192" s="302"/>
      <c r="VYJ192" s="309"/>
      <c r="VYK192" s="329"/>
      <c r="VYL192" s="311"/>
      <c r="VYM192" s="312"/>
      <c r="VYN192" s="326"/>
      <c r="VYO192" s="332"/>
      <c r="VYP192" s="321"/>
      <c r="VYQ192" s="321"/>
      <c r="VYR192" s="331"/>
      <c r="VYS192" s="308"/>
      <c r="VYT192" s="301"/>
      <c r="VYU192" s="301"/>
      <c r="VYV192" s="302"/>
      <c r="VYW192" s="309"/>
      <c r="VYX192" s="329"/>
      <c r="VYY192" s="311"/>
      <c r="VYZ192" s="312"/>
      <c r="VZA192" s="326"/>
      <c r="VZB192" s="332"/>
      <c r="VZC192" s="321"/>
      <c r="VZD192" s="321"/>
      <c r="VZE192" s="331"/>
      <c r="VZF192" s="308"/>
      <c r="VZG192" s="301"/>
      <c r="VZH192" s="301"/>
      <c r="VZI192" s="302"/>
      <c r="VZJ192" s="309"/>
      <c r="VZK192" s="329"/>
      <c r="VZL192" s="311"/>
      <c r="VZM192" s="312"/>
      <c r="VZN192" s="326"/>
      <c r="VZO192" s="332"/>
      <c r="VZP192" s="321"/>
      <c r="VZQ192" s="321"/>
      <c r="VZR192" s="331"/>
      <c r="VZS192" s="308"/>
      <c r="VZT192" s="301"/>
      <c r="VZU192" s="301"/>
      <c r="VZV192" s="302"/>
      <c r="VZW192" s="309"/>
      <c r="VZX192" s="329"/>
      <c r="VZY192" s="311"/>
      <c r="VZZ192" s="312"/>
      <c r="WAA192" s="326"/>
      <c r="WAB192" s="332"/>
      <c r="WAC192" s="321"/>
      <c r="WAD192" s="321"/>
      <c r="WAE192" s="331"/>
      <c r="WAF192" s="308"/>
      <c r="WAG192" s="301"/>
      <c r="WAH192" s="301"/>
      <c r="WAI192" s="302"/>
      <c r="WAJ192" s="309"/>
      <c r="WAK192" s="329"/>
      <c r="WAL192" s="311"/>
      <c r="WAM192" s="312"/>
      <c r="WAN192" s="326"/>
      <c r="WAO192" s="332"/>
      <c r="WAP192" s="321"/>
      <c r="WAQ192" s="321"/>
      <c r="WAR192" s="331"/>
      <c r="WAS192" s="308"/>
      <c r="WAT192" s="301"/>
      <c r="WAU192" s="301"/>
      <c r="WAV192" s="302"/>
      <c r="WAW192" s="309"/>
      <c r="WAX192" s="329"/>
      <c r="WAY192" s="311"/>
      <c r="WAZ192" s="312"/>
      <c r="WBA192" s="326"/>
      <c r="WBB192" s="332"/>
      <c r="WBC192" s="321"/>
      <c r="WBD192" s="321"/>
      <c r="WBE192" s="331"/>
      <c r="WBF192" s="308"/>
      <c r="WBG192" s="301"/>
      <c r="WBH192" s="301"/>
      <c r="WBI192" s="302"/>
      <c r="WBJ192" s="309"/>
      <c r="WBK192" s="329"/>
      <c r="WBL192" s="311"/>
      <c r="WBM192" s="312"/>
      <c r="WBN192" s="326"/>
      <c r="WBO192" s="332"/>
      <c r="WBP192" s="321"/>
      <c r="WBQ192" s="321"/>
      <c r="WBR192" s="331"/>
      <c r="WBS192" s="308"/>
      <c r="WBT192" s="301"/>
      <c r="WBU192" s="301"/>
      <c r="WBV192" s="302"/>
      <c r="WBW192" s="309"/>
      <c r="WBX192" s="329"/>
      <c r="WBY192" s="311"/>
      <c r="WBZ192" s="312"/>
      <c r="WCA192" s="326"/>
      <c r="WCB192" s="332"/>
      <c r="WCC192" s="321"/>
      <c r="WCD192" s="321"/>
      <c r="WCE192" s="331"/>
      <c r="WCF192" s="308"/>
      <c r="WCG192" s="301"/>
      <c r="WCH192" s="301"/>
      <c r="WCI192" s="302"/>
      <c r="WCJ192" s="309"/>
      <c r="WCK192" s="329"/>
      <c r="WCL192" s="311"/>
      <c r="WCM192" s="312"/>
      <c r="WCN192" s="326"/>
      <c r="WCO192" s="332"/>
      <c r="WCP192" s="321"/>
      <c r="WCQ192" s="321"/>
      <c r="WCR192" s="331"/>
      <c r="WCS192" s="308"/>
      <c r="WCT192" s="301"/>
      <c r="WCU192" s="301"/>
      <c r="WCV192" s="302"/>
      <c r="WCW192" s="309"/>
      <c r="WCX192" s="329"/>
      <c r="WCY192" s="311"/>
      <c r="WCZ192" s="312"/>
      <c r="WDA192" s="326"/>
      <c r="WDB192" s="332"/>
      <c r="WDC192" s="321"/>
      <c r="WDD192" s="321"/>
      <c r="WDE192" s="331"/>
      <c r="WDF192" s="308"/>
      <c r="WDG192" s="301"/>
      <c r="WDH192" s="301"/>
      <c r="WDI192" s="302"/>
      <c r="WDJ192" s="309"/>
      <c r="WDK192" s="329"/>
      <c r="WDL192" s="311"/>
      <c r="WDM192" s="312"/>
      <c r="WDN192" s="326"/>
      <c r="WDO192" s="332"/>
      <c r="WDP192" s="321"/>
      <c r="WDQ192" s="321"/>
      <c r="WDR192" s="331"/>
      <c r="WDS192" s="308"/>
      <c r="WDT192" s="301"/>
      <c r="WDU192" s="301"/>
      <c r="WDV192" s="302"/>
      <c r="WDW192" s="309"/>
      <c r="WDX192" s="329"/>
      <c r="WDY192" s="311"/>
      <c r="WDZ192" s="312"/>
      <c r="WEA192" s="326"/>
      <c r="WEB192" s="332"/>
      <c r="WEC192" s="321"/>
      <c r="WED192" s="321"/>
      <c r="WEE192" s="331"/>
      <c r="WEF192" s="308"/>
      <c r="WEG192" s="301"/>
      <c r="WEH192" s="301"/>
      <c r="WEI192" s="302"/>
      <c r="WEJ192" s="309"/>
      <c r="WEK192" s="329"/>
      <c r="WEL192" s="311"/>
      <c r="WEM192" s="312"/>
      <c r="WEN192" s="326"/>
      <c r="WEO192" s="332"/>
      <c r="WEP192" s="321"/>
      <c r="WEQ192" s="321"/>
      <c r="WER192" s="331"/>
      <c r="WES192" s="308"/>
      <c r="WET192" s="301"/>
      <c r="WEU192" s="301"/>
      <c r="WEV192" s="302"/>
      <c r="WEW192" s="309"/>
      <c r="WEX192" s="329"/>
      <c r="WEY192" s="311"/>
      <c r="WEZ192" s="312"/>
      <c r="WFA192" s="326"/>
      <c r="WFB192" s="332"/>
      <c r="WFC192" s="321"/>
      <c r="WFD192" s="321"/>
      <c r="WFE192" s="331"/>
      <c r="WFF192" s="308"/>
      <c r="WFG192" s="301"/>
      <c r="WFH192" s="301"/>
      <c r="WFI192" s="302"/>
      <c r="WFJ192" s="309"/>
      <c r="WFK192" s="329"/>
      <c r="WFL192" s="311"/>
      <c r="WFM192" s="312"/>
      <c r="WFN192" s="326"/>
      <c r="WFO192" s="332"/>
      <c r="WFP192" s="321"/>
      <c r="WFQ192" s="321"/>
      <c r="WFR192" s="331"/>
      <c r="WFS192" s="308"/>
      <c r="WFT192" s="301"/>
      <c r="WFU192" s="301"/>
      <c r="WFV192" s="302"/>
      <c r="WFW192" s="309"/>
      <c r="WFX192" s="329"/>
      <c r="WFY192" s="311"/>
      <c r="WFZ192" s="312"/>
      <c r="WGA192" s="326"/>
      <c r="WGB192" s="332"/>
      <c r="WGC192" s="321"/>
      <c r="WGD192" s="321"/>
      <c r="WGE192" s="331"/>
      <c r="WGF192" s="308"/>
      <c r="WGG192" s="301"/>
      <c r="WGH192" s="301"/>
      <c r="WGI192" s="302"/>
      <c r="WGJ192" s="309"/>
      <c r="WGK192" s="329"/>
      <c r="WGL192" s="311"/>
      <c r="WGM192" s="312"/>
      <c r="WGN192" s="326"/>
      <c r="WGO192" s="332"/>
      <c r="WGP192" s="321"/>
      <c r="WGQ192" s="321"/>
      <c r="WGR192" s="331"/>
      <c r="WGS192" s="308"/>
      <c r="WGT192" s="301"/>
      <c r="WGU192" s="301"/>
      <c r="WGV192" s="302"/>
      <c r="WGW192" s="309"/>
      <c r="WGX192" s="329"/>
      <c r="WGY192" s="311"/>
      <c r="WGZ192" s="312"/>
      <c r="WHA192" s="326"/>
      <c r="WHB192" s="332"/>
      <c r="WHC192" s="321"/>
      <c r="WHD192" s="321"/>
      <c r="WHE192" s="331"/>
      <c r="WHF192" s="308"/>
      <c r="WHG192" s="301"/>
      <c r="WHH192" s="301"/>
      <c r="WHI192" s="302"/>
      <c r="WHJ192" s="309"/>
      <c r="WHK192" s="329"/>
      <c r="WHL192" s="311"/>
      <c r="WHM192" s="312"/>
      <c r="WHN192" s="326"/>
      <c r="WHO192" s="332"/>
      <c r="WHP192" s="321"/>
      <c r="WHQ192" s="321"/>
      <c r="WHR192" s="331"/>
      <c r="WHS192" s="308"/>
      <c r="WHT192" s="301"/>
      <c r="WHU192" s="301"/>
      <c r="WHV192" s="302"/>
      <c r="WHW192" s="309"/>
      <c r="WHX192" s="329"/>
      <c r="WHY192" s="311"/>
      <c r="WHZ192" s="312"/>
      <c r="WIA192" s="326"/>
      <c r="WIB192" s="332"/>
      <c r="WIC192" s="321"/>
      <c r="WID192" s="321"/>
      <c r="WIE192" s="331"/>
      <c r="WIF192" s="308"/>
      <c r="WIG192" s="301"/>
      <c r="WIH192" s="301"/>
      <c r="WII192" s="302"/>
      <c r="WIJ192" s="309"/>
      <c r="WIK192" s="329"/>
      <c r="WIL192" s="311"/>
      <c r="WIM192" s="312"/>
      <c r="WIN192" s="326"/>
      <c r="WIO192" s="332"/>
      <c r="WIP192" s="321"/>
      <c r="WIQ192" s="321"/>
      <c r="WIR192" s="331"/>
      <c r="WIS192" s="308"/>
      <c r="WIT192" s="301"/>
      <c r="WIU192" s="301"/>
      <c r="WIV192" s="302"/>
      <c r="WIW192" s="309"/>
      <c r="WIX192" s="329"/>
      <c r="WIY192" s="311"/>
      <c r="WIZ192" s="312"/>
      <c r="WJA192" s="326"/>
      <c r="WJB192" s="332"/>
      <c r="WJC192" s="321"/>
      <c r="WJD192" s="321"/>
      <c r="WJE192" s="331"/>
      <c r="WJF192" s="308"/>
      <c r="WJG192" s="301"/>
      <c r="WJH192" s="301"/>
      <c r="WJI192" s="302"/>
      <c r="WJJ192" s="309"/>
      <c r="WJK192" s="329"/>
      <c r="WJL192" s="311"/>
      <c r="WJM192" s="312"/>
      <c r="WJN192" s="326"/>
      <c r="WJO192" s="332"/>
      <c r="WJP192" s="321"/>
      <c r="WJQ192" s="321"/>
      <c r="WJR192" s="331"/>
      <c r="WJS192" s="308"/>
      <c r="WJT192" s="301"/>
      <c r="WJU192" s="301"/>
      <c r="WJV192" s="302"/>
      <c r="WJW192" s="309"/>
      <c r="WJX192" s="329"/>
      <c r="WJY192" s="311"/>
      <c r="WJZ192" s="312"/>
      <c r="WKA192" s="326"/>
      <c r="WKB192" s="332"/>
      <c r="WKC192" s="321"/>
      <c r="WKD192" s="321"/>
      <c r="WKE192" s="331"/>
      <c r="WKF192" s="308"/>
      <c r="WKG192" s="301"/>
      <c r="WKH192" s="301"/>
      <c r="WKI192" s="302"/>
      <c r="WKJ192" s="309"/>
      <c r="WKK192" s="329"/>
      <c r="WKL192" s="311"/>
      <c r="WKM192" s="312"/>
      <c r="WKN192" s="326"/>
      <c r="WKO192" s="332"/>
      <c r="WKP192" s="321"/>
      <c r="WKQ192" s="321"/>
      <c r="WKR192" s="331"/>
      <c r="WKS192" s="308"/>
      <c r="WKT192" s="301"/>
      <c r="WKU192" s="301"/>
      <c r="WKV192" s="302"/>
      <c r="WKW192" s="309"/>
      <c r="WKX192" s="329"/>
      <c r="WKY192" s="311"/>
      <c r="WKZ192" s="312"/>
      <c r="WLA192" s="326"/>
      <c r="WLB192" s="332"/>
      <c r="WLC192" s="321"/>
      <c r="WLD192" s="321"/>
      <c r="WLE192" s="331"/>
      <c r="WLF192" s="308"/>
      <c r="WLG192" s="301"/>
      <c r="WLH192" s="301"/>
      <c r="WLI192" s="302"/>
      <c r="WLJ192" s="309"/>
      <c r="WLK192" s="329"/>
      <c r="WLL192" s="311"/>
      <c r="WLM192" s="312"/>
      <c r="WLN192" s="326"/>
      <c r="WLO192" s="332"/>
      <c r="WLP192" s="321"/>
      <c r="WLQ192" s="321"/>
      <c r="WLR192" s="331"/>
      <c r="WLS192" s="308"/>
      <c r="WLT192" s="301"/>
      <c r="WLU192" s="301"/>
      <c r="WLV192" s="302"/>
      <c r="WLW192" s="309"/>
      <c r="WLX192" s="329"/>
      <c r="WLY192" s="311"/>
      <c r="WLZ192" s="312"/>
      <c r="WMA192" s="326"/>
      <c r="WMB192" s="332"/>
      <c r="WMC192" s="321"/>
      <c r="WMD192" s="321"/>
      <c r="WME192" s="331"/>
      <c r="WMF192" s="308"/>
      <c r="WMG192" s="301"/>
      <c r="WMH192" s="301"/>
      <c r="WMI192" s="302"/>
      <c r="WMJ192" s="309"/>
      <c r="WMK192" s="329"/>
      <c r="WML192" s="311"/>
      <c r="WMM192" s="312"/>
      <c r="WMN192" s="326"/>
      <c r="WMO192" s="332"/>
      <c r="WMP192" s="321"/>
      <c r="WMQ192" s="321"/>
      <c r="WMR192" s="331"/>
      <c r="WMS192" s="308"/>
      <c r="WMT192" s="301"/>
      <c r="WMU192" s="301"/>
      <c r="WMV192" s="302"/>
      <c r="WMW192" s="309"/>
      <c r="WMX192" s="329"/>
      <c r="WMY192" s="311"/>
      <c r="WMZ192" s="312"/>
      <c r="WNA192" s="326"/>
      <c r="WNB192" s="332"/>
      <c r="WNC192" s="321"/>
      <c r="WND192" s="321"/>
      <c r="WNE192" s="331"/>
      <c r="WNF192" s="308"/>
      <c r="WNG192" s="301"/>
      <c r="WNH192" s="301"/>
      <c r="WNI192" s="302"/>
      <c r="WNJ192" s="309"/>
      <c r="WNK192" s="329"/>
      <c r="WNL192" s="311"/>
      <c r="WNM192" s="312"/>
      <c r="WNN192" s="326"/>
      <c r="WNO192" s="332"/>
      <c r="WNP192" s="321"/>
      <c r="WNQ192" s="321"/>
      <c r="WNR192" s="331"/>
      <c r="WNS192" s="308"/>
      <c r="WNT192" s="301"/>
      <c r="WNU192" s="301"/>
      <c r="WNV192" s="302"/>
      <c r="WNW192" s="309"/>
      <c r="WNX192" s="329"/>
      <c r="WNY192" s="311"/>
      <c r="WNZ192" s="312"/>
      <c r="WOA192" s="326"/>
      <c r="WOB192" s="332"/>
      <c r="WOC192" s="321"/>
      <c r="WOD192" s="321"/>
      <c r="WOE192" s="331"/>
      <c r="WOF192" s="308"/>
      <c r="WOG192" s="301"/>
      <c r="WOH192" s="301"/>
      <c r="WOI192" s="302"/>
      <c r="WOJ192" s="309"/>
      <c r="WOK192" s="329"/>
      <c r="WOL192" s="311"/>
      <c r="WOM192" s="312"/>
      <c r="WON192" s="326"/>
      <c r="WOO192" s="332"/>
      <c r="WOP192" s="321"/>
      <c r="WOQ192" s="321"/>
      <c r="WOR192" s="331"/>
      <c r="WOS192" s="308"/>
      <c r="WOT192" s="301"/>
      <c r="WOU192" s="301"/>
      <c r="WOV192" s="302"/>
      <c r="WOW192" s="309"/>
      <c r="WOX192" s="329"/>
      <c r="WOY192" s="311"/>
      <c r="WOZ192" s="312"/>
      <c r="WPA192" s="326"/>
      <c r="WPB192" s="332"/>
      <c r="WPC192" s="321"/>
      <c r="WPD192" s="321"/>
      <c r="WPE192" s="331"/>
      <c r="WPF192" s="308"/>
      <c r="WPG192" s="301"/>
      <c r="WPH192" s="301"/>
      <c r="WPI192" s="302"/>
      <c r="WPJ192" s="309"/>
      <c r="WPK192" s="329"/>
      <c r="WPL192" s="311"/>
      <c r="WPM192" s="312"/>
      <c r="WPN192" s="326"/>
      <c r="WPO192" s="332"/>
      <c r="WPP192" s="321"/>
      <c r="WPQ192" s="321"/>
      <c r="WPR192" s="331"/>
      <c r="WPS192" s="308"/>
      <c r="WPT192" s="301"/>
      <c r="WPU192" s="301"/>
      <c r="WPV192" s="302"/>
      <c r="WPW192" s="309"/>
      <c r="WPX192" s="329"/>
      <c r="WPY192" s="311"/>
      <c r="WPZ192" s="312"/>
      <c r="WQA192" s="326"/>
      <c r="WQB192" s="332"/>
      <c r="WQC192" s="321"/>
      <c r="WQD192" s="321"/>
      <c r="WQE192" s="331"/>
      <c r="WQF192" s="308"/>
      <c r="WQG192" s="301"/>
      <c r="WQH192" s="301"/>
      <c r="WQI192" s="302"/>
      <c r="WQJ192" s="309"/>
      <c r="WQK192" s="329"/>
      <c r="WQL192" s="311"/>
      <c r="WQM192" s="312"/>
      <c r="WQN192" s="326"/>
      <c r="WQO192" s="332"/>
      <c r="WQP192" s="321"/>
      <c r="WQQ192" s="321"/>
      <c r="WQR192" s="331"/>
      <c r="WQS192" s="308"/>
      <c r="WQT192" s="301"/>
      <c r="WQU192" s="301"/>
      <c r="WQV192" s="302"/>
      <c r="WQW192" s="309"/>
      <c r="WQX192" s="329"/>
      <c r="WQY192" s="311"/>
      <c r="WQZ192" s="312"/>
      <c r="WRA192" s="326"/>
      <c r="WRB192" s="332"/>
      <c r="WRC192" s="321"/>
      <c r="WRD192" s="321"/>
      <c r="WRE192" s="331"/>
      <c r="WRF192" s="308"/>
      <c r="WRG192" s="301"/>
      <c r="WRH192" s="301"/>
      <c r="WRI192" s="302"/>
      <c r="WRJ192" s="309"/>
      <c r="WRK192" s="329"/>
      <c r="WRL192" s="311"/>
      <c r="WRM192" s="312"/>
      <c r="WRN192" s="326"/>
      <c r="WRO192" s="332"/>
      <c r="WRP192" s="321"/>
      <c r="WRQ192" s="321"/>
      <c r="WRR192" s="331"/>
      <c r="WRS192" s="308"/>
      <c r="WRT192" s="301"/>
      <c r="WRU192" s="301"/>
      <c r="WRV192" s="302"/>
      <c r="WRW192" s="309"/>
      <c r="WRX192" s="329"/>
      <c r="WRY192" s="311"/>
      <c r="WRZ192" s="312"/>
      <c r="WSA192" s="326"/>
      <c r="WSB192" s="332"/>
      <c r="WSC192" s="321"/>
      <c r="WSD192" s="321"/>
      <c r="WSE192" s="331"/>
      <c r="WSF192" s="308"/>
      <c r="WSG192" s="301"/>
      <c r="WSH192" s="301"/>
      <c r="WSI192" s="302"/>
      <c r="WSJ192" s="309"/>
      <c r="WSK192" s="329"/>
      <c r="WSL192" s="311"/>
      <c r="WSM192" s="312"/>
      <c r="WSN192" s="326"/>
      <c r="WSO192" s="332"/>
      <c r="WSP192" s="321"/>
      <c r="WSQ192" s="321"/>
      <c r="WSR192" s="331"/>
      <c r="WSS192" s="308"/>
      <c r="WST192" s="301"/>
      <c r="WSU192" s="301"/>
      <c r="WSV192" s="302"/>
      <c r="WSW192" s="309"/>
      <c r="WSX192" s="329"/>
      <c r="WSY192" s="311"/>
      <c r="WSZ192" s="312"/>
      <c r="WTA192" s="326"/>
      <c r="WTB192" s="332"/>
      <c r="WTC192" s="321"/>
      <c r="WTD192" s="321"/>
      <c r="WTE192" s="331"/>
      <c r="WTF192" s="308"/>
      <c r="WTG192" s="301"/>
      <c r="WTH192" s="301"/>
      <c r="WTI192" s="302"/>
      <c r="WTJ192" s="309"/>
      <c r="WTK192" s="329"/>
      <c r="WTL192" s="311"/>
      <c r="WTM192" s="312"/>
      <c r="WTN192" s="326"/>
      <c r="WTO192" s="332"/>
      <c r="WTP192" s="321"/>
      <c r="WTQ192" s="321"/>
      <c r="WTR192" s="331"/>
      <c r="WTS192" s="308"/>
      <c r="WTT192" s="301"/>
      <c r="WTU192" s="301"/>
      <c r="WTV192" s="302"/>
      <c r="WTW192" s="309"/>
      <c r="WTX192" s="329"/>
      <c r="WTY192" s="311"/>
      <c r="WTZ192" s="312"/>
      <c r="WUA192" s="326"/>
      <c r="WUB192" s="332"/>
      <c r="WUC192" s="321"/>
      <c r="WUD192" s="321"/>
      <c r="WUE192" s="331"/>
      <c r="WUF192" s="308"/>
      <c r="WUG192" s="301"/>
      <c r="WUH192" s="301"/>
      <c r="WUI192" s="302"/>
      <c r="WUJ192" s="309"/>
      <c r="WUK192" s="329"/>
      <c r="WUL192" s="311"/>
      <c r="WUM192" s="312"/>
      <c r="WUN192" s="326"/>
      <c r="WUO192" s="332"/>
      <c r="WUP192" s="321"/>
      <c r="WUQ192" s="321"/>
      <c r="WUR192" s="331"/>
      <c r="WUS192" s="308"/>
      <c r="WUT192" s="301"/>
      <c r="WUU192" s="301"/>
      <c r="WUV192" s="302"/>
      <c r="WUW192" s="309"/>
      <c r="WUX192" s="329"/>
      <c r="WUY192" s="311"/>
      <c r="WUZ192" s="312"/>
      <c r="WVA192" s="326"/>
      <c r="WVB192" s="332"/>
      <c r="WVC192" s="321"/>
      <c r="WVD192" s="321"/>
      <c r="WVE192" s="331"/>
      <c r="WVF192" s="308"/>
      <c r="WVG192" s="301"/>
      <c r="WVH192" s="301"/>
      <c r="WVI192" s="302"/>
      <c r="WVJ192" s="309"/>
      <c r="WVK192" s="329"/>
      <c r="WVL192" s="311"/>
      <c r="WVM192" s="312"/>
      <c r="WVN192" s="326"/>
      <c r="WVO192" s="332"/>
      <c r="WVP192" s="321"/>
      <c r="WVQ192" s="321"/>
      <c r="WVR192" s="331"/>
      <c r="WVS192" s="308"/>
      <c r="WVT192" s="301"/>
      <c r="WVU192" s="301"/>
      <c r="WVV192" s="302"/>
      <c r="WVW192" s="309"/>
      <c r="WVX192" s="329"/>
      <c r="WVY192" s="311"/>
      <c r="WVZ192" s="312"/>
      <c r="WWA192" s="326"/>
      <c r="WWB192" s="332"/>
      <c r="WWC192" s="321"/>
      <c r="WWD192" s="321"/>
      <c r="WWE192" s="331"/>
      <c r="WWF192" s="308"/>
      <c r="WWG192" s="301"/>
      <c r="WWH192" s="301"/>
      <c r="WWI192" s="302"/>
      <c r="WWJ192" s="309"/>
      <c r="WWK192" s="329"/>
      <c r="WWL192" s="311"/>
      <c r="WWM192" s="312"/>
      <c r="WWN192" s="326"/>
      <c r="WWO192" s="332"/>
      <c r="WWP192" s="321"/>
      <c r="WWQ192" s="321"/>
      <c r="WWR192" s="331"/>
      <c r="WWS192" s="308"/>
      <c r="WWT192" s="301"/>
      <c r="WWU192" s="301"/>
      <c r="WWV192" s="302"/>
      <c r="WWW192" s="309"/>
      <c r="WWX192" s="329"/>
      <c r="WWY192" s="311"/>
      <c r="WWZ192" s="312"/>
      <c r="WXA192" s="326"/>
      <c r="WXB192" s="332"/>
      <c r="WXC192" s="321"/>
      <c r="WXD192" s="321"/>
      <c r="WXE192" s="331"/>
      <c r="WXF192" s="308"/>
      <c r="WXG192" s="301"/>
      <c r="WXH192" s="301"/>
      <c r="WXI192" s="302"/>
      <c r="WXJ192" s="309"/>
      <c r="WXK192" s="329"/>
      <c r="WXL192" s="311"/>
      <c r="WXM192" s="312"/>
      <c r="WXN192" s="326"/>
      <c r="WXO192" s="332"/>
      <c r="WXP192" s="321"/>
      <c r="WXQ192" s="321"/>
      <c r="WXR192" s="331"/>
      <c r="WXS192" s="308"/>
      <c r="WXT192" s="301"/>
      <c r="WXU192" s="301"/>
      <c r="WXV192" s="302"/>
      <c r="WXW192" s="309"/>
      <c r="WXX192" s="329"/>
      <c r="WXY192" s="311"/>
      <c r="WXZ192" s="312"/>
      <c r="WYA192" s="326"/>
      <c r="WYB192" s="332"/>
      <c r="WYC192" s="321"/>
      <c r="WYD192" s="321"/>
      <c r="WYE192" s="331"/>
      <c r="WYF192" s="308"/>
      <c r="WYG192" s="301"/>
      <c r="WYH192" s="301"/>
      <c r="WYI192" s="302"/>
      <c r="WYJ192" s="309"/>
      <c r="WYK192" s="329"/>
      <c r="WYL192" s="311"/>
      <c r="WYM192" s="312"/>
      <c r="WYN192" s="326"/>
      <c r="WYO192" s="332"/>
      <c r="WYP192" s="321"/>
      <c r="WYQ192" s="321"/>
      <c r="WYR192" s="331"/>
      <c r="WYS192" s="308"/>
      <c r="WYT192" s="301"/>
      <c r="WYU192" s="301"/>
      <c r="WYV192" s="302"/>
      <c r="WYW192" s="309"/>
      <c r="WYX192" s="329"/>
      <c r="WYY192" s="311"/>
      <c r="WYZ192" s="312"/>
      <c r="WZA192" s="326"/>
      <c r="WZB192" s="332"/>
      <c r="WZC192" s="321"/>
      <c r="WZD192" s="321"/>
      <c r="WZE192" s="331"/>
      <c r="WZF192" s="308"/>
      <c r="WZG192" s="301"/>
      <c r="WZH192" s="301"/>
      <c r="WZI192" s="302"/>
      <c r="WZJ192" s="309"/>
      <c r="WZK192" s="329"/>
      <c r="WZL192" s="311"/>
      <c r="WZM192" s="312"/>
      <c r="WZN192" s="326"/>
      <c r="WZO192" s="332"/>
      <c r="WZP192" s="321"/>
      <c r="WZQ192" s="321"/>
      <c r="WZR192" s="331"/>
      <c r="WZS192" s="308"/>
      <c r="WZT192" s="301"/>
      <c r="WZU192" s="301"/>
      <c r="WZV192" s="302"/>
      <c r="WZW192" s="309"/>
      <c r="WZX192" s="329"/>
      <c r="WZY192" s="311"/>
      <c r="WZZ192" s="312"/>
      <c r="XAA192" s="326"/>
      <c r="XAB192" s="332"/>
      <c r="XAC192" s="321"/>
      <c r="XAD192" s="321"/>
      <c r="XAE192" s="331"/>
      <c r="XAF192" s="308"/>
      <c r="XAG192" s="301"/>
      <c r="XAH192" s="301"/>
      <c r="XAI192" s="302"/>
      <c r="XAJ192" s="309"/>
      <c r="XAK192" s="329"/>
      <c r="XAL192" s="311"/>
      <c r="XAM192" s="312"/>
      <c r="XAN192" s="326"/>
      <c r="XAO192" s="332"/>
      <c r="XAP192" s="321"/>
      <c r="XAQ192" s="321"/>
      <c r="XAR192" s="331"/>
      <c r="XAS192" s="308"/>
      <c r="XAT192" s="301"/>
      <c r="XAU192" s="301"/>
      <c r="XAV192" s="302"/>
      <c r="XAW192" s="309"/>
      <c r="XAX192" s="329"/>
      <c r="XAY192" s="311"/>
      <c r="XAZ192" s="312"/>
      <c r="XBA192" s="326"/>
      <c r="XBB192" s="332"/>
      <c r="XBC192" s="321"/>
      <c r="XBD192" s="321"/>
      <c r="XBE192" s="331"/>
      <c r="XBF192" s="308"/>
      <c r="XBG192" s="301"/>
      <c r="XBH192" s="301"/>
      <c r="XBI192" s="302"/>
      <c r="XBJ192" s="309"/>
      <c r="XBK192" s="329"/>
      <c r="XBL192" s="311"/>
      <c r="XBM192" s="312"/>
      <c r="XBN192" s="326"/>
      <c r="XBO192" s="332"/>
      <c r="XBP192" s="321"/>
      <c r="XBQ192" s="321"/>
      <c r="XBR192" s="331"/>
      <c r="XBS192" s="308"/>
      <c r="XBT192" s="301"/>
      <c r="XBU192" s="301"/>
      <c r="XBV192" s="302"/>
      <c r="XBW192" s="309"/>
      <c r="XBX192" s="329"/>
      <c r="XBY192" s="311"/>
      <c r="XBZ192" s="312"/>
      <c r="XCA192" s="326"/>
      <c r="XCB192" s="332"/>
      <c r="XCC192" s="321"/>
      <c r="XCD192" s="321"/>
      <c r="XCE192" s="331"/>
      <c r="XCF192" s="308"/>
      <c r="XCG192" s="301"/>
      <c r="XCH192" s="301"/>
      <c r="XCI192" s="302"/>
      <c r="XCJ192" s="309"/>
      <c r="XCK192" s="329"/>
      <c r="XCL192" s="311"/>
      <c r="XCM192" s="312"/>
      <c r="XCN192" s="326"/>
      <c r="XCO192" s="332"/>
      <c r="XCP192" s="321"/>
      <c r="XCQ192" s="321"/>
      <c r="XCR192" s="331"/>
      <c r="XCS192" s="308"/>
      <c r="XCT192" s="301"/>
      <c r="XCU192" s="301"/>
      <c r="XCV192" s="302"/>
      <c r="XCW192" s="309"/>
      <c r="XCX192" s="329"/>
      <c r="XCY192" s="311"/>
      <c r="XCZ192" s="312"/>
      <c r="XDA192" s="326"/>
      <c r="XDB192" s="332"/>
      <c r="XDC192" s="321"/>
      <c r="XDD192" s="321"/>
      <c r="XDE192" s="331"/>
      <c r="XDF192" s="308"/>
      <c r="XDG192" s="301"/>
      <c r="XDH192" s="301"/>
      <c r="XDI192" s="302"/>
      <c r="XDJ192" s="309"/>
      <c r="XDK192" s="329"/>
      <c r="XDL192" s="311"/>
      <c r="XDM192" s="312"/>
      <c r="XDN192" s="326"/>
      <c r="XDO192" s="332"/>
      <c r="XDP192" s="321"/>
      <c r="XDQ192" s="321"/>
      <c r="XDR192" s="331"/>
      <c r="XDS192" s="308"/>
      <c r="XDT192" s="301"/>
      <c r="XDU192" s="301"/>
      <c r="XDV192" s="302"/>
      <c r="XDW192" s="309"/>
      <c r="XDX192" s="329"/>
      <c r="XDY192" s="311"/>
      <c r="XDZ192" s="312"/>
      <c r="XEA192" s="326"/>
      <c r="XEB192" s="332"/>
      <c r="XEC192" s="321"/>
      <c r="XED192" s="321"/>
      <c r="XEE192" s="331"/>
      <c r="XEF192" s="308"/>
      <c r="XEG192" s="301"/>
      <c r="XEH192" s="301"/>
      <c r="XEI192" s="302"/>
      <c r="XEJ192" s="309"/>
      <c r="XEK192" s="329"/>
      <c r="XEL192" s="311"/>
      <c r="XEM192" s="312"/>
      <c r="XEN192" s="326"/>
      <c r="XEO192" s="332"/>
      <c r="XEP192" s="321"/>
      <c r="XEQ192" s="321"/>
      <c r="XER192" s="331"/>
      <c r="XES192" s="308"/>
      <c r="XET192" s="301"/>
      <c r="XEU192" s="301"/>
      <c r="XEV192" s="302"/>
      <c r="XEW192" s="309"/>
      <c r="XEX192" s="329"/>
      <c r="XEY192" s="311"/>
      <c r="XEZ192" s="312"/>
      <c r="XFA192" s="326"/>
      <c r="XFB192" s="332"/>
      <c r="XFC192" s="321"/>
      <c r="XFD192" s="321"/>
    </row>
    <row r="193" spans="1:16384" ht="15">
      <c r="A193" s="326">
        <v>43282</v>
      </c>
      <c r="B193" s="332">
        <f>4.9752*100</f>
        <v>497.52</v>
      </c>
      <c r="C193" s="321">
        <v>64.893500000000003</v>
      </c>
      <c r="D193" s="321">
        <v>2</v>
      </c>
      <c r="E193" s="331">
        <f t="shared" si="36"/>
        <v>66.893500000000003</v>
      </c>
      <c r="F193" s="308">
        <f t="shared" si="35"/>
        <v>-2.3080326956694375E-2</v>
      </c>
      <c r="G193" s="301">
        <v>64.617000000000004</v>
      </c>
      <c r="H193" s="301"/>
      <c r="I193" s="302">
        <f t="shared" si="34"/>
        <v>64.617000000000004</v>
      </c>
      <c r="J193" s="309">
        <f t="shared" si="37"/>
        <v>-2.651374197951395E-2</v>
      </c>
      <c r="K193" s="329">
        <v>64.617000000000004</v>
      </c>
      <c r="L193" s="311">
        <f t="shared" si="38"/>
        <v>64.617000000000004</v>
      </c>
      <c r="M193" s="312">
        <f t="shared" si="39"/>
        <v>-2.651374197951395E-2</v>
      </c>
      <c r="N193" s="326"/>
      <c r="P193" s="321"/>
      <c r="Q193" s="321"/>
      <c r="R193" s="331"/>
      <c r="S193" s="308"/>
      <c r="T193" s="301"/>
      <c r="U193" s="301"/>
      <c r="V193" s="302"/>
      <c r="W193" s="309"/>
      <c r="X193" s="329"/>
      <c r="Y193" s="311"/>
      <c r="Z193" s="312"/>
      <c r="AA193" s="326"/>
      <c r="AB193" s="332"/>
      <c r="AC193" s="321"/>
      <c r="AD193" s="321"/>
      <c r="AE193" s="331"/>
      <c r="AF193" s="308"/>
      <c r="AG193" s="301"/>
      <c r="AH193" s="301"/>
      <c r="AI193" s="302"/>
      <c r="AJ193" s="309"/>
      <c r="AK193" s="329"/>
      <c r="AL193" s="311"/>
      <c r="AM193" s="312"/>
      <c r="AN193" s="326"/>
      <c r="AO193" s="332"/>
      <c r="AP193" s="321"/>
      <c r="AQ193" s="321"/>
      <c r="AR193" s="331"/>
      <c r="AS193" s="308"/>
      <c r="AT193" s="301"/>
      <c r="AU193" s="301"/>
      <c r="AV193" s="302"/>
      <c r="AW193" s="309"/>
      <c r="AX193" s="329"/>
      <c r="AY193" s="311"/>
      <c r="AZ193" s="312"/>
      <c r="BA193" s="326"/>
      <c r="BB193" s="332"/>
      <c r="BC193" s="321"/>
      <c r="BD193" s="321"/>
      <c r="BE193" s="331"/>
      <c r="BF193" s="308"/>
      <c r="BG193" s="301"/>
      <c r="BH193" s="301"/>
      <c r="BI193" s="302"/>
      <c r="BJ193" s="309"/>
      <c r="BK193" s="329"/>
      <c r="BL193" s="311"/>
      <c r="BM193" s="312"/>
      <c r="BN193" s="326"/>
      <c r="BO193" s="332"/>
      <c r="BP193" s="321"/>
      <c r="BQ193" s="321"/>
      <c r="BR193" s="331"/>
      <c r="BS193" s="308"/>
      <c r="BT193" s="301"/>
      <c r="BU193" s="301"/>
      <c r="BV193" s="302"/>
      <c r="BW193" s="309"/>
      <c r="BX193" s="329"/>
      <c r="BY193" s="311"/>
      <c r="BZ193" s="312"/>
      <c r="CA193" s="326"/>
      <c r="CB193" s="332"/>
      <c r="CC193" s="321"/>
      <c r="CD193" s="321"/>
      <c r="CE193" s="331"/>
      <c r="CF193" s="308"/>
      <c r="CG193" s="301"/>
      <c r="CH193" s="301"/>
      <c r="CI193" s="302"/>
      <c r="CJ193" s="309"/>
      <c r="CK193" s="329"/>
      <c r="CL193" s="311"/>
      <c r="CM193" s="312"/>
      <c r="CN193" s="326"/>
      <c r="CO193" s="332"/>
      <c r="CP193" s="321"/>
      <c r="CQ193" s="321"/>
      <c r="CR193" s="331"/>
      <c r="CS193" s="308"/>
      <c r="CT193" s="301"/>
      <c r="CU193" s="301"/>
      <c r="CV193" s="302"/>
      <c r="CW193" s="309"/>
      <c r="CX193" s="329"/>
      <c r="CY193" s="311"/>
      <c r="CZ193" s="312"/>
      <c r="DA193" s="326"/>
      <c r="DB193" s="332"/>
      <c r="DC193" s="321"/>
      <c r="DD193" s="321"/>
      <c r="DE193" s="331"/>
      <c r="DF193" s="308"/>
      <c r="DG193" s="301"/>
      <c r="DH193" s="301"/>
      <c r="DI193" s="302"/>
      <c r="DJ193" s="309"/>
      <c r="DK193" s="329"/>
      <c r="DL193" s="311"/>
      <c r="DM193" s="312"/>
      <c r="DN193" s="326"/>
      <c r="DO193" s="332"/>
      <c r="DP193" s="321"/>
      <c r="DQ193" s="321"/>
      <c r="DR193" s="331"/>
      <c r="DS193" s="308"/>
      <c r="DT193" s="301"/>
      <c r="DU193" s="301"/>
      <c r="DV193" s="302"/>
      <c r="DW193" s="309"/>
      <c r="DX193" s="329"/>
      <c r="DY193" s="311"/>
      <c r="DZ193" s="312"/>
      <c r="EA193" s="326"/>
      <c r="EB193" s="332"/>
      <c r="EC193" s="321"/>
      <c r="ED193" s="321"/>
      <c r="EE193" s="331"/>
      <c r="EF193" s="308"/>
      <c r="EG193" s="301"/>
      <c r="EH193" s="301"/>
      <c r="EI193" s="302"/>
      <c r="EJ193" s="309"/>
      <c r="EK193" s="329"/>
      <c r="EL193" s="311"/>
      <c r="EM193" s="312"/>
      <c r="EN193" s="326"/>
      <c r="EO193" s="332"/>
      <c r="EP193" s="321"/>
      <c r="EQ193" s="321"/>
      <c r="ER193" s="331"/>
      <c r="ES193" s="308"/>
      <c r="ET193" s="301"/>
      <c r="EU193" s="301"/>
      <c r="EV193" s="302"/>
      <c r="EW193" s="309"/>
      <c r="EX193" s="329"/>
      <c r="EY193" s="311"/>
      <c r="EZ193" s="312"/>
      <c r="FA193" s="326"/>
      <c r="FB193" s="332"/>
      <c r="FC193" s="321"/>
      <c r="FD193" s="321"/>
      <c r="FE193" s="331"/>
      <c r="FF193" s="308"/>
      <c r="FG193" s="301"/>
      <c r="FH193" s="301"/>
      <c r="FI193" s="302"/>
      <c r="FJ193" s="309"/>
      <c r="FK193" s="329"/>
      <c r="FL193" s="311"/>
      <c r="FM193" s="312"/>
      <c r="FN193" s="326"/>
      <c r="FO193" s="332"/>
      <c r="FP193" s="321"/>
      <c r="FQ193" s="321"/>
      <c r="FR193" s="331"/>
      <c r="FS193" s="308"/>
      <c r="FT193" s="301"/>
      <c r="FU193" s="301"/>
      <c r="FV193" s="302"/>
      <c r="FW193" s="309"/>
      <c r="FX193" s="329"/>
      <c r="FY193" s="311"/>
      <c r="FZ193" s="312"/>
      <c r="GA193" s="326"/>
      <c r="GB193" s="332"/>
      <c r="GC193" s="321"/>
      <c r="GD193" s="321"/>
      <c r="GE193" s="331"/>
      <c r="GF193" s="308"/>
      <c r="GG193" s="301"/>
      <c r="GH193" s="301"/>
      <c r="GI193" s="302"/>
      <c r="GJ193" s="309"/>
      <c r="GK193" s="329"/>
      <c r="GL193" s="311"/>
      <c r="GM193" s="312"/>
      <c r="GN193" s="326"/>
      <c r="GO193" s="332"/>
      <c r="GP193" s="321"/>
      <c r="GQ193" s="321"/>
      <c r="GR193" s="331"/>
      <c r="GS193" s="308"/>
      <c r="GT193" s="301"/>
      <c r="GU193" s="301"/>
      <c r="GV193" s="302"/>
      <c r="GW193" s="309"/>
      <c r="GX193" s="329"/>
      <c r="GY193" s="311"/>
      <c r="GZ193" s="312"/>
      <c r="HA193" s="326"/>
      <c r="HB193" s="332"/>
      <c r="HC193" s="321"/>
      <c r="HD193" s="321"/>
      <c r="HE193" s="331"/>
      <c r="HF193" s="308"/>
      <c r="HG193" s="301"/>
      <c r="HH193" s="301"/>
      <c r="HI193" s="302"/>
      <c r="HJ193" s="309"/>
      <c r="HK193" s="329"/>
      <c r="HL193" s="311"/>
      <c r="HM193" s="312"/>
      <c r="HN193" s="326"/>
      <c r="HO193" s="332"/>
      <c r="HP193" s="321"/>
      <c r="HQ193" s="321"/>
      <c r="HR193" s="331"/>
      <c r="HS193" s="308"/>
      <c r="HT193" s="301"/>
      <c r="HU193" s="301"/>
      <c r="HV193" s="302"/>
      <c r="HW193" s="309"/>
      <c r="HX193" s="329"/>
      <c r="HY193" s="311"/>
      <c r="HZ193" s="312"/>
      <c r="IA193" s="326"/>
      <c r="IB193" s="332"/>
      <c r="IC193" s="321"/>
      <c r="ID193" s="321"/>
      <c r="IE193" s="331"/>
      <c r="IF193" s="308"/>
      <c r="IG193" s="301"/>
      <c r="IH193" s="301"/>
      <c r="II193" s="302"/>
      <c r="IJ193" s="309"/>
      <c r="IK193" s="329"/>
      <c r="IL193" s="311"/>
      <c r="IM193" s="312"/>
      <c r="IN193" s="326"/>
      <c r="IO193" s="332"/>
      <c r="IP193" s="321"/>
      <c r="IQ193" s="321"/>
      <c r="IR193" s="331"/>
      <c r="IS193" s="308"/>
      <c r="IT193" s="301"/>
      <c r="IU193" s="301"/>
      <c r="IV193" s="302"/>
      <c r="IW193" s="309"/>
      <c r="IX193" s="329"/>
      <c r="IY193" s="311"/>
      <c r="IZ193" s="312"/>
      <c r="JA193" s="326"/>
      <c r="JB193" s="332"/>
      <c r="JC193" s="321"/>
      <c r="JD193" s="321"/>
      <c r="JE193" s="331"/>
      <c r="JF193" s="308"/>
      <c r="JG193" s="301"/>
      <c r="JH193" s="301"/>
      <c r="JI193" s="302"/>
      <c r="JJ193" s="309"/>
      <c r="JK193" s="329"/>
      <c r="JL193" s="311"/>
      <c r="JM193" s="312"/>
      <c r="JN193" s="326"/>
      <c r="JO193" s="332"/>
      <c r="JP193" s="321"/>
      <c r="JQ193" s="321"/>
      <c r="JR193" s="331"/>
      <c r="JS193" s="308"/>
      <c r="JT193" s="301"/>
      <c r="JU193" s="301"/>
      <c r="JV193" s="302"/>
      <c r="JW193" s="309"/>
      <c r="JX193" s="329"/>
      <c r="JY193" s="311"/>
      <c r="JZ193" s="312"/>
      <c r="KA193" s="326"/>
      <c r="KB193" s="332"/>
      <c r="KC193" s="321"/>
      <c r="KD193" s="321"/>
      <c r="KE193" s="331"/>
      <c r="KF193" s="308"/>
      <c r="KG193" s="301"/>
      <c r="KH193" s="301"/>
      <c r="KI193" s="302"/>
      <c r="KJ193" s="309"/>
      <c r="KK193" s="329"/>
      <c r="KL193" s="311"/>
      <c r="KM193" s="312"/>
      <c r="KN193" s="326"/>
      <c r="KO193" s="332"/>
      <c r="KP193" s="321"/>
      <c r="KQ193" s="321"/>
      <c r="KR193" s="331"/>
      <c r="KS193" s="308"/>
      <c r="KT193" s="301"/>
      <c r="KU193" s="301"/>
      <c r="KV193" s="302"/>
      <c r="KW193" s="309"/>
      <c r="KX193" s="329"/>
      <c r="KY193" s="311"/>
      <c r="KZ193" s="312"/>
      <c r="LA193" s="326"/>
      <c r="LB193" s="332"/>
      <c r="LC193" s="321"/>
      <c r="LD193" s="321"/>
      <c r="LE193" s="331"/>
      <c r="LF193" s="308"/>
      <c r="LG193" s="301"/>
      <c r="LH193" s="301"/>
      <c r="LI193" s="302"/>
      <c r="LJ193" s="309"/>
      <c r="LK193" s="329"/>
      <c r="LL193" s="311"/>
      <c r="LM193" s="312"/>
      <c r="LN193" s="326"/>
      <c r="LO193" s="332"/>
      <c r="LP193" s="321"/>
      <c r="LQ193" s="321"/>
      <c r="LR193" s="331"/>
      <c r="LS193" s="308"/>
      <c r="LT193" s="301"/>
      <c r="LU193" s="301"/>
      <c r="LV193" s="302"/>
      <c r="LW193" s="309"/>
      <c r="LX193" s="329"/>
      <c r="LY193" s="311"/>
      <c r="LZ193" s="312"/>
      <c r="MA193" s="326"/>
      <c r="MB193" s="332"/>
      <c r="MC193" s="321"/>
      <c r="MD193" s="321"/>
      <c r="ME193" s="331"/>
      <c r="MF193" s="308"/>
      <c r="MG193" s="301"/>
      <c r="MH193" s="301"/>
      <c r="MI193" s="302"/>
      <c r="MJ193" s="309"/>
      <c r="MK193" s="329"/>
      <c r="ML193" s="311"/>
      <c r="MM193" s="312"/>
      <c r="MN193" s="326"/>
      <c r="MO193" s="332"/>
      <c r="MP193" s="321"/>
      <c r="MQ193" s="321"/>
      <c r="MR193" s="331"/>
      <c r="MS193" s="308"/>
      <c r="MT193" s="301"/>
      <c r="MU193" s="301"/>
      <c r="MV193" s="302"/>
      <c r="MW193" s="309"/>
      <c r="MX193" s="329"/>
      <c r="MY193" s="311"/>
      <c r="MZ193" s="312"/>
      <c r="NA193" s="326"/>
      <c r="NB193" s="332"/>
      <c r="NC193" s="321"/>
      <c r="ND193" s="321"/>
      <c r="NE193" s="331"/>
      <c r="NF193" s="308"/>
      <c r="NG193" s="301"/>
      <c r="NH193" s="301"/>
      <c r="NI193" s="302"/>
      <c r="NJ193" s="309"/>
      <c r="NK193" s="329"/>
      <c r="NL193" s="311"/>
      <c r="NM193" s="312"/>
      <c r="NN193" s="326"/>
      <c r="NO193" s="332"/>
      <c r="NP193" s="321"/>
      <c r="NQ193" s="321"/>
      <c r="NR193" s="331"/>
      <c r="NS193" s="308"/>
      <c r="NT193" s="301"/>
      <c r="NU193" s="301"/>
      <c r="NV193" s="302"/>
      <c r="NW193" s="309"/>
      <c r="NX193" s="329"/>
      <c r="NY193" s="311"/>
      <c r="NZ193" s="312"/>
      <c r="OA193" s="326"/>
      <c r="OB193" s="332"/>
      <c r="OC193" s="321"/>
      <c r="OD193" s="321"/>
      <c r="OE193" s="331"/>
      <c r="OF193" s="308"/>
      <c r="OG193" s="301"/>
      <c r="OH193" s="301"/>
      <c r="OI193" s="302"/>
      <c r="OJ193" s="309"/>
      <c r="OK193" s="329"/>
      <c r="OL193" s="311"/>
      <c r="OM193" s="312"/>
      <c r="ON193" s="326"/>
      <c r="OO193" s="332"/>
      <c r="OP193" s="321"/>
      <c r="OQ193" s="321"/>
      <c r="OR193" s="331"/>
      <c r="OS193" s="308"/>
      <c r="OT193" s="301"/>
      <c r="OU193" s="301"/>
      <c r="OV193" s="302"/>
      <c r="OW193" s="309"/>
      <c r="OX193" s="329"/>
      <c r="OY193" s="311"/>
      <c r="OZ193" s="312"/>
      <c r="PA193" s="326"/>
      <c r="PB193" s="332"/>
      <c r="PC193" s="321"/>
      <c r="PD193" s="321"/>
      <c r="PE193" s="331"/>
      <c r="PF193" s="308"/>
      <c r="PG193" s="301"/>
      <c r="PH193" s="301"/>
      <c r="PI193" s="302"/>
      <c r="PJ193" s="309"/>
      <c r="PK193" s="329"/>
      <c r="PL193" s="311"/>
      <c r="PM193" s="312"/>
      <c r="PN193" s="326"/>
      <c r="PO193" s="332"/>
      <c r="PP193" s="321"/>
      <c r="PQ193" s="321"/>
      <c r="PR193" s="331"/>
      <c r="PS193" s="308"/>
      <c r="PT193" s="301"/>
      <c r="PU193" s="301"/>
      <c r="PV193" s="302"/>
      <c r="PW193" s="309"/>
      <c r="PX193" s="329"/>
      <c r="PY193" s="311"/>
      <c r="PZ193" s="312"/>
      <c r="QA193" s="326"/>
      <c r="QB193" s="332"/>
      <c r="QC193" s="321"/>
      <c r="QD193" s="321"/>
      <c r="QE193" s="331"/>
      <c r="QF193" s="308"/>
      <c r="QG193" s="301"/>
      <c r="QH193" s="301"/>
      <c r="QI193" s="302"/>
      <c r="QJ193" s="309"/>
      <c r="QK193" s="329"/>
      <c r="QL193" s="311"/>
      <c r="QM193" s="312"/>
      <c r="QN193" s="326"/>
      <c r="QO193" s="332"/>
      <c r="QP193" s="321"/>
      <c r="QQ193" s="321"/>
      <c r="QR193" s="331"/>
      <c r="QS193" s="308"/>
      <c r="QT193" s="301"/>
      <c r="QU193" s="301"/>
      <c r="QV193" s="302"/>
      <c r="QW193" s="309"/>
      <c r="QX193" s="329"/>
      <c r="QY193" s="311"/>
      <c r="QZ193" s="312"/>
      <c r="RA193" s="326"/>
      <c r="RB193" s="332"/>
      <c r="RC193" s="321"/>
      <c r="RD193" s="321"/>
      <c r="RE193" s="331"/>
      <c r="RF193" s="308"/>
      <c r="RG193" s="301"/>
      <c r="RH193" s="301"/>
      <c r="RI193" s="302"/>
      <c r="RJ193" s="309"/>
      <c r="RK193" s="329"/>
      <c r="RL193" s="311"/>
      <c r="RM193" s="312"/>
      <c r="RN193" s="326"/>
      <c r="RO193" s="332"/>
      <c r="RP193" s="321"/>
      <c r="RQ193" s="321"/>
      <c r="RR193" s="331"/>
      <c r="RS193" s="308"/>
      <c r="RT193" s="301"/>
      <c r="RU193" s="301"/>
      <c r="RV193" s="302"/>
      <c r="RW193" s="309"/>
      <c r="RX193" s="329"/>
      <c r="RY193" s="311"/>
      <c r="RZ193" s="312"/>
      <c r="SA193" s="326"/>
      <c r="SB193" s="332"/>
      <c r="SC193" s="321"/>
      <c r="SD193" s="321"/>
      <c r="SE193" s="331"/>
      <c r="SF193" s="308"/>
      <c r="SG193" s="301"/>
      <c r="SH193" s="301"/>
      <c r="SI193" s="302"/>
      <c r="SJ193" s="309"/>
      <c r="SK193" s="329"/>
      <c r="SL193" s="311"/>
      <c r="SM193" s="312"/>
      <c r="SN193" s="326"/>
      <c r="SO193" s="332"/>
      <c r="SP193" s="321"/>
      <c r="SQ193" s="321"/>
      <c r="SR193" s="331"/>
      <c r="SS193" s="308"/>
      <c r="ST193" s="301"/>
      <c r="SU193" s="301"/>
      <c r="SV193" s="302"/>
      <c r="SW193" s="309"/>
      <c r="SX193" s="329"/>
      <c r="SY193" s="311"/>
      <c r="SZ193" s="312"/>
      <c r="TA193" s="326"/>
      <c r="TB193" s="332"/>
      <c r="TC193" s="321"/>
      <c r="TD193" s="321"/>
      <c r="TE193" s="331"/>
      <c r="TF193" s="308"/>
      <c r="TG193" s="301"/>
      <c r="TH193" s="301"/>
      <c r="TI193" s="302"/>
      <c r="TJ193" s="309"/>
      <c r="TK193" s="329"/>
      <c r="TL193" s="311"/>
      <c r="TM193" s="312"/>
      <c r="TN193" s="326"/>
      <c r="TO193" s="332"/>
      <c r="TP193" s="321"/>
      <c r="TQ193" s="321"/>
      <c r="TR193" s="331"/>
      <c r="TS193" s="308"/>
      <c r="TT193" s="301"/>
      <c r="TU193" s="301"/>
      <c r="TV193" s="302"/>
      <c r="TW193" s="309"/>
      <c r="TX193" s="329"/>
      <c r="TY193" s="311"/>
      <c r="TZ193" s="312"/>
      <c r="UA193" s="326"/>
      <c r="UB193" s="332"/>
      <c r="UC193" s="321"/>
      <c r="UD193" s="321"/>
      <c r="UE193" s="331"/>
      <c r="UF193" s="308"/>
      <c r="UG193" s="301"/>
      <c r="UH193" s="301"/>
      <c r="UI193" s="302"/>
      <c r="UJ193" s="309"/>
      <c r="UK193" s="329"/>
      <c r="UL193" s="311"/>
      <c r="UM193" s="312"/>
      <c r="UN193" s="326"/>
      <c r="UO193" s="332"/>
      <c r="UP193" s="321"/>
      <c r="UQ193" s="321"/>
      <c r="UR193" s="331"/>
      <c r="US193" s="308"/>
      <c r="UT193" s="301"/>
      <c r="UU193" s="301"/>
      <c r="UV193" s="302"/>
      <c r="UW193" s="309"/>
      <c r="UX193" s="329"/>
      <c r="UY193" s="311"/>
      <c r="UZ193" s="312"/>
      <c r="VA193" s="326"/>
      <c r="VB193" s="332"/>
      <c r="VC193" s="321"/>
      <c r="VD193" s="321"/>
      <c r="VE193" s="331"/>
      <c r="VF193" s="308"/>
      <c r="VG193" s="301"/>
      <c r="VH193" s="301"/>
      <c r="VI193" s="302"/>
      <c r="VJ193" s="309"/>
      <c r="VK193" s="329"/>
      <c r="VL193" s="311"/>
      <c r="VM193" s="312"/>
      <c r="VN193" s="326"/>
      <c r="VO193" s="332"/>
      <c r="VP193" s="321"/>
      <c r="VQ193" s="321"/>
      <c r="VR193" s="331"/>
      <c r="VS193" s="308"/>
      <c r="VT193" s="301"/>
      <c r="VU193" s="301"/>
      <c r="VV193" s="302"/>
      <c r="VW193" s="309"/>
      <c r="VX193" s="329"/>
      <c r="VY193" s="311"/>
      <c r="VZ193" s="312"/>
      <c r="WA193" s="326"/>
      <c r="WB193" s="332"/>
      <c r="WC193" s="321"/>
      <c r="WD193" s="321"/>
      <c r="WE193" s="331"/>
      <c r="WF193" s="308"/>
      <c r="WG193" s="301"/>
      <c r="WH193" s="301"/>
      <c r="WI193" s="302"/>
      <c r="WJ193" s="309"/>
      <c r="WK193" s="329"/>
      <c r="WL193" s="311"/>
      <c r="WM193" s="312"/>
      <c r="WN193" s="326"/>
      <c r="WO193" s="332"/>
      <c r="WP193" s="321"/>
      <c r="WQ193" s="321"/>
      <c r="WR193" s="331"/>
      <c r="WS193" s="308"/>
      <c r="WT193" s="301"/>
      <c r="WU193" s="301"/>
      <c r="WV193" s="302"/>
      <c r="WW193" s="309"/>
      <c r="WX193" s="329"/>
      <c r="WY193" s="311"/>
      <c r="WZ193" s="312"/>
      <c r="XA193" s="326"/>
      <c r="XB193" s="332"/>
      <c r="XC193" s="321"/>
      <c r="XD193" s="321"/>
      <c r="XE193" s="331"/>
      <c r="XF193" s="308"/>
      <c r="XG193" s="301"/>
      <c r="XH193" s="301"/>
      <c r="XI193" s="302"/>
      <c r="XJ193" s="309"/>
      <c r="XK193" s="329"/>
      <c r="XL193" s="311"/>
      <c r="XM193" s="312"/>
      <c r="XN193" s="326"/>
      <c r="XO193" s="332"/>
      <c r="XP193" s="321"/>
      <c r="XQ193" s="321"/>
      <c r="XR193" s="331"/>
      <c r="XS193" s="308"/>
      <c r="XT193" s="301"/>
      <c r="XU193" s="301"/>
      <c r="XV193" s="302"/>
      <c r="XW193" s="309"/>
      <c r="XX193" s="329"/>
      <c r="XY193" s="311"/>
      <c r="XZ193" s="312"/>
      <c r="YA193" s="326"/>
      <c r="YB193" s="332"/>
      <c r="YC193" s="321"/>
      <c r="YD193" s="321"/>
      <c r="YE193" s="331"/>
      <c r="YF193" s="308"/>
      <c r="YG193" s="301"/>
      <c r="YH193" s="301"/>
      <c r="YI193" s="302"/>
      <c r="YJ193" s="309"/>
      <c r="YK193" s="329"/>
      <c r="YL193" s="311"/>
      <c r="YM193" s="312"/>
      <c r="YN193" s="326"/>
      <c r="YO193" s="332"/>
      <c r="YP193" s="321"/>
      <c r="YQ193" s="321"/>
      <c r="YR193" s="331"/>
      <c r="YS193" s="308"/>
      <c r="YT193" s="301"/>
      <c r="YU193" s="301"/>
      <c r="YV193" s="302"/>
      <c r="YW193" s="309"/>
      <c r="YX193" s="329"/>
      <c r="YY193" s="311"/>
      <c r="YZ193" s="312"/>
      <c r="ZA193" s="326"/>
      <c r="ZB193" s="332"/>
      <c r="ZC193" s="321"/>
      <c r="ZD193" s="321"/>
      <c r="ZE193" s="331"/>
      <c r="ZF193" s="308"/>
      <c r="ZG193" s="301"/>
      <c r="ZH193" s="301"/>
      <c r="ZI193" s="302"/>
      <c r="ZJ193" s="309"/>
      <c r="ZK193" s="329"/>
      <c r="ZL193" s="311"/>
      <c r="ZM193" s="312"/>
      <c r="ZN193" s="326"/>
      <c r="ZO193" s="332"/>
      <c r="ZP193" s="321"/>
      <c r="ZQ193" s="321"/>
      <c r="ZR193" s="331"/>
      <c r="ZS193" s="308"/>
      <c r="ZT193" s="301"/>
      <c r="ZU193" s="301"/>
      <c r="ZV193" s="302"/>
      <c r="ZW193" s="309"/>
      <c r="ZX193" s="329"/>
      <c r="ZY193" s="311"/>
      <c r="ZZ193" s="312"/>
      <c r="AAA193" s="326"/>
      <c r="AAB193" s="332"/>
      <c r="AAC193" s="321"/>
      <c r="AAD193" s="321"/>
      <c r="AAE193" s="331"/>
      <c r="AAF193" s="308"/>
      <c r="AAG193" s="301"/>
      <c r="AAH193" s="301"/>
      <c r="AAI193" s="302"/>
      <c r="AAJ193" s="309"/>
      <c r="AAK193" s="329"/>
      <c r="AAL193" s="311"/>
      <c r="AAM193" s="312"/>
      <c r="AAN193" s="326"/>
      <c r="AAO193" s="332"/>
      <c r="AAP193" s="321"/>
      <c r="AAQ193" s="321"/>
      <c r="AAR193" s="331"/>
      <c r="AAS193" s="308"/>
      <c r="AAT193" s="301"/>
      <c r="AAU193" s="301"/>
      <c r="AAV193" s="302"/>
      <c r="AAW193" s="309"/>
      <c r="AAX193" s="329"/>
      <c r="AAY193" s="311"/>
      <c r="AAZ193" s="312"/>
      <c r="ABA193" s="326"/>
      <c r="ABB193" s="332"/>
      <c r="ABC193" s="321"/>
      <c r="ABD193" s="321"/>
      <c r="ABE193" s="331"/>
      <c r="ABF193" s="308"/>
      <c r="ABG193" s="301"/>
      <c r="ABH193" s="301"/>
      <c r="ABI193" s="302"/>
      <c r="ABJ193" s="309"/>
      <c r="ABK193" s="329"/>
      <c r="ABL193" s="311"/>
      <c r="ABM193" s="312"/>
      <c r="ABN193" s="326"/>
      <c r="ABO193" s="332"/>
      <c r="ABP193" s="321"/>
      <c r="ABQ193" s="321"/>
      <c r="ABR193" s="331"/>
      <c r="ABS193" s="308"/>
      <c r="ABT193" s="301"/>
      <c r="ABU193" s="301"/>
      <c r="ABV193" s="302"/>
      <c r="ABW193" s="309"/>
      <c r="ABX193" s="329"/>
      <c r="ABY193" s="311"/>
      <c r="ABZ193" s="312"/>
      <c r="ACA193" s="326"/>
      <c r="ACB193" s="332"/>
      <c r="ACC193" s="321"/>
      <c r="ACD193" s="321"/>
      <c r="ACE193" s="331"/>
      <c r="ACF193" s="308"/>
      <c r="ACG193" s="301"/>
      <c r="ACH193" s="301"/>
      <c r="ACI193" s="302"/>
      <c r="ACJ193" s="309"/>
      <c r="ACK193" s="329"/>
      <c r="ACL193" s="311"/>
      <c r="ACM193" s="312"/>
      <c r="ACN193" s="326"/>
      <c r="ACO193" s="332"/>
      <c r="ACP193" s="321"/>
      <c r="ACQ193" s="321"/>
      <c r="ACR193" s="331"/>
      <c r="ACS193" s="308"/>
      <c r="ACT193" s="301"/>
      <c r="ACU193" s="301"/>
      <c r="ACV193" s="302"/>
      <c r="ACW193" s="309"/>
      <c r="ACX193" s="329"/>
      <c r="ACY193" s="311"/>
      <c r="ACZ193" s="312"/>
      <c r="ADA193" s="326"/>
      <c r="ADB193" s="332"/>
      <c r="ADC193" s="321"/>
      <c r="ADD193" s="321"/>
      <c r="ADE193" s="331"/>
      <c r="ADF193" s="308"/>
      <c r="ADG193" s="301"/>
      <c r="ADH193" s="301"/>
      <c r="ADI193" s="302"/>
      <c r="ADJ193" s="309"/>
      <c r="ADK193" s="329"/>
      <c r="ADL193" s="311"/>
      <c r="ADM193" s="312"/>
      <c r="ADN193" s="326"/>
      <c r="ADO193" s="332"/>
      <c r="ADP193" s="321"/>
      <c r="ADQ193" s="321"/>
      <c r="ADR193" s="331"/>
      <c r="ADS193" s="308"/>
      <c r="ADT193" s="301"/>
      <c r="ADU193" s="301"/>
      <c r="ADV193" s="302"/>
      <c r="ADW193" s="309"/>
      <c r="ADX193" s="329"/>
      <c r="ADY193" s="311"/>
      <c r="ADZ193" s="312"/>
      <c r="AEA193" s="326"/>
      <c r="AEB193" s="332"/>
      <c r="AEC193" s="321"/>
      <c r="AED193" s="321"/>
      <c r="AEE193" s="331"/>
      <c r="AEF193" s="308"/>
      <c r="AEG193" s="301"/>
      <c r="AEH193" s="301"/>
      <c r="AEI193" s="302"/>
      <c r="AEJ193" s="309"/>
      <c r="AEK193" s="329"/>
      <c r="AEL193" s="311"/>
      <c r="AEM193" s="312"/>
      <c r="AEN193" s="326"/>
      <c r="AEO193" s="332"/>
      <c r="AEP193" s="321"/>
      <c r="AEQ193" s="321"/>
      <c r="AER193" s="331"/>
      <c r="AES193" s="308"/>
      <c r="AET193" s="301"/>
      <c r="AEU193" s="301"/>
      <c r="AEV193" s="302"/>
      <c r="AEW193" s="309"/>
      <c r="AEX193" s="329"/>
      <c r="AEY193" s="311"/>
      <c r="AEZ193" s="312"/>
      <c r="AFA193" s="326"/>
      <c r="AFB193" s="332"/>
      <c r="AFC193" s="321"/>
      <c r="AFD193" s="321"/>
      <c r="AFE193" s="331"/>
      <c r="AFF193" s="308"/>
      <c r="AFG193" s="301"/>
      <c r="AFH193" s="301"/>
      <c r="AFI193" s="302"/>
      <c r="AFJ193" s="309"/>
      <c r="AFK193" s="329"/>
      <c r="AFL193" s="311"/>
      <c r="AFM193" s="312"/>
      <c r="AFN193" s="326"/>
      <c r="AFO193" s="332"/>
      <c r="AFP193" s="321"/>
      <c r="AFQ193" s="321"/>
      <c r="AFR193" s="331"/>
      <c r="AFS193" s="308"/>
      <c r="AFT193" s="301"/>
      <c r="AFU193" s="301"/>
      <c r="AFV193" s="302"/>
      <c r="AFW193" s="309"/>
      <c r="AFX193" s="329"/>
      <c r="AFY193" s="311"/>
      <c r="AFZ193" s="312"/>
      <c r="AGA193" s="326"/>
      <c r="AGB193" s="332"/>
      <c r="AGC193" s="321"/>
      <c r="AGD193" s="321"/>
      <c r="AGE193" s="331"/>
      <c r="AGF193" s="308"/>
      <c r="AGG193" s="301"/>
      <c r="AGH193" s="301"/>
      <c r="AGI193" s="302"/>
      <c r="AGJ193" s="309"/>
      <c r="AGK193" s="329"/>
      <c r="AGL193" s="311"/>
      <c r="AGM193" s="312"/>
      <c r="AGN193" s="326"/>
      <c r="AGO193" s="332"/>
      <c r="AGP193" s="321"/>
      <c r="AGQ193" s="321"/>
      <c r="AGR193" s="331"/>
      <c r="AGS193" s="308"/>
      <c r="AGT193" s="301"/>
      <c r="AGU193" s="301"/>
      <c r="AGV193" s="302"/>
      <c r="AGW193" s="309"/>
      <c r="AGX193" s="329"/>
      <c r="AGY193" s="311"/>
      <c r="AGZ193" s="312"/>
      <c r="AHA193" s="326"/>
      <c r="AHB193" s="332"/>
      <c r="AHC193" s="321"/>
      <c r="AHD193" s="321"/>
      <c r="AHE193" s="331"/>
      <c r="AHF193" s="308"/>
      <c r="AHG193" s="301"/>
      <c r="AHH193" s="301"/>
      <c r="AHI193" s="302"/>
      <c r="AHJ193" s="309"/>
      <c r="AHK193" s="329"/>
      <c r="AHL193" s="311"/>
      <c r="AHM193" s="312"/>
      <c r="AHN193" s="326"/>
      <c r="AHO193" s="332"/>
      <c r="AHP193" s="321"/>
      <c r="AHQ193" s="321"/>
      <c r="AHR193" s="331"/>
      <c r="AHS193" s="308"/>
      <c r="AHT193" s="301"/>
      <c r="AHU193" s="301"/>
      <c r="AHV193" s="302"/>
      <c r="AHW193" s="309"/>
      <c r="AHX193" s="329"/>
      <c r="AHY193" s="311"/>
      <c r="AHZ193" s="312"/>
      <c r="AIA193" s="326"/>
      <c r="AIB193" s="332"/>
      <c r="AIC193" s="321"/>
      <c r="AID193" s="321"/>
      <c r="AIE193" s="331"/>
      <c r="AIF193" s="308"/>
      <c r="AIG193" s="301"/>
      <c r="AIH193" s="301"/>
      <c r="AII193" s="302"/>
      <c r="AIJ193" s="309"/>
      <c r="AIK193" s="329"/>
      <c r="AIL193" s="311"/>
      <c r="AIM193" s="312"/>
      <c r="AIN193" s="326"/>
      <c r="AIO193" s="332"/>
      <c r="AIP193" s="321"/>
      <c r="AIQ193" s="321"/>
      <c r="AIR193" s="331"/>
      <c r="AIS193" s="308"/>
      <c r="AIT193" s="301"/>
      <c r="AIU193" s="301"/>
      <c r="AIV193" s="302"/>
      <c r="AIW193" s="309"/>
      <c r="AIX193" s="329"/>
      <c r="AIY193" s="311"/>
      <c r="AIZ193" s="312"/>
      <c r="AJA193" s="326"/>
      <c r="AJB193" s="332"/>
      <c r="AJC193" s="321"/>
      <c r="AJD193" s="321"/>
      <c r="AJE193" s="331"/>
      <c r="AJF193" s="308"/>
      <c r="AJG193" s="301"/>
      <c r="AJH193" s="301"/>
      <c r="AJI193" s="302"/>
      <c r="AJJ193" s="309"/>
      <c r="AJK193" s="329"/>
      <c r="AJL193" s="311"/>
      <c r="AJM193" s="312"/>
      <c r="AJN193" s="326"/>
      <c r="AJO193" s="332"/>
      <c r="AJP193" s="321"/>
      <c r="AJQ193" s="321"/>
      <c r="AJR193" s="331"/>
      <c r="AJS193" s="308"/>
      <c r="AJT193" s="301"/>
      <c r="AJU193" s="301"/>
      <c r="AJV193" s="302"/>
      <c r="AJW193" s="309"/>
      <c r="AJX193" s="329"/>
      <c r="AJY193" s="311"/>
      <c r="AJZ193" s="312"/>
      <c r="AKA193" s="326"/>
      <c r="AKB193" s="332"/>
      <c r="AKC193" s="321"/>
      <c r="AKD193" s="321"/>
      <c r="AKE193" s="331"/>
      <c r="AKF193" s="308"/>
      <c r="AKG193" s="301"/>
      <c r="AKH193" s="301"/>
      <c r="AKI193" s="302"/>
      <c r="AKJ193" s="309"/>
      <c r="AKK193" s="329"/>
      <c r="AKL193" s="311"/>
      <c r="AKM193" s="312"/>
      <c r="AKN193" s="326"/>
      <c r="AKO193" s="332"/>
      <c r="AKP193" s="321"/>
      <c r="AKQ193" s="321"/>
      <c r="AKR193" s="331"/>
      <c r="AKS193" s="308"/>
      <c r="AKT193" s="301"/>
      <c r="AKU193" s="301"/>
      <c r="AKV193" s="302"/>
      <c r="AKW193" s="309"/>
      <c r="AKX193" s="329"/>
      <c r="AKY193" s="311"/>
      <c r="AKZ193" s="312"/>
      <c r="ALA193" s="326"/>
      <c r="ALB193" s="332"/>
      <c r="ALC193" s="321"/>
      <c r="ALD193" s="321"/>
      <c r="ALE193" s="331"/>
      <c r="ALF193" s="308"/>
      <c r="ALG193" s="301"/>
      <c r="ALH193" s="301"/>
      <c r="ALI193" s="302"/>
      <c r="ALJ193" s="309"/>
      <c r="ALK193" s="329"/>
      <c r="ALL193" s="311"/>
      <c r="ALM193" s="312"/>
      <c r="ALN193" s="326"/>
      <c r="ALO193" s="332"/>
      <c r="ALP193" s="321"/>
      <c r="ALQ193" s="321"/>
      <c r="ALR193" s="331"/>
      <c r="ALS193" s="308"/>
      <c r="ALT193" s="301"/>
      <c r="ALU193" s="301"/>
      <c r="ALV193" s="302"/>
      <c r="ALW193" s="309"/>
      <c r="ALX193" s="329"/>
      <c r="ALY193" s="311"/>
      <c r="ALZ193" s="312"/>
      <c r="AMA193" s="326"/>
      <c r="AMB193" s="332"/>
      <c r="AMC193" s="321"/>
      <c r="AMD193" s="321"/>
      <c r="AME193" s="331"/>
      <c r="AMF193" s="308"/>
      <c r="AMG193" s="301"/>
      <c r="AMH193" s="301"/>
      <c r="AMI193" s="302"/>
      <c r="AMJ193" s="309"/>
      <c r="AMK193" s="329"/>
      <c r="AML193" s="311"/>
      <c r="AMM193" s="312"/>
      <c r="AMN193" s="326"/>
      <c r="AMO193" s="332"/>
      <c r="AMP193" s="321"/>
      <c r="AMQ193" s="321"/>
      <c r="AMR193" s="331"/>
      <c r="AMS193" s="308"/>
      <c r="AMT193" s="301"/>
      <c r="AMU193" s="301"/>
      <c r="AMV193" s="302"/>
      <c r="AMW193" s="309"/>
      <c r="AMX193" s="329"/>
      <c r="AMY193" s="311"/>
      <c r="AMZ193" s="312"/>
      <c r="ANA193" s="326"/>
      <c r="ANB193" s="332"/>
      <c r="ANC193" s="321"/>
      <c r="AND193" s="321"/>
      <c r="ANE193" s="331"/>
      <c r="ANF193" s="308"/>
      <c r="ANG193" s="301"/>
      <c r="ANH193" s="301"/>
      <c r="ANI193" s="302"/>
      <c r="ANJ193" s="309"/>
      <c r="ANK193" s="329"/>
      <c r="ANL193" s="311"/>
      <c r="ANM193" s="312"/>
      <c r="ANN193" s="326"/>
      <c r="ANO193" s="332"/>
      <c r="ANP193" s="321"/>
      <c r="ANQ193" s="321"/>
      <c r="ANR193" s="331"/>
      <c r="ANS193" s="308"/>
      <c r="ANT193" s="301"/>
      <c r="ANU193" s="301"/>
      <c r="ANV193" s="302"/>
      <c r="ANW193" s="309"/>
      <c r="ANX193" s="329"/>
      <c r="ANY193" s="311"/>
      <c r="ANZ193" s="312"/>
      <c r="AOA193" s="326"/>
      <c r="AOB193" s="332"/>
      <c r="AOC193" s="321"/>
      <c r="AOD193" s="321"/>
      <c r="AOE193" s="331"/>
      <c r="AOF193" s="308"/>
      <c r="AOG193" s="301"/>
      <c r="AOH193" s="301"/>
      <c r="AOI193" s="302"/>
      <c r="AOJ193" s="309"/>
      <c r="AOK193" s="329"/>
      <c r="AOL193" s="311"/>
      <c r="AOM193" s="312"/>
      <c r="AON193" s="326"/>
      <c r="AOO193" s="332"/>
      <c r="AOP193" s="321"/>
      <c r="AOQ193" s="321"/>
      <c r="AOR193" s="331"/>
      <c r="AOS193" s="308"/>
      <c r="AOT193" s="301"/>
      <c r="AOU193" s="301"/>
      <c r="AOV193" s="302"/>
      <c r="AOW193" s="309"/>
      <c r="AOX193" s="329"/>
      <c r="AOY193" s="311"/>
      <c r="AOZ193" s="312"/>
      <c r="APA193" s="326"/>
      <c r="APB193" s="332"/>
      <c r="APC193" s="321"/>
      <c r="APD193" s="321"/>
      <c r="APE193" s="331"/>
      <c r="APF193" s="308"/>
      <c r="APG193" s="301"/>
      <c r="APH193" s="301"/>
      <c r="API193" s="302"/>
      <c r="APJ193" s="309"/>
      <c r="APK193" s="329"/>
      <c r="APL193" s="311"/>
      <c r="APM193" s="312"/>
      <c r="APN193" s="326"/>
      <c r="APO193" s="332"/>
      <c r="APP193" s="321"/>
      <c r="APQ193" s="321"/>
      <c r="APR193" s="331"/>
      <c r="APS193" s="308"/>
      <c r="APT193" s="301"/>
      <c r="APU193" s="301"/>
      <c r="APV193" s="302"/>
      <c r="APW193" s="309"/>
      <c r="APX193" s="329"/>
      <c r="APY193" s="311"/>
      <c r="APZ193" s="312"/>
      <c r="AQA193" s="326"/>
      <c r="AQB193" s="332"/>
      <c r="AQC193" s="321"/>
      <c r="AQD193" s="321"/>
      <c r="AQE193" s="331"/>
      <c r="AQF193" s="308"/>
      <c r="AQG193" s="301"/>
      <c r="AQH193" s="301"/>
      <c r="AQI193" s="302"/>
      <c r="AQJ193" s="309"/>
      <c r="AQK193" s="329"/>
      <c r="AQL193" s="311"/>
      <c r="AQM193" s="312"/>
      <c r="AQN193" s="326"/>
      <c r="AQO193" s="332"/>
      <c r="AQP193" s="321"/>
      <c r="AQQ193" s="321"/>
      <c r="AQR193" s="331"/>
      <c r="AQS193" s="308"/>
      <c r="AQT193" s="301"/>
      <c r="AQU193" s="301"/>
      <c r="AQV193" s="302"/>
      <c r="AQW193" s="309"/>
      <c r="AQX193" s="329"/>
      <c r="AQY193" s="311"/>
      <c r="AQZ193" s="312"/>
      <c r="ARA193" s="326"/>
      <c r="ARB193" s="332"/>
      <c r="ARC193" s="321"/>
      <c r="ARD193" s="321"/>
      <c r="ARE193" s="331"/>
      <c r="ARF193" s="308"/>
      <c r="ARG193" s="301"/>
      <c r="ARH193" s="301"/>
      <c r="ARI193" s="302"/>
      <c r="ARJ193" s="309"/>
      <c r="ARK193" s="329"/>
      <c r="ARL193" s="311"/>
      <c r="ARM193" s="312"/>
      <c r="ARN193" s="326"/>
      <c r="ARO193" s="332"/>
      <c r="ARP193" s="321"/>
      <c r="ARQ193" s="321"/>
      <c r="ARR193" s="331"/>
      <c r="ARS193" s="308"/>
      <c r="ART193" s="301"/>
      <c r="ARU193" s="301"/>
      <c r="ARV193" s="302"/>
      <c r="ARW193" s="309"/>
      <c r="ARX193" s="329"/>
      <c r="ARY193" s="311"/>
      <c r="ARZ193" s="312"/>
      <c r="ASA193" s="326"/>
      <c r="ASB193" s="332"/>
      <c r="ASC193" s="321"/>
      <c r="ASD193" s="321"/>
      <c r="ASE193" s="331"/>
      <c r="ASF193" s="308"/>
      <c r="ASG193" s="301"/>
      <c r="ASH193" s="301"/>
      <c r="ASI193" s="302"/>
      <c r="ASJ193" s="309"/>
      <c r="ASK193" s="329"/>
      <c r="ASL193" s="311"/>
      <c r="ASM193" s="312"/>
      <c r="ASN193" s="326"/>
      <c r="ASO193" s="332"/>
      <c r="ASP193" s="321"/>
      <c r="ASQ193" s="321"/>
      <c r="ASR193" s="331"/>
      <c r="ASS193" s="308"/>
      <c r="AST193" s="301"/>
      <c r="ASU193" s="301"/>
      <c r="ASV193" s="302"/>
      <c r="ASW193" s="309"/>
      <c r="ASX193" s="329"/>
      <c r="ASY193" s="311"/>
      <c r="ASZ193" s="312"/>
      <c r="ATA193" s="326"/>
      <c r="ATB193" s="332"/>
      <c r="ATC193" s="321"/>
      <c r="ATD193" s="321"/>
      <c r="ATE193" s="331"/>
      <c r="ATF193" s="308"/>
      <c r="ATG193" s="301"/>
      <c r="ATH193" s="301"/>
      <c r="ATI193" s="302"/>
      <c r="ATJ193" s="309"/>
      <c r="ATK193" s="329"/>
      <c r="ATL193" s="311"/>
      <c r="ATM193" s="312"/>
      <c r="ATN193" s="326"/>
      <c r="ATO193" s="332"/>
      <c r="ATP193" s="321"/>
      <c r="ATQ193" s="321"/>
      <c r="ATR193" s="331"/>
      <c r="ATS193" s="308"/>
      <c r="ATT193" s="301"/>
      <c r="ATU193" s="301"/>
      <c r="ATV193" s="302"/>
      <c r="ATW193" s="309"/>
      <c r="ATX193" s="329"/>
      <c r="ATY193" s="311"/>
      <c r="ATZ193" s="312"/>
      <c r="AUA193" s="326"/>
      <c r="AUB193" s="332"/>
      <c r="AUC193" s="321"/>
      <c r="AUD193" s="321"/>
      <c r="AUE193" s="331"/>
      <c r="AUF193" s="308"/>
      <c r="AUG193" s="301"/>
      <c r="AUH193" s="301"/>
      <c r="AUI193" s="302"/>
      <c r="AUJ193" s="309"/>
      <c r="AUK193" s="329"/>
      <c r="AUL193" s="311"/>
      <c r="AUM193" s="312"/>
      <c r="AUN193" s="326"/>
      <c r="AUO193" s="332"/>
      <c r="AUP193" s="321"/>
      <c r="AUQ193" s="321"/>
      <c r="AUR193" s="331"/>
      <c r="AUS193" s="308"/>
      <c r="AUT193" s="301"/>
      <c r="AUU193" s="301"/>
      <c r="AUV193" s="302"/>
      <c r="AUW193" s="309"/>
      <c r="AUX193" s="329"/>
      <c r="AUY193" s="311"/>
      <c r="AUZ193" s="312"/>
      <c r="AVA193" s="326"/>
      <c r="AVB193" s="332"/>
      <c r="AVC193" s="321"/>
      <c r="AVD193" s="321"/>
      <c r="AVE193" s="331"/>
      <c r="AVF193" s="308"/>
      <c r="AVG193" s="301"/>
      <c r="AVH193" s="301"/>
      <c r="AVI193" s="302"/>
      <c r="AVJ193" s="309"/>
      <c r="AVK193" s="329"/>
      <c r="AVL193" s="311"/>
      <c r="AVM193" s="312"/>
      <c r="AVN193" s="326"/>
      <c r="AVO193" s="332"/>
      <c r="AVP193" s="321"/>
      <c r="AVQ193" s="321"/>
      <c r="AVR193" s="331"/>
      <c r="AVS193" s="308"/>
      <c r="AVT193" s="301"/>
      <c r="AVU193" s="301"/>
      <c r="AVV193" s="302"/>
      <c r="AVW193" s="309"/>
      <c r="AVX193" s="329"/>
      <c r="AVY193" s="311"/>
      <c r="AVZ193" s="312"/>
      <c r="AWA193" s="326"/>
      <c r="AWB193" s="332"/>
      <c r="AWC193" s="321"/>
      <c r="AWD193" s="321"/>
      <c r="AWE193" s="331"/>
      <c r="AWF193" s="308"/>
      <c r="AWG193" s="301"/>
      <c r="AWH193" s="301"/>
      <c r="AWI193" s="302"/>
      <c r="AWJ193" s="309"/>
      <c r="AWK193" s="329"/>
      <c r="AWL193" s="311"/>
      <c r="AWM193" s="312"/>
      <c r="AWN193" s="326"/>
      <c r="AWO193" s="332"/>
      <c r="AWP193" s="321"/>
      <c r="AWQ193" s="321"/>
      <c r="AWR193" s="331"/>
      <c r="AWS193" s="308"/>
      <c r="AWT193" s="301"/>
      <c r="AWU193" s="301"/>
      <c r="AWV193" s="302"/>
      <c r="AWW193" s="309"/>
      <c r="AWX193" s="329"/>
      <c r="AWY193" s="311"/>
      <c r="AWZ193" s="312"/>
      <c r="AXA193" s="326"/>
      <c r="AXB193" s="332"/>
      <c r="AXC193" s="321"/>
      <c r="AXD193" s="321"/>
      <c r="AXE193" s="331"/>
      <c r="AXF193" s="308"/>
      <c r="AXG193" s="301"/>
      <c r="AXH193" s="301"/>
      <c r="AXI193" s="302"/>
      <c r="AXJ193" s="309"/>
      <c r="AXK193" s="329"/>
      <c r="AXL193" s="311"/>
      <c r="AXM193" s="312"/>
      <c r="AXN193" s="326"/>
      <c r="AXO193" s="332"/>
      <c r="AXP193" s="321"/>
      <c r="AXQ193" s="321"/>
      <c r="AXR193" s="331"/>
      <c r="AXS193" s="308"/>
      <c r="AXT193" s="301"/>
      <c r="AXU193" s="301"/>
      <c r="AXV193" s="302"/>
      <c r="AXW193" s="309"/>
      <c r="AXX193" s="329"/>
      <c r="AXY193" s="311"/>
      <c r="AXZ193" s="312"/>
      <c r="AYA193" s="326"/>
      <c r="AYB193" s="332"/>
      <c r="AYC193" s="321"/>
      <c r="AYD193" s="321"/>
      <c r="AYE193" s="331"/>
      <c r="AYF193" s="308"/>
      <c r="AYG193" s="301"/>
      <c r="AYH193" s="301"/>
      <c r="AYI193" s="302"/>
      <c r="AYJ193" s="309"/>
      <c r="AYK193" s="329"/>
      <c r="AYL193" s="311"/>
      <c r="AYM193" s="312"/>
      <c r="AYN193" s="326"/>
      <c r="AYO193" s="332"/>
      <c r="AYP193" s="321"/>
      <c r="AYQ193" s="321"/>
      <c r="AYR193" s="331"/>
      <c r="AYS193" s="308"/>
      <c r="AYT193" s="301"/>
      <c r="AYU193" s="301"/>
      <c r="AYV193" s="302"/>
      <c r="AYW193" s="309"/>
      <c r="AYX193" s="329"/>
      <c r="AYY193" s="311"/>
      <c r="AYZ193" s="312"/>
      <c r="AZA193" s="326"/>
      <c r="AZB193" s="332"/>
      <c r="AZC193" s="321"/>
      <c r="AZD193" s="321"/>
      <c r="AZE193" s="331"/>
      <c r="AZF193" s="308"/>
      <c r="AZG193" s="301"/>
      <c r="AZH193" s="301"/>
      <c r="AZI193" s="302"/>
      <c r="AZJ193" s="309"/>
      <c r="AZK193" s="329"/>
      <c r="AZL193" s="311"/>
      <c r="AZM193" s="312"/>
      <c r="AZN193" s="326"/>
      <c r="AZO193" s="332"/>
      <c r="AZP193" s="321"/>
      <c r="AZQ193" s="321"/>
      <c r="AZR193" s="331"/>
      <c r="AZS193" s="308"/>
      <c r="AZT193" s="301"/>
      <c r="AZU193" s="301"/>
      <c r="AZV193" s="302"/>
      <c r="AZW193" s="309"/>
      <c r="AZX193" s="329"/>
      <c r="AZY193" s="311"/>
      <c r="AZZ193" s="312"/>
      <c r="BAA193" s="326"/>
      <c r="BAB193" s="332"/>
      <c r="BAC193" s="321"/>
      <c r="BAD193" s="321"/>
      <c r="BAE193" s="331"/>
      <c r="BAF193" s="308"/>
      <c r="BAG193" s="301"/>
      <c r="BAH193" s="301"/>
      <c r="BAI193" s="302"/>
      <c r="BAJ193" s="309"/>
      <c r="BAK193" s="329"/>
      <c r="BAL193" s="311"/>
      <c r="BAM193" s="312"/>
      <c r="BAN193" s="326"/>
      <c r="BAO193" s="332"/>
      <c r="BAP193" s="321"/>
      <c r="BAQ193" s="321"/>
      <c r="BAR193" s="331"/>
      <c r="BAS193" s="308"/>
      <c r="BAT193" s="301"/>
      <c r="BAU193" s="301"/>
      <c r="BAV193" s="302"/>
      <c r="BAW193" s="309"/>
      <c r="BAX193" s="329"/>
      <c r="BAY193" s="311"/>
      <c r="BAZ193" s="312"/>
      <c r="BBA193" s="326"/>
      <c r="BBB193" s="332"/>
      <c r="BBC193" s="321"/>
      <c r="BBD193" s="321"/>
      <c r="BBE193" s="331"/>
      <c r="BBF193" s="308"/>
      <c r="BBG193" s="301"/>
      <c r="BBH193" s="301"/>
      <c r="BBI193" s="302"/>
      <c r="BBJ193" s="309"/>
      <c r="BBK193" s="329"/>
      <c r="BBL193" s="311"/>
      <c r="BBM193" s="312"/>
      <c r="BBN193" s="326"/>
      <c r="BBO193" s="332"/>
      <c r="BBP193" s="321"/>
      <c r="BBQ193" s="321"/>
      <c r="BBR193" s="331"/>
      <c r="BBS193" s="308"/>
      <c r="BBT193" s="301"/>
      <c r="BBU193" s="301"/>
      <c r="BBV193" s="302"/>
      <c r="BBW193" s="309"/>
      <c r="BBX193" s="329"/>
      <c r="BBY193" s="311"/>
      <c r="BBZ193" s="312"/>
      <c r="BCA193" s="326"/>
      <c r="BCB193" s="332"/>
      <c r="BCC193" s="321"/>
      <c r="BCD193" s="321"/>
      <c r="BCE193" s="331"/>
      <c r="BCF193" s="308"/>
      <c r="BCG193" s="301"/>
      <c r="BCH193" s="301"/>
      <c r="BCI193" s="302"/>
      <c r="BCJ193" s="309"/>
      <c r="BCK193" s="329"/>
      <c r="BCL193" s="311"/>
      <c r="BCM193" s="312"/>
      <c r="BCN193" s="326"/>
      <c r="BCO193" s="332"/>
      <c r="BCP193" s="321"/>
      <c r="BCQ193" s="321"/>
      <c r="BCR193" s="331"/>
      <c r="BCS193" s="308"/>
      <c r="BCT193" s="301"/>
      <c r="BCU193" s="301"/>
      <c r="BCV193" s="302"/>
      <c r="BCW193" s="309"/>
      <c r="BCX193" s="329"/>
      <c r="BCY193" s="311"/>
      <c r="BCZ193" s="312"/>
      <c r="BDA193" s="326"/>
      <c r="BDB193" s="332"/>
      <c r="BDC193" s="321"/>
      <c r="BDD193" s="321"/>
      <c r="BDE193" s="331"/>
      <c r="BDF193" s="308"/>
      <c r="BDG193" s="301"/>
      <c r="BDH193" s="301"/>
      <c r="BDI193" s="302"/>
      <c r="BDJ193" s="309"/>
      <c r="BDK193" s="329"/>
      <c r="BDL193" s="311"/>
      <c r="BDM193" s="312"/>
      <c r="BDN193" s="326"/>
      <c r="BDO193" s="332"/>
      <c r="BDP193" s="321"/>
      <c r="BDQ193" s="321"/>
      <c r="BDR193" s="331"/>
      <c r="BDS193" s="308"/>
      <c r="BDT193" s="301"/>
      <c r="BDU193" s="301"/>
      <c r="BDV193" s="302"/>
      <c r="BDW193" s="309"/>
      <c r="BDX193" s="329"/>
      <c r="BDY193" s="311"/>
      <c r="BDZ193" s="312"/>
      <c r="BEA193" s="326"/>
      <c r="BEB193" s="332"/>
      <c r="BEC193" s="321"/>
      <c r="BED193" s="321"/>
      <c r="BEE193" s="331"/>
      <c r="BEF193" s="308"/>
      <c r="BEG193" s="301"/>
      <c r="BEH193" s="301"/>
      <c r="BEI193" s="302"/>
      <c r="BEJ193" s="309"/>
      <c r="BEK193" s="329"/>
      <c r="BEL193" s="311"/>
      <c r="BEM193" s="312"/>
      <c r="BEN193" s="326"/>
      <c r="BEO193" s="332"/>
      <c r="BEP193" s="321"/>
      <c r="BEQ193" s="321"/>
      <c r="BER193" s="331"/>
      <c r="BES193" s="308"/>
      <c r="BET193" s="301"/>
      <c r="BEU193" s="301"/>
      <c r="BEV193" s="302"/>
      <c r="BEW193" s="309"/>
      <c r="BEX193" s="329"/>
      <c r="BEY193" s="311"/>
      <c r="BEZ193" s="312"/>
      <c r="BFA193" s="326"/>
      <c r="BFB193" s="332"/>
      <c r="BFC193" s="321"/>
      <c r="BFD193" s="321"/>
      <c r="BFE193" s="331"/>
      <c r="BFF193" s="308"/>
      <c r="BFG193" s="301"/>
      <c r="BFH193" s="301"/>
      <c r="BFI193" s="302"/>
      <c r="BFJ193" s="309"/>
      <c r="BFK193" s="329"/>
      <c r="BFL193" s="311"/>
      <c r="BFM193" s="312"/>
      <c r="BFN193" s="326"/>
      <c r="BFO193" s="332"/>
      <c r="BFP193" s="321"/>
      <c r="BFQ193" s="321"/>
      <c r="BFR193" s="331"/>
      <c r="BFS193" s="308"/>
      <c r="BFT193" s="301"/>
      <c r="BFU193" s="301"/>
      <c r="BFV193" s="302"/>
      <c r="BFW193" s="309"/>
      <c r="BFX193" s="329"/>
      <c r="BFY193" s="311"/>
      <c r="BFZ193" s="312"/>
      <c r="BGA193" s="326"/>
      <c r="BGB193" s="332"/>
      <c r="BGC193" s="321"/>
      <c r="BGD193" s="321"/>
      <c r="BGE193" s="331"/>
      <c r="BGF193" s="308"/>
      <c r="BGG193" s="301"/>
      <c r="BGH193" s="301"/>
      <c r="BGI193" s="302"/>
      <c r="BGJ193" s="309"/>
      <c r="BGK193" s="329"/>
      <c r="BGL193" s="311"/>
      <c r="BGM193" s="312"/>
      <c r="BGN193" s="326"/>
      <c r="BGO193" s="332"/>
      <c r="BGP193" s="321"/>
      <c r="BGQ193" s="321"/>
      <c r="BGR193" s="331"/>
      <c r="BGS193" s="308"/>
      <c r="BGT193" s="301"/>
      <c r="BGU193" s="301"/>
      <c r="BGV193" s="302"/>
      <c r="BGW193" s="309"/>
      <c r="BGX193" s="329"/>
      <c r="BGY193" s="311"/>
      <c r="BGZ193" s="312"/>
      <c r="BHA193" s="326"/>
      <c r="BHB193" s="332"/>
      <c r="BHC193" s="321"/>
      <c r="BHD193" s="321"/>
      <c r="BHE193" s="331"/>
      <c r="BHF193" s="308"/>
      <c r="BHG193" s="301"/>
      <c r="BHH193" s="301"/>
      <c r="BHI193" s="302"/>
      <c r="BHJ193" s="309"/>
      <c r="BHK193" s="329"/>
      <c r="BHL193" s="311"/>
      <c r="BHM193" s="312"/>
      <c r="BHN193" s="326"/>
      <c r="BHO193" s="332"/>
      <c r="BHP193" s="321"/>
      <c r="BHQ193" s="321"/>
      <c r="BHR193" s="331"/>
      <c r="BHS193" s="308"/>
      <c r="BHT193" s="301"/>
      <c r="BHU193" s="301"/>
      <c r="BHV193" s="302"/>
      <c r="BHW193" s="309"/>
      <c r="BHX193" s="329"/>
      <c r="BHY193" s="311"/>
      <c r="BHZ193" s="312"/>
      <c r="BIA193" s="326"/>
      <c r="BIB193" s="332"/>
      <c r="BIC193" s="321"/>
      <c r="BID193" s="321"/>
      <c r="BIE193" s="331"/>
      <c r="BIF193" s="308"/>
      <c r="BIG193" s="301"/>
      <c r="BIH193" s="301"/>
      <c r="BII193" s="302"/>
      <c r="BIJ193" s="309"/>
      <c r="BIK193" s="329"/>
      <c r="BIL193" s="311"/>
      <c r="BIM193" s="312"/>
      <c r="BIN193" s="326"/>
      <c r="BIO193" s="332"/>
      <c r="BIP193" s="321"/>
      <c r="BIQ193" s="321"/>
      <c r="BIR193" s="331"/>
      <c r="BIS193" s="308"/>
      <c r="BIT193" s="301"/>
      <c r="BIU193" s="301"/>
      <c r="BIV193" s="302"/>
      <c r="BIW193" s="309"/>
      <c r="BIX193" s="329"/>
      <c r="BIY193" s="311"/>
      <c r="BIZ193" s="312"/>
      <c r="BJA193" s="326"/>
      <c r="BJB193" s="332"/>
      <c r="BJC193" s="321"/>
      <c r="BJD193" s="321"/>
      <c r="BJE193" s="331"/>
      <c r="BJF193" s="308"/>
      <c r="BJG193" s="301"/>
      <c r="BJH193" s="301"/>
      <c r="BJI193" s="302"/>
      <c r="BJJ193" s="309"/>
      <c r="BJK193" s="329"/>
      <c r="BJL193" s="311"/>
      <c r="BJM193" s="312"/>
      <c r="BJN193" s="326"/>
      <c r="BJO193" s="332"/>
      <c r="BJP193" s="321"/>
      <c r="BJQ193" s="321"/>
      <c r="BJR193" s="331"/>
      <c r="BJS193" s="308"/>
      <c r="BJT193" s="301"/>
      <c r="BJU193" s="301"/>
      <c r="BJV193" s="302"/>
      <c r="BJW193" s="309"/>
      <c r="BJX193" s="329"/>
      <c r="BJY193" s="311"/>
      <c r="BJZ193" s="312"/>
      <c r="BKA193" s="326"/>
      <c r="BKB193" s="332"/>
      <c r="BKC193" s="321"/>
      <c r="BKD193" s="321"/>
      <c r="BKE193" s="331"/>
      <c r="BKF193" s="308"/>
      <c r="BKG193" s="301"/>
      <c r="BKH193" s="301"/>
      <c r="BKI193" s="302"/>
      <c r="BKJ193" s="309"/>
      <c r="BKK193" s="329"/>
      <c r="BKL193" s="311"/>
      <c r="BKM193" s="312"/>
      <c r="BKN193" s="326"/>
      <c r="BKO193" s="332"/>
      <c r="BKP193" s="321"/>
      <c r="BKQ193" s="321"/>
      <c r="BKR193" s="331"/>
      <c r="BKS193" s="308"/>
      <c r="BKT193" s="301"/>
      <c r="BKU193" s="301"/>
      <c r="BKV193" s="302"/>
      <c r="BKW193" s="309"/>
      <c r="BKX193" s="329"/>
      <c r="BKY193" s="311"/>
      <c r="BKZ193" s="312"/>
      <c r="BLA193" s="326"/>
      <c r="BLB193" s="332"/>
      <c r="BLC193" s="321"/>
      <c r="BLD193" s="321"/>
      <c r="BLE193" s="331"/>
      <c r="BLF193" s="308"/>
      <c r="BLG193" s="301"/>
      <c r="BLH193" s="301"/>
      <c r="BLI193" s="302"/>
      <c r="BLJ193" s="309"/>
      <c r="BLK193" s="329"/>
      <c r="BLL193" s="311"/>
      <c r="BLM193" s="312"/>
      <c r="BLN193" s="326"/>
      <c r="BLO193" s="332"/>
      <c r="BLP193" s="321"/>
      <c r="BLQ193" s="321"/>
      <c r="BLR193" s="331"/>
      <c r="BLS193" s="308"/>
      <c r="BLT193" s="301"/>
      <c r="BLU193" s="301"/>
      <c r="BLV193" s="302"/>
      <c r="BLW193" s="309"/>
      <c r="BLX193" s="329"/>
      <c r="BLY193" s="311"/>
      <c r="BLZ193" s="312"/>
      <c r="BMA193" s="326"/>
      <c r="BMB193" s="332"/>
      <c r="BMC193" s="321"/>
      <c r="BMD193" s="321"/>
      <c r="BME193" s="331"/>
      <c r="BMF193" s="308"/>
      <c r="BMG193" s="301"/>
      <c r="BMH193" s="301"/>
      <c r="BMI193" s="302"/>
      <c r="BMJ193" s="309"/>
      <c r="BMK193" s="329"/>
      <c r="BML193" s="311"/>
      <c r="BMM193" s="312"/>
      <c r="BMN193" s="326"/>
      <c r="BMO193" s="332"/>
      <c r="BMP193" s="321"/>
      <c r="BMQ193" s="321"/>
      <c r="BMR193" s="331"/>
      <c r="BMS193" s="308"/>
      <c r="BMT193" s="301"/>
      <c r="BMU193" s="301"/>
      <c r="BMV193" s="302"/>
      <c r="BMW193" s="309"/>
      <c r="BMX193" s="329"/>
      <c r="BMY193" s="311"/>
      <c r="BMZ193" s="312"/>
      <c r="BNA193" s="326"/>
      <c r="BNB193" s="332"/>
      <c r="BNC193" s="321"/>
      <c r="BND193" s="321"/>
      <c r="BNE193" s="331"/>
      <c r="BNF193" s="308"/>
      <c r="BNG193" s="301"/>
      <c r="BNH193" s="301"/>
      <c r="BNI193" s="302"/>
      <c r="BNJ193" s="309"/>
      <c r="BNK193" s="329"/>
      <c r="BNL193" s="311"/>
      <c r="BNM193" s="312"/>
      <c r="BNN193" s="326"/>
      <c r="BNO193" s="332"/>
      <c r="BNP193" s="321"/>
      <c r="BNQ193" s="321"/>
      <c r="BNR193" s="331"/>
      <c r="BNS193" s="308"/>
      <c r="BNT193" s="301"/>
      <c r="BNU193" s="301"/>
      <c r="BNV193" s="302"/>
      <c r="BNW193" s="309"/>
      <c r="BNX193" s="329"/>
      <c r="BNY193" s="311"/>
      <c r="BNZ193" s="312"/>
      <c r="BOA193" s="326"/>
      <c r="BOB193" s="332"/>
      <c r="BOC193" s="321"/>
      <c r="BOD193" s="321"/>
      <c r="BOE193" s="331"/>
      <c r="BOF193" s="308"/>
      <c r="BOG193" s="301"/>
      <c r="BOH193" s="301"/>
      <c r="BOI193" s="302"/>
      <c r="BOJ193" s="309"/>
      <c r="BOK193" s="329"/>
      <c r="BOL193" s="311"/>
      <c r="BOM193" s="312"/>
      <c r="BON193" s="326"/>
      <c r="BOO193" s="332"/>
      <c r="BOP193" s="321"/>
      <c r="BOQ193" s="321"/>
      <c r="BOR193" s="331"/>
      <c r="BOS193" s="308"/>
      <c r="BOT193" s="301"/>
      <c r="BOU193" s="301"/>
      <c r="BOV193" s="302"/>
      <c r="BOW193" s="309"/>
      <c r="BOX193" s="329"/>
      <c r="BOY193" s="311"/>
      <c r="BOZ193" s="312"/>
      <c r="BPA193" s="326"/>
      <c r="BPB193" s="332"/>
      <c r="BPC193" s="321"/>
      <c r="BPD193" s="321"/>
      <c r="BPE193" s="331"/>
      <c r="BPF193" s="308"/>
      <c r="BPG193" s="301"/>
      <c r="BPH193" s="301"/>
      <c r="BPI193" s="302"/>
      <c r="BPJ193" s="309"/>
      <c r="BPK193" s="329"/>
      <c r="BPL193" s="311"/>
      <c r="BPM193" s="312"/>
      <c r="BPN193" s="326"/>
      <c r="BPO193" s="332"/>
      <c r="BPP193" s="321"/>
      <c r="BPQ193" s="321"/>
      <c r="BPR193" s="331"/>
      <c r="BPS193" s="308"/>
      <c r="BPT193" s="301"/>
      <c r="BPU193" s="301"/>
      <c r="BPV193" s="302"/>
      <c r="BPW193" s="309"/>
      <c r="BPX193" s="329"/>
      <c r="BPY193" s="311"/>
      <c r="BPZ193" s="312"/>
      <c r="BQA193" s="326"/>
      <c r="BQB193" s="332"/>
      <c r="BQC193" s="321"/>
      <c r="BQD193" s="321"/>
      <c r="BQE193" s="331"/>
      <c r="BQF193" s="308"/>
      <c r="BQG193" s="301"/>
      <c r="BQH193" s="301"/>
      <c r="BQI193" s="302"/>
      <c r="BQJ193" s="309"/>
      <c r="BQK193" s="329"/>
      <c r="BQL193" s="311"/>
      <c r="BQM193" s="312"/>
      <c r="BQN193" s="326"/>
      <c r="BQO193" s="332"/>
      <c r="BQP193" s="321"/>
      <c r="BQQ193" s="321"/>
      <c r="BQR193" s="331"/>
      <c r="BQS193" s="308"/>
      <c r="BQT193" s="301"/>
      <c r="BQU193" s="301"/>
      <c r="BQV193" s="302"/>
      <c r="BQW193" s="309"/>
      <c r="BQX193" s="329"/>
      <c r="BQY193" s="311"/>
      <c r="BQZ193" s="312"/>
      <c r="BRA193" s="326"/>
      <c r="BRB193" s="332"/>
      <c r="BRC193" s="321"/>
      <c r="BRD193" s="321"/>
      <c r="BRE193" s="331"/>
      <c r="BRF193" s="308"/>
      <c r="BRG193" s="301"/>
      <c r="BRH193" s="301"/>
      <c r="BRI193" s="302"/>
      <c r="BRJ193" s="309"/>
      <c r="BRK193" s="329"/>
      <c r="BRL193" s="311"/>
      <c r="BRM193" s="312"/>
      <c r="BRN193" s="326"/>
      <c r="BRO193" s="332"/>
      <c r="BRP193" s="321"/>
      <c r="BRQ193" s="321"/>
      <c r="BRR193" s="331"/>
      <c r="BRS193" s="308"/>
      <c r="BRT193" s="301"/>
      <c r="BRU193" s="301"/>
      <c r="BRV193" s="302"/>
      <c r="BRW193" s="309"/>
      <c r="BRX193" s="329"/>
      <c r="BRY193" s="311"/>
      <c r="BRZ193" s="312"/>
      <c r="BSA193" s="326"/>
      <c r="BSB193" s="332"/>
      <c r="BSC193" s="321"/>
      <c r="BSD193" s="321"/>
      <c r="BSE193" s="331"/>
      <c r="BSF193" s="308"/>
      <c r="BSG193" s="301"/>
      <c r="BSH193" s="301"/>
      <c r="BSI193" s="302"/>
      <c r="BSJ193" s="309"/>
      <c r="BSK193" s="329"/>
      <c r="BSL193" s="311"/>
      <c r="BSM193" s="312"/>
      <c r="BSN193" s="326"/>
      <c r="BSO193" s="332"/>
      <c r="BSP193" s="321"/>
      <c r="BSQ193" s="321"/>
      <c r="BSR193" s="331"/>
      <c r="BSS193" s="308"/>
      <c r="BST193" s="301"/>
      <c r="BSU193" s="301"/>
      <c r="BSV193" s="302"/>
      <c r="BSW193" s="309"/>
      <c r="BSX193" s="329"/>
      <c r="BSY193" s="311"/>
      <c r="BSZ193" s="312"/>
      <c r="BTA193" s="326"/>
      <c r="BTB193" s="332"/>
      <c r="BTC193" s="321"/>
      <c r="BTD193" s="321"/>
      <c r="BTE193" s="331"/>
      <c r="BTF193" s="308"/>
      <c r="BTG193" s="301"/>
      <c r="BTH193" s="301"/>
      <c r="BTI193" s="302"/>
      <c r="BTJ193" s="309"/>
      <c r="BTK193" s="329"/>
      <c r="BTL193" s="311"/>
      <c r="BTM193" s="312"/>
      <c r="BTN193" s="326"/>
      <c r="BTO193" s="332"/>
      <c r="BTP193" s="321"/>
      <c r="BTQ193" s="321"/>
      <c r="BTR193" s="331"/>
      <c r="BTS193" s="308"/>
      <c r="BTT193" s="301"/>
      <c r="BTU193" s="301"/>
      <c r="BTV193" s="302"/>
      <c r="BTW193" s="309"/>
      <c r="BTX193" s="329"/>
      <c r="BTY193" s="311"/>
      <c r="BTZ193" s="312"/>
      <c r="BUA193" s="326"/>
      <c r="BUB193" s="332"/>
      <c r="BUC193" s="321"/>
      <c r="BUD193" s="321"/>
      <c r="BUE193" s="331"/>
      <c r="BUF193" s="308"/>
      <c r="BUG193" s="301"/>
      <c r="BUH193" s="301"/>
      <c r="BUI193" s="302"/>
      <c r="BUJ193" s="309"/>
      <c r="BUK193" s="329"/>
      <c r="BUL193" s="311"/>
      <c r="BUM193" s="312"/>
      <c r="BUN193" s="326"/>
      <c r="BUO193" s="332"/>
      <c r="BUP193" s="321"/>
      <c r="BUQ193" s="321"/>
      <c r="BUR193" s="331"/>
      <c r="BUS193" s="308"/>
      <c r="BUT193" s="301"/>
      <c r="BUU193" s="301"/>
      <c r="BUV193" s="302"/>
      <c r="BUW193" s="309"/>
      <c r="BUX193" s="329"/>
      <c r="BUY193" s="311"/>
      <c r="BUZ193" s="312"/>
      <c r="BVA193" s="326"/>
      <c r="BVB193" s="332"/>
      <c r="BVC193" s="321"/>
      <c r="BVD193" s="321"/>
      <c r="BVE193" s="331"/>
      <c r="BVF193" s="308"/>
      <c r="BVG193" s="301"/>
      <c r="BVH193" s="301"/>
      <c r="BVI193" s="302"/>
      <c r="BVJ193" s="309"/>
      <c r="BVK193" s="329"/>
      <c r="BVL193" s="311"/>
      <c r="BVM193" s="312"/>
      <c r="BVN193" s="326"/>
      <c r="BVO193" s="332"/>
      <c r="BVP193" s="321"/>
      <c r="BVQ193" s="321"/>
      <c r="BVR193" s="331"/>
      <c r="BVS193" s="308"/>
      <c r="BVT193" s="301"/>
      <c r="BVU193" s="301"/>
      <c r="BVV193" s="302"/>
      <c r="BVW193" s="309"/>
      <c r="BVX193" s="329"/>
      <c r="BVY193" s="311"/>
      <c r="BVZ193" s="312"/>
      <c r="BWA193" s="326"/>
      <c r="BWB193" s="332"/>
      <c r="BWC193" s="321"/>
      <c r="BWD193" s="321"/>
      <c r="BWE193" s="331"/>
      <c r="BWF193" s="308"/>
      <c r="BWG193" s="301"/>
      <c r="BWH193" s="301"/>
      <c r="BWI193" s="302"/>
      <c r="BWJ193" s="309"/>
      <c r="BWK193" s="329"/>
      <c r="BWL193" s="311"/>
      <c r="BWM193" s="312"/>
      <c r="BWN193" s="326"/>
      <c r="BWO193" s="332"/>
      <c r="BWP193" s="321"/>
      <c r="BWQ193" s="321"/>
      <c r="BWR193" s="331"/>
      <c r="BWS193" s="308"/>
      <c r="BWT193" s="301"/>
      <c r="BWU193" s="301"/>
      <c r="BWV193" s="302"/>
      <c r="BWW193" s="309"/>
      <c r="BWX193" s="329"/>
      <c r="BWY193" s="311"/>
      <c r="BWZ193" s="312"/>
      <c r="BXA193" s="326"/>
      <c r="BXB193" s="332"/>
      <c r="BXC193" s="321"/>
      <c r="BXD193" s="321"/>
      <c r="BXE193" s="331"/>
      <c r="BXF193" s="308"/>
      <c r="BXG193" s="301"/>
      <c r="BXH193" s="301"/>
      <c r="BXI193" s="302"/>
      <c r="BXJ193" s="309"/>
      <c r="BXK193" s="329"/>
      <c r="BXL193" s="311"/>
      <c r="BXM193" s="312"/>
      <c r="BXN193" s="326"/>
      <c r="BXO193" s="332"/>
      <c r="BXP193" s="321"/>
      <c r="BXQ193" s="321"/>
      <c r="BXR193" s="331"/>
      <c r="BXS193" s="308"/>
      <c r="BXT193" s="301"/>
      <c r="BXU193" s="301"/>
      <c r="BXV193" s="302"/>
      <c r="BXW193" s="309"/>
      <c r="BXX193" s="329"/>
      <c r="BXY193" s="311"/>
      <c r="BXZ193" s="312"/>
      <c r="BYA193" s="326"/>
      <c r="BYB193" s="332"/>
      <c r="BYC193" s="321"/>
      <c r="BYD193" s="321"/>
      <c r="BYE193" s="331"/>
      <c r="BYF193" s="308"/>
      <c r="BYG193" s="301"/>
      <c r="BYH193" s="301"/>
      <c r="BYI193" s="302"/>
      <c r="BYJ193" s="309"/>
      <c r="BYK193" s="329"/>
      <c r="BYL193" s="311"/>
      <c r="BYM193" s="312"/>
      <c r="BYN193" s="326"/>
      <c r="BYO193" s="332"/>
      <c r="BYP193" s="321"/>
      <c r="BYQ193" s="321"/>
      <c r="BYR193" s="331"/>
      <c r="BYS193" s="308"/>
      <c r="BYT193" s="301"/>
      <c r="BYU193" s="301"/>
      <c r="BYV193" s="302"/>
      <c r="BYW193" s="309"/>
      <c r="BYX193" s="329"/>
      <c r="BYY193" s="311"/>
      <c r="BYZ193" s="312"/>
      <c r="BZA193" s="326"/>
      <c r="BZB193" s="332"/>
      <c r="BZC193" s="321"/>
      <c r="BZD193" s="321"/>
      <c r="BZE193" s="331"/>
      <c r="BZF193" s="308"/>
      <c r="BZG193" s="301"/>
      <c r="BZH193" s="301"/>
      <c r="BZI193" s="302"/>
      <c r="BZJ193" s="309"/>
      <c r="BZK193" s="329"/>
      <c r="BZL193" s="311"/>
      <c r="BZM193" s="312"/>
      <c r="BZN193" s="326"/>
      <c r="BZO193" s="332"/>
      <c r="BZP193" s="321"/>
      <c r="BZQ193" s="321"/>
      <c r="BZR193" s="331"/>
      <c r="BZS193" s="308"/>
      <c r="BZT193" s="301"/>
      <c r="BZU193" s="301"/>
      <c r="BZV193" s="302"/>
      <c r="BZW193" s="309"/>
      <c r="BZX193" s="329"/>
      <c r="BZY193" s="311"/>
      <c r="BZZ193" s="312"/>
      <c r="CAA193" s="326"/>
      <c r="CAB193" s="332"/>
      <c r="CAC193" s="321"/>
      <c r="CAD193" s="321"/>
      <c r="CAE193" s="331"/>
      <c r="CAF193" s="308"/>
      <c r="CAG193" s="301"/>
      <c r="CAH193" s="301"/>
      <c r="CAI193" s="302"/>
      <c r="CAJ193" s="309"/>
      <c r="CAK193" s="329"/>
      <c r="CAL193" s="311"/>
      <c r="CAM193" s="312"/>
      <c r="CAN193" s="326"/>
      <c r="CAO193" s="332"/>
      <c r="CAP193" s="321"/>
      <c r="CAQ193" s="321"/>
      <c r="CAR193" s="331"/>
      <c r="CAS193" s="308"/>
      <c r="CAT193" s="301"/>
      <c r="CAU193" s="301"/>
      <c r="CAV193" s="302"/>
      <c r="CAW193" s="309"/>
      <c r="CAX193" s="329"/>
      <c r="CAY193" s="311"/>
      <c r="CAZ193" s="312"/>
      <c r="CBA193" s="326"/>
      <c r="CBB193" s="332"/>
      <c r="CBC193" s="321"/>
      <c r="CBD193" s="321"/>
      <c r="CBE193" s="331"/>
      <c r="CBF193" s="308"/>
      <c r="CBG193" s="301"/>
      <c r="CBH193" s="301"/>
      <c r="CBI193" s="302"/>
      <c r="CBJ193" s="309"/>
      <c r="CBK193" s="329"/>
      <c r="CBL193" s="311"/>
      <c r="CBM193" s="312"/>
      <c r="CBN193" s="326"/>
      <c r="CBO193" s="332"/>
      <c r="CBP193" s="321"/>
      <c r="CBQ193" s="321"/>
      <c r="CBR193" s="331"/>
      <c r="CBS193" s="308"/>
      <c r="CBT193" s="301"/>
      <c r="CBU193" s="301"/>
      <c r="CBV193" s="302"/>
      <c r="CBW193" s="309"/>
      <c r="CBX193" s="329"/>
      <c r="CBY193" s="311"/>
      <c r="CBZ193" s="312"/>
      <c r="CCA193" s="326"/>
      <c r="CCB193" s="332"/>
      <c r="CCC193" s="321"/>
      <c r="CCD193" s="321"/>
      <c r="CCE193" s="331"/>
      <c r="CCF193" s="308"/>
      <c r="CCG193" s="301"/>
      <c r="CCH193" s="301"/>
      <c r="CCI193" s="302"/>
      <c r="CCJ193" s="309"/>
      <c r="CCK193" s="329"/>
      <c r="CCL193" s="311"/>
      <c r="CCM193" s="312"/>
      <c r="CCN193" s="326"/>
      <c r="CCO193" s="332"/>
      <c r="CCP193" s="321"/>
      <c r="CCQ193" s="321"/>
      <c r="CCR193" s="331"/>
      <c r="CCS193" s="308"/>
      <c r="CCT193" s="301"/>
      <c r="CCU193" s="301"/>
      <c r="CCV193" s="302"/>
      <c r="CCW193" s="309"/>
      <c r="CCX193" s="329"/>
      <c r="CCY193" s="311"/>
      <c r="CCZ193" s="312"/>
      <c r="CDA193" s="326"/>
      <c r="CDB193" s="332"/>
      <c r="CDC193" s="321"/>
      <c r="CDD193" s="321"/>
      <c r="CDE193" s="331"/>
      <c r="CDF193" s="308"/>
      <c r="CDG193" s="301"/>
      <c r="CDH193" s="301"/>
      <c r="CDI193" s="302"/>
      <c r="CDJ193" s="309"/>
      <c r="CDK193" s="329"/>
      <c r="CDL193" s="311"/>
      <c r="CDM193" s="312"/>
      <c r="CDN193" s="326"/>
      <c r="CDO193" s="332"/>
      <c r="CDP193" s="321"/>
      <c r="CDQ193" s="321"/>
      <c r="CDR193" s="331"/>
      <c r="CDS193" s="308"/>
      <c r="CDT193" s="301"/>
      <c r="CDU193" s="301"/>
      <c r="CDV193" s="302"/>
      <c r="CDW193" s="309"/>
      <c r="CDX193" s="329"/>
      <c r="CDY193" s="311"/>
      <c r="CDZ193" s="312"/>
      <c r="CEA193" s="326"/>
      <c r="CEB193" s="332"/>
      <c r="CEC193" s="321"/>
      <c r="CED193" s="321"/>
      <c r="CEE193" s="331"/>
      <c r="CEF193" s="308"/>
      <c r="CEG193" s="301"/>
      <c r="CEH193" s="301"/>
      <c r="CEI193" s="302"/>
      <c r="CEJ193" s="309"/>
      <c r="CEK193" s="329"/>
      <c r="CEL193" s="311"/>
      <c r="CEM193" s="312"/>
      <c r="CEN193" s="326"/>
      <c r="CEO193" s="332"/>
      <c r="CEP193" s="321"/>
      <c r="CEQ193" s="321"/>
      <c r="CER193" s="331"/>
      <c r="CES193" s="308"/>
      <c r="CET193" s="301"/>
      <c r="CEU193" s="301"/>
      <c r="CEV193" s="302"/>
      <c r="CEW193" s="309"/>
      <c r="CEX193" s="329"/>
      <c r="CEY193" s="311"/>
      <c r="CEZ193" s="312"/>
      <c r="CFA193" s="326"/>
      <c r="CFB193" s="332"/>
      <c r="CFC193" s="321"/>
      <c r="CFD193" s="321"/>
      <c r="CFE193" s="331"/>
      <c r="CFF193" s="308"/>
      <c r="CFG193" s="301"/>
      <c r="CFH193" s="301"/>
      <c r="CFI193" s="302"/>
      <c r="CFJ193" s="309"/>
      <c r="CFK193" s="329"/>
      <c r="CFL193" s="311"/>
      <c r="CFM193" s="312"/>
      <c r="CFN193" s="326"/>
      <c r="CFO193" s="332"/>
      <c r="CFP193" s="321"/>
      <c r="CFQ193" s="321"/>
      <c r="CFR193" s="331"/>
      <c r="CFS193" s="308"/>
      <c r="CFT193" s="301"/>
      <c r="CFU193" s="301"/>
      <c r="CFV193" s="302"/>
      <c r="CFW193" s="309"/>
      <c r="CFX193" s="329"/>
      <c r="CFY193" s="311"/>
      <c r="CFZ193" s="312"/>
      <c r="CGA193" s="326"/>
      <c r="CGB193" s="332"/>
      <c r="CGC193" s="321"/>
      <c r="CGD193" s="321"/>
      <c r="CGE193" s="331"/>
      <c r="CGF193" s="308"/>
      <c r="CGG193" s="301"/>
      <c r="CGH193" s="301"/>
      <c r="CGI193" s="302"/>
      <c r="CGJ193" s="309"/>
      <c r="CGK193" s="329"/>
      <c r="CGL193" s="311"/>
      <c r="CGM193" s="312"/>
      <c r="CGN193" s="326"/>
      <c r="CGO193" s="332"/>
      <c r="CGP193" s="321"/>
      <c r="CGQ193" s="321"/>
      <c r="CGR193" s="331"/>
      <c r="CGS193" s="308"/>
      <c r="CGT193" s="301"/>
      <c r="CGU193" s="301"/>
      <c r="CGV193" s="302"/>
      <c r="CGW193" s="309"/>
      <c r="CGX193" s="329"/>
      <c r="CGY193" s="311"/>
      <c r="CGZ193" s="312"/>
      <c r="CHA193" s="326"/>
      <c r="CHB193" s="332"/>
      <c r="CHC193" s="321"/>
      <c r="CHD193" s="321"/>
      <c r="CHE193" s="331"/>
      <c r="CHF193" s="308"/>
      <c r="CHG193" s="301"/>
      <c r="CHH193" s="301"/>
      <c r="CHI193" s="302"/>
      <c r="CHJ193" s="309"/>
      <c r="CHK193" s="329"/>
      <c r="CHL193" s="311"/>
      <c r="CHM193" s="312"/>
      <c r="CHN193" s="326"/>
      <c r="CHO193" s="332"/>
      <c r="CHP193" s="321"/>
      <c r="CHQ193" s="321"/>
      <c r="CHR193" s="331"/>
      <c r="CHS193" s="308"/>
      <c r="CHT193" s="301"/>
      <c r="CHU193" s="301"/>
      <c r="CHV193" s="302"/>
      <c r="CHW193" s="309"/>
      <c r="CHX193" s="329"/>
      <c r="CHY193" s="311"/>
      <c r="CHZ193" s="312"/>
      <c r="CIA193" s="326"/>
      <c r="CIB193" s="332"/>
      <c r="CIC193" s="321"/>
      <c r="CID193" s="321"/>
      <c r="CIE193" s="331"/>
      <c r="CIF193" s="308"/>
      <c r="CIG193" s="301"/>
      <c r="CIH193" s="301"/>
      <c r="CII193" s="302"/>
      <c r="CIJ193" s="309"/>
      <c r="CIK193" s="329"/>
      <c r="CIL193" s="311"/>
      <c r="CIM193" s="312"/>
      <c r="CIN193" s="326"/>
      <c r="CIO193" s="332"/>
      <c r="CIP193" s="321"/>
      <c r="CIQ193" s="321"/>
      <c r="CIR193" s="331"/>
      <c r="CIS193" s="308"/>
      <c r="CIT193" s="301"/>
      <c r="CIU193" s="301"/>
      <c r="CIV193" s="302"/>
      <c r="CIW193" s="309"/>
      <c r="CIX193" s="329"/>
      <c r="CIY193" s="311"/>
      <c r="CIZ193" s="312"/>
      <c r="CJA193" s="326"/>
      <c r="CJB193" s="332"/>
      <c r="CJC193" s="321"/>
      <c r="CJD193" s="321"/>
      <c r="CJE193" s="331"/>
      <c r="CJF193" s="308"/>
      <c r="CJG193" s="301"/>
      <c r="CJH193" s="301"/>
      <c r="CJI193" s="302"/>
      <c r="CJJ193" s="309"/>
      <c r="CJK193" s="329"/>
      <c r="CJL193" s="311"/>
      <c r="CJM193" s="312"/>
      <c r="CJN193" s="326"/>
      <c r="CJO193" s="332"/>
      <c r="CJP193" s="321"/>
      <c r="CJQ193" s="321"/>
      <c r="CJR193" s="331"/>
      <c r="CJS193" s="308"/>
      <c r="CJT193" s="301"/>
      <c r="CJU193" s="301"/>
      <c r="CJV193" s="302"/>
      <c r="CJW193" s="309"/>
      <c r="CJX193" s="329"/>
      <c r="CJY193" s="311"/>
      <c r="CJZ193" s="312"/>
      <c r="CKA193" s="326"/>
      <c r="CKB193" s="332"/>
      <c r="CKC193" s="321"/>
      <c r="CKD193" s="321"/>
      <c r="CKE193" s="331"/>
      <c r="CKF193" s="308"/>
      <c r="CKG193" s="301"/>
      <c r="CKH193" s="301"/>
      <c r="CKI193" s="302"/>
      <c r="CKJ193" s="309"/>
      <c r="CKK193" s="329"/>
      <c r="CKL193" s="311"/>
      <c r="CKM193" s="312"/>
      <c r="CKN193" s="326"/>
      <c r="CKO193" s="332"/>
      <c r="CKP193" s="321"/>
      <c r="CKQ193" s="321"/>
      <c r="CKR193" s="331"/>
      <c r="CKS193" s="308"/>
      <c r="CKT193" s="301"/>
      <c r="CKU193" s="301"/>
      <c r="CKV193" s="302"/>
      <c r="CKW193" s="309"/>
      <c r="CKX193" s="329"/>
      <c r="CKY193" s="311"/>
      <c r="CKZ193" s="312"/>
      <c r="CLA193" s="326"/>
      <c r="CLB193" s="332"/>
      <c r="CLC193" s="321"/>
      <c r="CLD193" s="321"/>
      <c r="CLE193" s="331"/>
      <c r="CLF193" s="308"/>
      <c r="CLG193" s="301"/>
      <c r="CLH193" s="301"/>
      <c r="CLI193" s="302"/>
      <c r="CLJ193" s="309"/>
      <c r="CLK193" s="329"/>
      <c r="CLL193" s="311"/>
      <c r="CLM193" s="312"/>
      <c r="CLN193" s="326"/>
      <c r="CLO193" s="332"/>
      <c r="CLP193" s="321"/>
      <c r="CLQ193" s="321"/>
      <c r="CLR193" s="331"/>
      <c r="CLS193" s="308"/>
      <c r="CLT193" s="301"/>
      <c r="CLU193" s="301"/>
      <c r="CLV193" s="302"/>
      <c r="CLW193" s="309"/>
      <c r="CLX193" s="329"/>
      <c r="CLY193" s="311"/>
      <c r="CLZ193" s="312"/>
      <c r="CMA193" s="326"/>
      <c r="CMB193" s="332"/>
      <c r="CMC193" s="321"/>
      <c r="CMD193" s="321"/>
      <c r="CME193" s="331"/>
      <c r="CMF193" s="308"/>
      <c r="CMG193" s="301"/>
      <c r="CMH193" s="301"/>
      <c r="CMI193" s="302"/>
      <c r="CMJ193" s="309"/>
      <c r="CMK193" s="329"/>
      <c r="CML193" s="311"/>
      <c r="CMM193" s="312"/>
      <c r="CMN193" s="326"/>
      <c r="CMO193" s="332"/>
      <c r="CMP193" s="321"/>
      <c r="CMQ193" s="321"/>
      <c r="CMR193" s="331"/>
      <c r="CMS193" s="308"/>
      <c r="CMT193" s="301"/>
      <c r="CMU193" s="301"/>
      <c r="CMV193" s="302"/>
      <c r="CMW193" s="309"/>
      <c r="CMX193" s="329"/>
      <c r="CMY193" s="311"/>
      <c r="CMZ193" s="312"/>
      <c r="CNA193" s="326"/>
      <c r="CNB193" s="332"/>
      <c r="CNC193" s="321"/>
      <c r="CND193" s="321"/>
      <c r="CNE193" s="331"/>
      <c r="CNF193" s="308"/>
      <c r="CNG193" s="301"/>
      <c r="CNH193" s="301"/>
      <c r="CNI193" s="302"/>
      <c r="CNJ193" s="309"/>
      <c r="CNK193" s="329"/>
      <c r="CNL193" s="311"/>
      <c r="CNM193" s="312"/>
      <c r="CNN193" s="326"/>
      <c r="CNO193" s="332"/>
      <c r="CNP193" s="321"/>
      <c r="CNQ193" s="321"/>
      <c r="CNR193" s="331"/>
      <c r="CNS193" s="308"/>
      <c r="CNT193" s="301"/>
      <c r="CNU193" s="301"/>
      <c r="CNV193" s="302"/>
      <c r="CNW193" s="309"/>
      <c r="CNX193" s="329"/>
      <c r="CNY193" s="311"/>
      <c r="CNZ193" s="312"/>
      <c r="COA193" s="326"/>
      <c r="COB193" s="332"/>
      <c r="COC193" s="321"/>
      <c r="COD193" s="321"/>
      <c r="COE193" s="331"/>
      <c r="COF193" s="308"/>
      <c r="COG193" s="301"/>
      <c r="COH193" s="301"/>
      <c r="COI193" s="302"/>
      <c r="COJ193" s="309"/>
      <c r="COK193" s="329"/>
      <c r="COL193" s="311"/>
      <c r="COM193" s="312"/>
      <c r="CON193" s="326"/>
      <c r="COO193" s="332"/>
      <c r="COP193" s="321"/>
      <c r="COQ193" s="321"/>
      <c r="COR193" s="331"/>
      <c r="COS193" s="308"/>
      <c r="COT193" s="301"/>
      <c r="COU193" s="301"/>
      <c r="COV193" s="302"/>
      <c r="COW193" s="309"/>
      <c r="COX193" s="329"/>
      <c r="COY193" s="311"/>
      <c r="COZ193" s="312"/>
      <c r="CPA193" s="326"/>
      <c r="CPB193" s="332"/>
      <c r="CPC193" s="321"/>
      <c r="CPD193" s="321"/>
      <c r="CPE193" s="331"/>
      <c r="CPF193" s="308"/>
      <c r="CPG193" s="301"/>
      <c r="CPH193" s="301"/>
      <c r="CPI193" s="302"/>
      <c r="CPJ193" s="309"/>
      <c r="CPK193" s="329"/>
      <c r="CPL193" s="311"/>
      <c r="CPM193" s="312"/>
      <c r="CPN193" s="326"/>
      <c r="CPO193" s="332"/>
      <c r="CPP193" s="321"/>
      <c r="CPQ193" s="321"/>
      <c r="CPR193" s="331"/>
      <c r="CPS193" s="308"/>
      <c r="CPT193" s="301"/>
      <c r="CPU193" s="301"/>
      <c r="CPV193" s="302"/>
      <c r="CPW193" s="309"/>
      <c r="CPX193" s="329"/>
      <c r="CPY193" s="311"/>
      <c r="CPZ193" s="312"/>
      <c r="CQA193" s="326"/>
      <c r="CQB193" s="332"/>
      <c r="CQC193" s="321"/>
      <c r="CQD193" s="321"/>
      <c r="CQE193" s="331"/>
      <c r="CQF193" s="308"/>
      <c r="CQG193" s="301"/>
      <c r="CQH193" s="301"/>
      <c r="CQI193" s="302"/>
      <c r="CQJ193" s="309"/>
      <c r="CQK193" s="329"/>
      <c r="CQL193" s="311"/>
      <c r="CQM193" s="312"/>
      <c r="CQN193" s="326"/>
      <c r="CQO193" s="332"/>
      <c r="CQP193" s="321"/>
      <c r="CQQ193" s="321"/>
      <c r="CQR193" s="331"/>
      <c r="CQS193" s="308"/>
      <c r="CQT193" s="301"/>
      <c r="CQU193" s="301"/>
      <c r="CQV193" s="302"/>
      <c r="CQW193" s="309"/>
      <c r="CQX193" s="329"/>
      <c r="CQY193" s="311"/>
      <c r="CQZ193" s="312"/>
      <c r="CRA193" s="326"/>
      <c r="CRB193" s="332"/>
      <c r="CRC193" s="321"/>
      <c r="CRD193" s="321"/>
      <c r="CRE193" s="331"/>
      <c r="CRF193" s="308"/>
      <c r="CRG193" s="301"/>
      <c r="CRH193" s="301"/>
      <c r="CRI193" s="302"/>
      <c r="CRJ193" s="309"/>
      <c r="CRK193" s="329"/>
      <c r="CRL193" s="311"/>
      <c r="CRM193" s="312"/>
      <c r="CRN193" s="326"/>
      <c r="CRO193" s="332"/>
      <c r="CRP193" s="321"/>
      <c r="CRQ193" s="321"/>
      <c r="CRR193" s="331"/>
      <c r="CRS193" s="308"/>
      <c r="CRT193" s="301"/>
      <c r="CRU193" s="301"/>
      <c r="CRV193" s="302"/>
      <c r="CRW193" s="309"/>
      <c r="CRX193" s="329"/>
      <c r="CRY193" s="311"/>
      <c r="CRZ193" s="312"/>
      <c r="CSA193" s="326"/>
      <c r="CSB193" s="332"/>
      <c r="CSC193" s="321"/>
      <c r="CSD193" s="321"/>
      <c r="CSE193" s="331"/>
      <c r="CSF193" s="308"/>
      <c r="CSG193" s="301"/>
      <c r="CSH193" s="301"/>
      <c r="CSI193" s="302"/>
      <c r="CSJ193" s="309"/>
      <c r="CSK193" s="329"/>
      <c r="CSL193" s="311"/>
      <c r="CSM193" s="312"/>
      <c r="CSN193" s="326"/>
      <c r="CSO193" s="332"/>
      <c r="CSP193" s="321"/>
      <c r="CSQ193" s="321"/>
      <c r="CSR193" s="331"/>
      <c r="CSS193" s="308"/>
      <c r="CST193" s="301"/>
      <c r="CSU193" s="301"/>
      <c r="CSV193" s="302"/>
      <c r="CSW193" s="309"/>
      <c r="CSX193" s="329"/>
      <c r="CSY193" s="311"/>
      <c r="CSZ193" s="312"/>
      <c r="CTA193" s="326"/>
      <c r="CTB193" s="332"/>
      <c r="CTC193" s="321"/>
      <c r="CTD193" s="321"/>
      <c r="CTE193" s="331"/>
      <c r="CTF193" s="308"/>
      <c r="CTG193" s="301"/>
      <c r="CTH193" s="301"/>
      <c r="CTI193" s="302"/>
      <c r="CTJ193" s="309"/>
      <c r="CTK193" s="329"/>
      <c r="CTL193" s="311"/>
      <c r="CTM193" s="312"/>
      <c r="CTN193" s="326"/>
      <c r="CTO193" s="332"/>
      <c r="CTP193" s="321"/>
      <c r="CTQ193" s="321"/>
      <c r="CTR193" s="331"/>
      <c r="CTS193" s="308"/>
      <c r="CTT193" s="301"/>
      <c r="CTU193" s="301"/>
      <c r="CTV193" s="302"/>
      <c r="CTW193" s="309"/>
      <c r="CTX193" s="329"/>
      <c r="CTY193" s="311"/>
      <c r="CTZ193" s="312"/>
      <c r="CUA193" s="326"/>
      <c r="CUB193" s="332"/>
      <c r="CUC193" s="321"/>
      <c r="CUD193" s="321"/>
      <c r="CUE193" s="331"/>
      <c r="CUF193" s="308"/>
      <c r="CUG193" s="301"/>
      <c r="CUH193" s="301"/>
      <c r="CUI193" s="302"/>
      <c r="CUJ193" s="309"/>
      <c r="CUK193" s="329"/>
      <c r="CUL193" s="311"/>
      <c r="CUM193" s="312"/>
      <c r="CUN193" s="326"/>
      <c r="CUO193" s="332"/>
      <c r="CUP193" s="321"/>
      <c r="CUQ193" s="321"/>
      <c r="CUR193" s="331"/>
      <c r="CUS193" s="308"/>
      <c r="CUT193" s="301"/>
      <c r="CUU193" s="301"/>
      <c r="CUV193" s="302"/>
      <c r="CUW193" s="309"/>
      <c r="CUX193" s="329"/>
      <c r="CUY193" s="311"/>
      <c r="CUZ193" s="312"/>
      <c r="CVA193" s="326"/>
      <c r="CVB193" s="332"/>
      <c r="CVC193" s="321"/>
      <c r="CVD193" s="321"/>
      <c r="CVE193" s="331"/>
      <c r="CVF193" s="308"/>
      <c r="CVG193" s="301"/>
      <c r="CVH193" s="301"/>
      <c r="CVI193" s="302"/>
      <c r="CVJ193" s="309"/>
      <c r="CVK193" s="329"/>
      <c r="CVL193" s="311"/>
      <c r="CVM193" s="312"/>
      <c r="CVN193" s="326"/>
      <c r="CVO193" s="332"/>
      <c r="CVP193" s="321"/>
      <c r="CVQ193" s="321"/>
      <c r="CVR193" s="331"/>
      <c r="CVS193" s="308"/>
      <c r="CVT193" s="301"/>
      <c r="CVU193" s="301"/>
      <c r="CVV193" s="302"/>
      <c r="CVW193" s="309"/>
      <c r="CVX193" s="329"/>
      <c r="CVY193" s="311"/>
      <c r="CVZ193" s="312"/>
      <c r="CWA193" s="326"/>
      <c r="CWB193" s="332"/>
      <c r="CWC193" s="321"/>
      <c r="CWD193" s="321"/>
      <c r="CWE193" s="331"/>
      <c r="CWF193" s="308"/>
      <c r="CWG193" s="301"/>
      <c r="CWH193" s="301"/>
      <c r="CWI193" s="302"/>
      <c r="CWJ193" s="309"/>
      <c r="CWK193" s="329"/>
      <c r="CWL193" s="311"/>
      <c r="CWM193" s="312"/>
      <c r="CWN193" s="326"/>
      <c r="CWO193" s="332"/>
      <c r="CWP193" s="321"/>
      <c r="CWQ193" s="321"/>
      <c r="CWR193" s="331"/>
      <c r="CWS193" s="308"/>
      <c r="CWT193" s="301"/>
      <c r="CWU193" s="301"/>
      <c r="CWV193" s="302"/>
      <c r="CWW193" s="309"/>
      <c r="CWX193" s="329"/>
      <c r="CWY193" s="311"/>
      <c r="CWZ193" s="312"/>
      <c r="CXA193" s="326"/>
      <c r="CXB193" s="332"/>
      <c r="CXC193" s="321"/>
      <c r="CXD193" s="321"/>
      <c r="CXE193" s="331"/>
      <c r="CXF193" s="308"/>
      <c r="CXG193" s="301"/>
      <c r="CXH193" s="301"/>
      <c r="CXI193" s="302"/>
      <c r="CXJ193" s="309"/>
      <c r="CXK193" s="329"/>
      <c r="CXL193" s="311"/>
      <c r="CXM193" s="312"/>
      <c r="CXN193" s="326"/>
      <c r="CXO193" s="332"/>
      <c r="CXP193" s="321"/>
      <c r="CXQ193" s="321"/>
      <c r="CXR193" s="331"/>
      <c r="CXS193" s="308"/>
      <c r="CXT193" s="301"/>
      <c r="CXU193" s="301"/>
      <c r="CXV193" s="302"/>
      <c r="CXW193" s="309"/>
      <c r="CXX193" s="329"/>
      <c r="CXY193" s="311"/>
      <c r="CXZ193" s="312"/>
      <c r="CYA193" s="326"/>
      <c r="CYB193" s="332"/>
      <c r="CYC193" s="321"/>
      <c r="CYD193" s="321"/>
      <c r="CYE193" s="331"/>
      <c r="CYF193" s="308"/>
      <c r="CYG193" s="301"/>
      <c r="CYH193" s="301"/>
      <c r="CYI193" s="302"/>
      <c r="CYJ193" s="309"/>
      <c r="CYK193" s="329"/>
      <c r="CYL193" s="311"/>
      <c r="CYM193" s="312"/>
      <c r="CYN193" s="326"/>
      <c r="CYO193" s="332"/>
      <c r="CYP193" s="321"/>
      <c r="CYQ193" s="321"/>
      <c r="CYR193" s="331"/>
      <c r="CYS193" s="308"/>
      <c r="CYT193" s="301"/>
      <c r="CYU193" s="301"/>
      <c r="CYV193" s="302"/>
      <c r="CYW193" s="309"/>
      <c r="CYX193" s="329"/>
      <c r="CYY193" s="311"/>
      <c r="CYZ193" s="312"/>
      <c r="CZA193" s="326"/>
      <c r="CZB193" s="332"/>
      <c r="CZC193" s="321"/>
      <c r="CZD193" s="321"/>
      <c r="CZE193" s="331"/>
      <c r="CZF193" s="308"/>
      <c r="CZG193" s="301"/>
      <c r="CZH193" s="301"/>
      <c r="CZI193" s="302"/>
      <c r="CZJ193" s="309"/>
      <c r="CZK193" s="329"/>
      <c r="CZL193" s="311"/>
      <c r="CZM193" s="312"/>
      <c r="CZN193" s="326"/>
      <c r="CZO193" s="332"/>
      <c r="CZP193" s="321"/>
      <c r="CZQ193" s="321"/>
      <c r="CZR193" s="331"/>
      <c r="CZS193" s="308"/>
      <c r="CZT193" s="301"/>
      <c r="CZU193" s="301"/>
      <c r="CZV193" s="302"/>
      <c r="CZW193" s="309"/>
      <c r="CZX193" s="329"/>
      <c r="CZY193" s="311"/>
      <c r="CZZ193" s="312"/>
      <c r="DAA193" s="326"/>
      <c r="DAB193" s="332"/>
      <c r="DAC193" s="321"/>
      <c r="DAD193" s="321"/>
      <c r="DAE193" s="331"/>
      <c r="DAF193" s="308"/>
      <c r="DAG193" s="301"/>
      <c r="DAH193" s="301"/>
      <c r="DAI193" s="302"/>
      <c r="DAJ193" s="309"/>
      <c r="DAK193" s="329"/>
      <c r="DAL193" s="311"/>
      <c r="DAM193" s="312"/>
      <c r="DAN193" s="326"/>
      <c r="DAO193" s="332"/>
      <c r="DAP193" s="321"/>
      <c r="DAQ193" s="321"/>
      <c r="DAR193" s="331"/>
      <c r="DAS193" s="308"/>
      <c r="DAT193" s="301"/>
      <c r="DAU193" s="301"/>
      <c r="DAV193" s="302"/>
      <c r="DAW193" s="309"/>
      <c r="DAX193" s="329"/>
      <c r="DAY193" s="311"/>
      <c r="DAZ193" s="312"/>
      <c r="DBA193" s="326"/>
      <c r="DBB193" s="332"/>
      <c r="DBC193" s="321"/>
      <c r="DBD193" s="321"/>
      <c r="DBE193" s="331"/>
      <c r="DBF193" s="308"/>
      <c r="DBG193" s="301"/>
      <c r="DBH193" s="301"/>
      <c r="DBI193" s="302"/>
      <c r="DBJ193" s="309"/>
      <c r="DBK193" s="329"/>
      <c r="DBL193" s="311"/>
      <c r="DBM193" s="312"/>
      <c r="DBN193" s="326"/>
      <c r="DBO193" s="332"/>
      <c r="DBP193" s="321"/>
      <c r="DBQ193" s="321"/>
      <c r="DBR193" s="331"/>
      <c r="DBS193" s="308"/>
      <c r="DBT193" s="301"/>
      <c r="DBU193" s="301"/>
      <c r="DBV193" s="302"/>
      <c r="DBW193" s="309"/>
      <c r="DBX193" s="329"/>
      <c r="DBY193" s="311"/>
      <c r="DBZ193" s="312"/>
      <c r="DCA193" s="326"/>
      <c r="DCB193" s="332"/>
      <c r="DCC193" s="321"/>
      <c r="DCD193" s="321"/>
      <c r="DCE193" s="331"/>
      <c r="DCF193" s="308"/>
      <c r="DCG193" s="301"/>
      <c r="DCH193" s="301"/>
      <c r="DCI193" s="302"/>
      <c r="DCJ193" s="309"/>
      <c r="DCK193" s="329"/>
      <c r="DCL193" s="311"/>
      <c r="DCM193" s="312"/>
      <c r="DCN193" s="326"/>
      <c r="DCO193" s="332"/>
      <c r="DCP193" s="321"/>
      <c r="DCQ193" s="321"/>
      <c r="DCR193" s="331"/>
      <c r="DCS193" s="308"/>
      <c r="DCT193" s="301"/>
      <c r="DCU193" s="301"/>
      <c r="DCV193" s="302"/>
      <c r="DCW193" s="309"/>
      <c r="DCX193" s="329"/>
      <c r="DCY193" s="311"/>
      <c r="DCZ193" s="312"/>
      <c r="DDA193" s="326"/>
      <c r="DDB193" s="332"/>
      <c r="DDC193" s="321"/>
      <c r="DDD193" s="321"/>
      <c r="DDE193" s="331"/>
      <c r="DDF193" s="308"/>
      <c r="DDG193" s="301"/>
      <c r="DDH193" s="301"/>
      <c r="DDI193" s="302"/>
      <c r="DDJ193" s="309"/>
      <c r="DDK193" s="329"/>
      <c r="DDL193" s="311"/>
      <c r="DDM193" s="312"/>
      <c r="DDN193" s="326"/>
      <c r="DDO193" s="332"/>
      <c r="DDP193" s="321"/>
      <c r="DDQ193" s="321"/>
      <c r="DDR193" s="331"/>
      <c r="DDS193" s="308"/>
      <c r="DDT193" s="301"/>
      <c r="DDU193" s="301"/>
      <c r="DDV193" s="302"/>
      <c r="DDW193" s="309"/>
      <c r="DDX193" s="329"/>
      <c r="DDY193" s="311"/>
      <c r="DDZ193" s="312"/>
      <c r="DEA193" s="326"/>
      <c r="DEB193" s="332"/>
      <c r="DEC193" s="321"/>
      <c r="DED193" s="321"/>
      <c r="DEE193" s="331"/>
      <c r="DEF193" s="308"/>
      <c r="DEG193" s="301"/>
      <c r="DEH193" s="301"/>
      <c r="DEI193" s="302"/>
      <c r="DEJ193" s="309"/>
      <c r="DEK193" s="329"/>
      <c r="DEL193" s="311"/>
      <c r="DEM193" s="312"/>
      <c r="DEN193" s="326"/>
      <c r="DEO193" s="332"/>
      <c r="DEP193" s="321"/>
      <c r="DEQ193" s="321"/>
      <c r="DER193" s="331"/>
      <c r="DES193" s="308"/>
      <c r="DET193" s="301"/>
      <c r="DEU193" s="301"/>
      <c r="DEV193" s="302"/>
      <c r="DEW193" s="309"/>
      <c r="DEX193" s="329"/>
      <c r="DEY193" s="311"/>
      <c r="DEZ193" s="312"/>
      <c r="DFA193" s="326"/>
      <c r="DFB193" s="332"/>
      <c r="DFC193" s="321"/>
      <c r="DFD193" s="321"/>
      <c r="DFE193" s="331"/>
      <c r="DFF193" s="308"/>
      <c r="DFG193" s="301"/>
      <c r="DFH193" s="301"/>
      <c r="DFI193" s="302"/>
      <c r="DFJ193" s="309"/>
      <c r="DFK193" s="329"/>
      <c r="DFL193" s="311"/>
      <c r="DFM193" s="312"/>
      <c r="DFN193" s="326"/>
      <c r="DFO193" s="332"/>
      <c r="DFP193" s="321"/>
      <c r="DFQ193" s="321"/>
      <c r="DFR193" s="331"/>
      <c r="DFS193" s="308"/>
      <c r="DFT193" s="301"/>
      <c r="DFU193" s="301"/>
      <c r="DFV193" s="302"/>
      <c r="DFW193" s="309"/>
      <c r="DFX193" s="329"/>
      <c r="DFY193" s="311"/>
      <c r="DFZ193" s="312"/>
      <c r="DGA193" s="326"/>
      <c r="DGB193" s="332"/>
      <c r="DGC193" s="321"/>
      <c r="DGD193" s="321"/>
      <c r="DGE193" s="331"/>
      <c r="DGF193" s="308"/>
      <c r="DGG193" s="301"/>
      <c r="DGH193" s="301"/>
      <c r="DGI193" s="302"/>
      <c r="DGJ193" s="309"/>
      <c r="DGK193" s="329"/>
      <c r="DGL193" s="311"/>
      <c r="DGM193" s="312"/>
      <c r="DGN193" s="326"/>
      <c r="DGO193" s="332"/>
      <c r="DGP193" s="321"/>
      <c r="DGQ193" s="321"/>
      <c r="DGR193" s="331"/>
      <c r="DGS193" s="308"/>
      <c r="DGT193" s="301"/>
      <c r="DGU193" s="301"/>
      <c r="DGV193" s="302"/>
      <c r="DGW193" s="309"/>
      <c r="DGX193" s="329"/>
      <c r="DGY193" s="311"/>
      <c r="DGZ193" s="312"/>
      <c r="DHA193" s="326"/>
      <c r="DHB193" s="332"/>
      <c r="DHC193" s="321"/>
      <c r="DHD193" s="321"/>
      <c r="DHE193" s="331"/>
      <c r="DHF193" s="308"/>
      <c r="DHG193" s="301"/>
      <c r="DHH193" s="301"/>
      <c r="DHI193" s="302"/>
      <c r="DHJ193" s="309"/>
      <c r="DHK193" s="329"/>
      <c r="DHL193" s="311"/>
      <c r="DHM193" s="312"/>
      <c r="DHN193" s="326"/>
      <c r="DHO193" s="332"/>
      <c r="DHP193" s="321"/>
      <c r="DHQ193" s="321"/>
      <c r="DHR193" s="331"/>
      <c r="DHS193" s="308"/>
      <c r="DHT193" s="301"/>
      <c r="DHU193" s="301"/>
      <c r="DHV193" s="302"/>
      <c r="DHW193" s="309"/>
      <c r="DHX193" s="329"/>
      <c r="DHY193" s="311"/>
      <c r="DHZ193" s="312"/>
      <c r="DIA193" s="326"/>
      <c r="DIB193" s="332"/>
      <c r="DIC193" s="321"/>
      <c r="DID193" s="321"/>
      <c r="DIE193" s="331"/>
      <c r="DIF193" s="308"/>
      <c r="DIG193" s="301"/>
      <c r="DIH193" s="301"/>
      <c r="DII193" s="302"/>
      <c r="DIJ193" s="309"/>
      <c r="DIK193" s="329"/>
      <c r="DIL193" s="311"/>
      <c r="DIM193" s="312"/>
      <c r="DIN193" s="326"/>
      <c r="DIO193" s="332"/>
      <c r="DIP193" s="321"/>
      <c r="DIQ193" s="321"/>
      <c r="DIR193" s="331"/>
      <c r="DIS193" s="308"/>
      <c r="DIT193" s="301"/>
      <c r="DIU193" s="301"/>
      <c r="DIV193" s="302"/>
      <c r="DIW193" s="309"/>
      <c r="DIX193" s="329"/>
      <c r="DIY193" s="311"/>
      <c r="DIZ193" s="312"/>
      <c r="DJA193" s="326"/>
      <c r="DJB193" s="332"/>
      <c r="DJC193" s="321"/>
      <c r="DJD193" s="321"/>
      <c r="DJE193" s="331"/>
      <c r="DJF193" s="308"/>
      <c r="DJG193" s="301"/>
      <c r="DJH193" s="301"/>
      <c r="DJI193" s="302"/>
      <c r="DJJ193" s="309"/>
      <c r="DJK193" s="329"/>
      <c r="DJL193" s="311"/>
      <c r="DJM193" s="312"/>
      <c r="DJN193" s="326"/>
      <c r="DJO193" s="332"/>
      <c r="DJP193" s="321"/>
      <c r="DJQ193" s="321"/>
      <c r="DJR193" s="331"/>
      <c r="DJS193" s="308"/>
      <c r="DJT193" s="301"/>
      <c r="DJU193" s="301"/>
      <c r="DJV193" s="302"/>
      <c r="DJW193" s="309"/>
      <c r="DJX193" s="329"/>
      <c r="DJY193" s="311"/>
      <c r="DJZ193" s="312"/>
      <c r="DKA193" s="326"/>
      <c r="DKB193" s="332"/>
      <c r="DKC193" s="321"/>
      <c r="DKD193" s="321"/>
      <c r="DKE193" s="331"/>
      <c r="DKF193" s="308"/>
      <c r="DKG193" s="301"/>
      <c r="DKH193" s="301"/>
      <c r="DKI193" s="302"/>
      <c r="DKJ193" s="309"/>
      <c r="DKK193" s="329"/>
      <c r="DKL193" s="311"/>
      <c r="DKM193" s="312"/>
      <c r="DKN193" s="326"/>
      <c r="DKO193" s="332"/>
      <c r="DKP193" s="321"/>
      <c r="DKQ193" s="321"/>
      <c r="DKR193" s="331"/>
      <c r="DKS193" s="308"/>
      <c r="DKT193" s="301"/>
      <c r="DKU193" s="301"/>
      <c r="DKV193" s="302"/>
      <c r="DKW193" s="309"/>
      <c r="DKX193" s="329"/>
      <c r="DKY193" s="311"/>
      <c r="DKZ193" s="312"/>
      <c r="DLA193" s="326"/>
      <c r="DLB193" s="332"/>
      <c r="DLC193" s="321"/>
      <c r="DLD193" s="321"/>
      <c r="DLE193" s="331"/>
      <c r="DLF193" s="308"/>
      <c r="DLG193" s="301"/>
      <c r="DLH193" s="301"/>
      <c r="DLI193" s="302"/>
      <c r="DLJ193" s="309"/>
      <c r="DLK193" s="329"/>
      <c r="DLL193" s="311"/>
      <c r="DLM193" s="312"/>
      <c r="DLN193" s="326"/>
      <c r="DLO193" s="332"/>
      <c r="DLP193" s="321"/>
      <c r="DLQ193" s="321"/>
      <c r="DLR193" s="331"/>
      <c r="DLS193" s="308"/>
      <c r="DLT193" s="301"/>
      <c r="DLU193" s="301"/>
      <c r="DLV193" s="302"/>
      <c r="DLW193" s="309"/>
      <c r="DLX193" s="329"/>
      <c r="DLY193" s="311"/>
      <c r="DLZ193" s="312"/>
      <c r="DMA193" s="326"/>
      <c r="DMB193" s="332"/>
      <c r="DMC193" s="321"/>
      <c r="DMD193" s="321"/>
      <c r="DME193" s="331"/>
      <c r="DMF193" s="308"/>
      <c r="DMG193" s="301"/>
      <c r="DMH193" s="301"/>
      <c r="DMI193" s="302"/>
      <c r="DMJ193" s="309"/>
      <c r="DMK193" s="329"/>
      <c r="DML193" s="311"/>
      <c r="DMM193" s="312"/>
      <c r="DMN193" s="326"/>
      <c r="DMO193" s="332"/>
      <c r="DMP193" s="321"/>
      <c r="DMQ193" s="321"/>
      <c r="DMR193" s="331"/>
      <c r="DMS193" s="308"/>
      <c r="DMT193" s="301"/>
      <c r="DMU193" s="301"/>
      <c r="DMV193" s="302"/>
      <c r="DMW193" s="309"/>
      <c r="DMX193" s="329"/>
      <c r="DMY193" s="311"/>
      <c r="DMZ193" s="312"/>
      <c r="DNA193" s="326"/>
      <c r="DNB193" s="332"/>
      <c r="DNC193" s="321"/>
      <c r="DND193" s="321"/>
      <c r="DNE193" s="331"/>
      <c r="DNF193" s="308"/>
      <c r="DNG193" s="301"/>
      <c r="DNH193" s="301"/>
      <c r="DNI193" s="302"/>
      <c r="DNJ193" s="309"/>
      <c r="DNK193" s="329"/>
      <c r="DNL193" s="311"/>
      <c r="DNM193" s="312"/>
      <c r="DNN193" s="326"/>
      <c r="DNO193" s="332"/>
      <c r="DNP193" s="321"/>
      <c r="DNQ193" s="321"/>
      <c r="DNR193" s="331"/>
      <c r="DNS193" s="308"/>
      <c r="DNT193" s="301"/>
      <c r="DNU193" s="301"/>
      <c r="DNV193" s="302"/>
      <c r="DNW193" s="309"/>
      <c r="DNX193" s="329"/>
      <c r="DNY193" s="311"/>
      <c r="DNZ193" s="312"/>
      <c r="DOA193" s="326"/>
      <c r="DOB193" s="332"/>
      <c r="DOC193" s="321"/>
      <c r="DOD193" s="321"/>
      <c r="DOE193" s="331"/>
      <c r="DOF193" s="308"/>
      <c r="DOG193" s="301"/>
      <c r="DOH193" s="301"/>
      <c r="DOI193" s="302"/>
      <c r="DOJ193" s="309"/>
      <c r="DOK193" s="329"/>
      <c r="DOL193" s="311"/>
      <c r="DOM193" s="312"/>
      <c r="DON193" s="326"/>
      <c r="DOO193" s="332"/>
      <c r="DOP193" s="321"/>
      <c r="DOQ193" s="321"/>
      <c r="DOR193" s="331"/>
      <c r="DOS193" s="308"/>
      <c r="DOT193" s="301"/>
      <c r="DOU193" s="301"/>
      <c r="DOV193" s="302"/>
      <c r="DOW193" s="309"/>
      <c r="DOX193" s="329"/>
      <c r="DOY193" s="311"/>
      <c r="DOZ193" s="312"/>
      <c r="DPA193" s="326"/>
      <c r="DPB193" s="332"/>
      <c r="DPC193" s="321"/>
      <c r="DPD193" s="321"/>
      <c r="DPE193" s="331"/>
      <c r="DPF193" s="308"/>
      <c r="DPG193" s="301"/>
      <c r="DPH193" s="301"/>
      <c r="DPI193" s="302"/>
      <c r="DPJ193" s="309"/>
      <c r="DPK193" s="329"/>
      <c r="DPL193" s="311"/>
      <c r="DPM193" s="312"/>
      <c r="DPN193" s="326"/>
      <c r="DPO193" s="332"/>
      <c r="DPP193" s="321"/>
      <c r="DPQ193" s="321"/>
      <c r="DPR193" s="331"/>
      <c r="DPS193" s="308"/>
      <c r="DPT193" s="301"/>
      <c r="DPU193" s="301"/>
      <c r="DPV193" s="302"/>
      <c r="DPW193" s="309"/>
      <c r="DPX193" s="329"/>
      <c r="DPY193" s="311"/>
      <c r="DPZ193" s="312"/>
      <c r="DQA193" s="326"/>
      <c r="DQB193" s="332"/>
      <c r="DQC193" s="321"/>
      <c r="DQD193" s="321"/>
      <c r="DQE193" s="331"/>
      <c r="DQF193" s="308"/>
      <c r="DQG193" s="301"/>
      <c r="DQH193" s="301"/>
      <c r="DQI193" s="302"/>
      <c r="DQJ193" s="309"/>
      <c r="DQK193" s="329"/>
      <c r="DQL193" s="311"/>
      <c r="DQM193" s="312"/>
      <c r="DQN193" s="326"/>
      <c r="DQO193" s="332"/>
      <c r="DQP193" s="321"/>
      <c r="DQQ193" s="321"/>
      <c r="DQR193" s="331"/>
      <c r="DQS193" s="308"/>
      <c r="DQT193" s="301"/>
      <c r="DQU193" s="301"/>
      <c r="DQV193" s="302"/>
      <c r="DQW193" s="309"/>
      <c r="DQX193" s="329"/>
      <c r="DQY193" s="311"/>
      <c r="DQZ193" s="312"/>
      <c r="DRA193" s="326"/>
      <c r="DRB193" s="332"/>
      <c r="DRC193" s="321"/>
      <c r="DRD193" s="321"/>
      <c r="DRE193" s="331"/>
      <c r="DRF193" s="308"/>
      <c r="DRG193" s="301"/>
      <c r="DRH193" s="301"/>
      <c r="DRI193" s="302"/>
      <c r="DRJ193" s="309"/>
      <c r="DRK193" s="329"/>
      <c r="DRL193" s="311"/>
      <c r="DRM193" s="312"/>
      <c r="DRN193" s="326"/>
      <c r="DRO193" s="332"/>
      <c r="DRP193" s="321"/>
      <c r="DRQ193" s="321"/>
      <c r="DRR193" s="331"/>
      <c r="DRS193" s="308"/>
      <c r="DRT193" s="301"/>
      <c r="DRU193" s="301"/>
      <c r="DRV193" s="302"/>
      <c r="DRW193" s="309"/>
      <c r="DRX193" s="329"/>
      <c r="DRY193" s="311"/>
      <c r="DRZ193" s="312"/>
      <c r="DSA193" s="326"/>
      <c r="DSB193" s="332"/>
      <c r="DSC193" s="321"/>
      <c r="DSD193" s="321"/>
      <c r="DSE193" s="331"/>
      <c r="DSF193" s="308"/>
      <c r="DSG193" s="301"/>
      <c r="DSH193" s="301"/>
      <c r="DSI193" s="302"/>
      <c r="DSJ193" s="309"/>
      <c r="DSK193" s="329"/>
      <c r="DSL193" s="311"/>
      <c r="DSM193" s="312"/>
      <c r="DSN193" s="326"/>
      <c r="DSO193" s="332"/>
      <c r="DSP193" s="321"/>
      <c r="DSQ193" s="321"/>
      <c r="DSR193" s="331"/>
      <c r="DSS193" s="308"/>
      <c r="DST193" s="301"/>
      <c r="DSU193" s="301"/>
      <c r="DSV193" s="302"/>
      <c r="DSW193" s="309"/>
      <c r="DSX193" s="329"/>
      <c r="DSY193" s="311"/>
      <c r="DSZ193" s="312"/>
      <c r="DTA193" s="326"/>
      <c r="DTB193" s="332"/>
      <c r="DTC193" s="321"/>
      <c r="DTD193" s="321"/>
      <c r="DTE193" s="331"/>
      <c r="DTF193" s="308"/>
      <c r="DTG193" s="301"/>
      <c r="DTH193" s="301"/>
      <c r="DTI193" s="302"/>
      <c r="DTJ193" s="309"/>
      <c r="DTK193" s="329"/>
      <c r="DTL193" s="311"/>
      <c r="DTM193" s="312"/>
      <c r="DTN193" s="326"/>
      <c r="DTO193" s="332"/>
      <c r="DTP193" s="321"/>
      <c r="DTQ193" s="321"/>
      <c r="DTR193" s="331"/>
      <c r="DTS193" s="308"/>
      <c r="DTT193" s="301"/>
      <c r="DTU193" s="301"/>
      <c r="DTV193" s="302"/>
      <c r="DTW193" s="309"/>
      <c r="DTX193" s="329"/>
      <c r="DTY193" s="311"/>
      <c r="DTZ193" s="312"/>
      <c r="DUA193" s="326"/>
      <c r="DUB193" s="332"/>
      <c r="DUC193" s="321"/>
      <c r="DUD193" s="321"/>
      <c r="DUE193" s="331"/>
      <c r="DUF193" s="308"/>
      <c r="DUG193" s="301"/>
      <c r="DUH193" s="301"/>
      <c r="DUI193" s="302"/>
      <c r="DUJ193" s="309"/>
      <c r="DUK193" s="329"/>
      <c r="DUL193" s="311"/>
      <c r="DUM193" s="312"/>
      <c r="DUN193" s="326"/>
      <c r="DUO193" s="332"/>
      <c r="DUP193" s="321"/>
      <c r="DUQ193" s="321"/>
      <c r="DUR193" s="331"/>
      <c r="DUS193" s="308"/>
      <c r="DUT193" s="301"/>
      <c r="DUU193" s="301"/>
      <c r="DUV193" s="302"/>
      <c r="DUW193" s="309"/>
      <c r="DUX193" s="329"/>
      <c r="DUY193" s="311"/>
      <c r="DUZ193" s="312"/>
      <c r="DVA193" s="326"/>
      <c r="DVB193" s="332"/>
      <c r="DVC193" s="321"/>
      <c r="DVD193" s="321"/>
      <c r="DVE193" s="331"/>
      <c r="DVF193" s="308"/>
      <c r="DVG193" s="301"/>
      <c r="DVH193" s="301"/>
      <c r="DVI193" s="302"/>
      <c r="DVJ193" s="309"/>
      <c r="DVK193" s="329"/>
      <c r="DVL193" s="311"/>
      <c r="DVM193" s="312"/>
      <c r="DVN193" s="326"/>
      <c r="DVO193" s="332"/>
      <c r="DVP193" s="321"/>
      <c r="DVQ193" s="321"/>
      <c r="DVR193" s="331"/>
      <c r="DVS193" s="308"/>
      <c r="DVT193" s="301"/>
      <c r="DVU193" s="301"/>
      <c r="DVV193" s="302"/>
      <c r="DVW193" s="309"/>
      <c r="DVX193" s="329"/>
      <c r="DVY193" s="311"/>
      <c r="DVZ193" s="312"/>
      <c r="DWA193" s="326"/>
      <c r="DWB193" s="332"/>
      <c r="DWC193" s="321"/>
      <c r="DWD193" s="321"/>
      <c r="DWE193" s="331"/>
      <c r="DWF193" s="308"/>
      <c r="DWG193" s="301"/>
      <c r="DWH193" s="301"/>
      <c r="DWI193" s="302"/>
      <c r="DWJ193" s="309"/>
      <c r="DWK193" s="329"/>
      <c r="DWL193" s="311"/>
      <c r="DWM193" s="312"/>
      <c r="DWN193" s="326"/>
      <c r="DWO193" s="332"/>
      <c r="DWP193" s="321"/>
      <c r="DWQ193" s="321"/>
      <c r="DWR193" s="331"/>
      <c r="DWS193" s="308"/>
      <c r="DWT193" s="301"/>
      <c r="DWU193" s="301"/>
      <c r="DWV193" s="302"/>
      <c r="DWW193" s="309"/>
      <c r="DWX193" s="329"/>
      <c r="DWY193" s="311"/>
      <c r="DWZ193" s="312"/>
      <c r="DXA193" s="326"/>
      <c r="DXB193" s="332"/>
      <c r="DXC193" s="321"/>
      <c r="DXD193" s="321"/>
      <c r="DXE193" s="331"/>
      <c r="DXF193" s="308"/>
      <c r="DXG193" s="301"/>
      <c r="DXH193" s="301"/>
      <c r="DXI193" s="302"/>
      <c r="DXJ193" s="309"/>
      <c r="DXK193" s="329"/>
      <c r="DXL193" s="311"/>
      <c r="DXM193" s="312"/>
      <c r="DXN193" s="326"/>
      <c r="DXO193" s="332"/>
      <c r="DXP193" s="321"/>
      <c r="DXQ193" s="321"/>
      <c r="DXR193" s="331"/>
      <c r="DXS193" s="308"/>
      <c r="DXT193" s="301"/>
      <c r="DXU193" s="301"/>
      <c r="DXV193" s="302"/>
      <c r="DXW193" s="309"/>
      <c r="DXX193" s="329"/>
      <c r="DXY193" s="311"/>
      <c r="DXZ193" s="312"/>
      <c r="DYA193" s="326"/>
      <c r="DYB193" s="332"/>
      <c r="DYC193" s="321"/>
      <c r="DYD193" s="321"/>
      <c r="DYE193" s="331"/>
      <c r="DYF193" s="308"/>
      <c r="DYG193" s="301"/>
      <c r="DYH193" s="301"/>
      <c r="DYI193" s="302"/>
      <c r="DYJ193" s="309"/>
      <c r="DYK193" s="329"/>
      <c r="DYL193" s="311"/>
      <c r="DYM193" s="312"/>
      <c r="DYN193" s="326"/>
      <c r="DYO193" s="332"/>
      <c r="DYP193" s="321"/>
      <c r="DYQ193" s="321"/>
      <c r="DYR193" s="331"/>
      <c r="DYS193" s="308"/>
      <c r="DYT193" s="301"/>
      <c r="DYU193" s="301"/>
      <c r="DYV193" s="302"/>
      <c r="DYW193" s="309"/>
      <c r="DYX193" s="329"/>
      <c r="DYY193" s="311"/>
      <c r="DYZ193" s="312"/>
      <c r="DZA193" s="326"/>
      <c r="DZB193" s="332"/>
      <c r="DZC193" s="321"/>
      <c r="DZD193" s="321"/>
      <c r="DZE193" s="331"/>
      <c r="DZF193" s="308"/>
      <c r="DZG193" s="301"/>
      <c r="DZH193" s="301"/>
      <c r="DZI193" s="302"/>
      <c r="DZJ193" s="309"/>
      <c r="DZK193" s="329"/>
      <c r="DZL193" s="311"/>
      <c r="DZM193" s="312"/>
      <c r="DZN193" s="326"/>
      <c r="DZO193" s="332"/>
      <c r="DZP193" s="321"/>
      <c r="DZQ193" s="321"/>
      <c r="DZR193" s="331"/>
      <c r="DZS193" s="308"/>
      <c r="DZT193" s="301"/>
      <c r="DZU193" s="301"/>
      <c r="DZV193" s="302"/>
      <c r="DZW193" s="309"/>
      <c r="DZX193" s="329"/>
      <c r="DZY193" s="311"/>
      <c r="DZZ193" s="312"/>
      <c r="EAA193" s="326"/>
      <c r="EAB193" s="332"/>
      <c r="EAC193" s="321"/>
      <c r="EAD193" s="321"/>
      <c r="EAE193" s="331"/>
      <c r="EAF193" s="308"/>
      <c r="EAG193" s="301"/>
      <c r="EAH193" s="301"/>
      <c r="EAI193" s="302"/>
      <c r="EAJ193" s="309"/>
      <c r="EAK193" s="329"/>
      <c r="EAL193" s="311"/>
      <c r="EAM193" s="312"/>
      <c r="EAN193" s="326"/>
      <c r="EAO193" s="332"/>
      <c r="EAP193" s="321"/>
      <c r="EAQ193" s="321"/>
      <c r="EAR193" s="331"/>
      <c r="EAS193" s="308"/>
      <c r="EAT193" s="301"/>
      <c r="EAU193" s="301"/>
      <c r="EAV193" s="302"/>
      <c r="EAW193" s="309"/>
      <c r="EAX193" s="329"/>
      <c r="EAY193" s="311"/>
      <c r="EAZ193" s="312"/>
      <c r="EBA193" s="326"/>
      <c r="EBB193" s="332"/>
      <c r="EBC193" s="321"/>
      <c r="EBD193" s="321"/>
      <c r="EBE193" s="331"/>
      <c r="EBF193" s="308"/>
      <c r="EBG193" s="301"/>
      <c r="EBH193" s="301"/>
      <c r="EBI193" s="302"/>
      <c r="EBJ193" s="309"/>
      <c r="EBK193" s="329"/>
      <c r="EBL193" s="311"/>
      <c r="EBM193" s="312"/>
      <c r="EBN193" s="326"/>
      <c r="EBO193" s="332"/>
      <c r="EBP193" s="321"/>
      <c r="EBQ193" s="321"/>
      <c r="EBR193" s="331"/>
      <c r="EBS193" s="308"/>
      <c r="EBT193" s="301"/>
      <c r="EBU193" s="301"/>
      <c r="EBV193" s="302"/>
      <c r="EBW193" s="309"/>
      <c r="EBX193" s="329"/>
      <c r="EBY193" s="311"/>
      <c r="EBZ193" s="312"/>
      <c r="ECA193" s="326"/>
      <c r="ECB193" s="332"/>
      <c r="ECC193" s="321"/>
      <c r="ECD193" s="321"/>
      <c r="ECE193" s="331"/>
      <c r="ECF193" s="308"/>
      <c r="ECG193" s="301"/>
      <c r="ECH193" s="301"/>
      <c r="ECI193" s="302"/>
      <c r="ECJ193" s="309"/>
      <c r="ECK193" s="329"/>
      <c r="ECL193" s="311"/>
      <c r="ECM193" s="312"/>
      <c r="ECN193" s="326"/>
      <c r="ECO193" s="332"/>
      <c r="ECP193" s="321"/>
      <c r="ECQ193" s="321"/>
      <c r="ECR193" s="331"/>
      <c r="ECS193" s="308"/>
      <c r="ECT193" s="301"/>
      <c r="ECU193" s="301"/>
      <c r="ECV193" s="302"/>
      <c r="ECW193" s="309"/>
      <c r="ECX193" s="329"/>
      <c r="ECY193" s="311"/>
      <c r="ECZ193" s="312"/>
      <c r="EDA193" s="326"/>
      <c r="EDB193" s="332"/>
      <c r="EDC193" s="321"/>
      <c r="EDD193" s="321"/>
      <c r="EDE193" s="331"/>
      <c r="EDF193" s="308"/>
      <c r="EDG193" s="301"/>
      <c r="EDH193" s="301"/>
      <c r="EDI193" s="302"/>
      <c r="EDJ193" s="309"/>
      <c r="EDK193" s="329"/>
      <c r="EDL193" s="311"/>
      <c r="EDM193" s="312"/>
      <c r="EDN193" s="326"/>
      <c r="EDO193" s="332"/>
      <c r="EDP193" s="321"/>
      <c r="EDQ193" s="321"/>
      <c r="EDR193" s="331"/>
      <c r="EDS193" s="308"/>
      <c r="EDT193" s="301"/>
      <c r="EDU193" s="301"/>
      <c r="EDV193" s="302"/>
      <c r="EDW193" s="309"/>
      <c r="EDX193" s="329"/>
      <c r="EDY193" s="311"/>
      <c r="EDZ193" s="312"/>
      <c r="EEA193" s="326"/>
      <c r="EEB193" s="332"/>
      <c r="EEC193" s="321"/>
      <c r="EED193" s="321"/>
      <c r="EEE193" s="331"/>
      <c r="EEF193" s="308"/>
      <c r="EEG193" s="301"/>
      <c r="EEH193" s="301"/>
      <c r="EEI193" s="302"/>
      <c r="EEJ193" s="309"/>
      <c r="EEK193" s="329"/>
      <c r="EEL193" s="311"/>
      <c r="EEM193" s="312"/>
      <c r="EEN193" s="326"/>
      <c r="EEO193" s="332"/>
      <c r="EEP193" s="321"/>
      <c r="EEQ193" s="321"/>
      <c r="EER193" s="331"/>
      <c r="EES193" s="308"/>
      <c r="EET193" s="301"/>
      <c r="EEU193" s="301"/>
      <c r="EEV193" s="302"/>
      <c r="EEW193" s="309"/>
      <c r="EEX193" s="329"/>
      <c r="EEY193" s="311"/>
      <c r="EEZ193" s="312"/>
      <c r="EFA193" s="326"/>
      <c r="EFB193" s="332"/>
      <c r="EFC193" s="321"/>
      <c r="EFD193" s="321"/>
      <c r="EFE193" s="331"/>
      <c r="EFF193" s="308"/>
      <c r="EFG193" s="301"/>
      <c r="EFH193" s="301"/>
      <c r="EFI193" s="302"/>
      <c r="EFJ193" s="309"/>
      <c r="EFK193" s="329"/>
      <c r="EFL193" s="311"/>
      <c r="EFM193" s="312"/>
      <c r="EFN193" s="326"/>
      <c r="EFO193" s="332"/>
      <c r="EFP193" s="321"/>
      <c r="EFQ193" s="321"/>
      <c r="EFR193" s="331"/>
      <c r="EFS193" s="308"/>
      <c r="EFT193" s="301"/>
      <c r="EFU193" s="301"/>
      <c r="EFV193" s="302"/>
      <c r="EFW193" s="309"/>
      <c r="EFX193" s="329"/>
      <c r="EFY193" s="311"/>
      <c r="EFZ193" s="312"/>
      <c r="EGA193" s="326"/>
      <c r="EGB193" s="332"/>
      <c r="EGC193" s="321"/>
      <c r="EGD193" s="321"/>
      <c r="EGE193" s="331"/>
      <c r="EGF193" s="308"/>
      <c r="EGG193" s="301"/>
      <c r="EGH193" s="301"/>
      <c r="EGI193" s="302"/>
      <c r="EGJ193" s="309"/>
      <c r="EGK193" s="329"/>
      <c r="EGL193" s="311"/>
      <c r="EGM193" s="312"/>
      <c r="EGN193" s="326"/>
      <c r="EGO193" s="332"/>
      <c r="EGP193" s="321"/>
      <c r="EGQ193" s="321"/>
      <c r="EGR193" s="331"/>
      <c r="EGS193" s="308"/>
      <c r="EGT193" s="301"/>
      <c r="EGU193" s="301"/>
      <c r="EGV193" s="302"/>
      <c r="EGW193" s="309"/>
      <c r="EGX193" s="329"/>
      <c r="EGY193" s="311"/>
      <c r="EGZ193" s="312"/>
      <c r="EHA193" s="326"/>
      <c r="EHB193" s="332"/>
      <c r="EHC193" s="321"/>
      <c r="EHD193" s="321"/>
      <c r="EHE193" s="331"/>
      <c r="EHF193" s="308"/>
      <c r="EHG193" s="301"/>
      <c r="EHH193" s="301"/>
      <c r="EHI193" s="302"/>
      <c r="EHJ193" s="309"/>
      <c r="EHK193" s="329"/>
      <c r="EHL193" s="311"/>
      <c r="EHM193" s="312"/>
      <c r="EHN193" s="326"/>
      <c r="EHO193" s="332"/>
      <c r="EHP193" s="321"/>
      <c r="EHQ193" s="321"/>
      <c r="EHR193" s="331"/>
      <c r="EHS193" s="308"/>
      <c r="EHT193" s="301"/>
      <c r="EHU193" s="301"/>
      <c r="EHV193" s="302"/>
      <c r="EHW193" s="309"/>
      <c r="EHX193" s="329"/>
      <c r="EHY193" s="311"/>
      <c r="EHZ193" s="312"/>
      <c r="EIA193" s="326"/>
      <c r="EIB193" s="332"/>
      <c r="EIC193" s="321"/>
      <c r="EID193" s="321"/>
      <c r="EIE193" s="331"/>
      <c r="EIF193" s="308"/>
      <c r="EIG193" s="301"/>
      <c r="EIH193" s="301"/>
      <c r="EII193" s="302"/>
      <c r="EIJ193" s="309"/>
      <c r="EIK193" s="329"/>
      <c r="EIL193" s="311"/>
      <c r="EIM193" s="312"/>
      <c r="EIN193" s="326"/>
      <c r="EIO193" s="332"/>
      <c r="EIP193" s="321"/>
      <c r="EIQ193" s="321"/>
      <c r="EIR193" s="331"/>
      <c r="EIS193" s="308"/>
      <c r="EIT193" s="301"/>
      <c r="EIU193" s="301"/>
      <c r="EIV193" s="302"/>
      <c r="EIW193" s="309"/>
      <c r="EIX193" s="329"/>
      <c r="EIY193" s="311"/>
      <c r="EIZ193" s="312"/>
      <c r="EJA193" s="326"/>
      <c r="EJB193" s="332"/>
      <c r="EJC193" s="321"/>
      <c r="EJD193" s="321"/>
      <c r="EJE193" s="331"/>
      <c r="EJF193" s="308"/>
      <c r="EJG193" s="301"/>
      <c r="EJH193" s="301"/>
      <c r="EJI193" s="302"/>
      <c r="EJJ193" s="309"/>
      <c r="EJK193" s="329"/>
      <c r="EJL193" s="311"/>
      <c r="EJM193" s="312"/>
      <c r="EJN193" s="326"/>
      <c r="EJO193" s="332"/>
      <c r="EJP193" s="321"/>
      <c r="EJQ193" s="321"/>
      <c r="EJR193" s="331"/>
      <c r="EJS193" s="308"/>
      <c r="EJT193" s="301"/>
      <c r="EJU193" s="301"/>
      <c r="EJV193" s="302"/>
      <c r="EJW193" s="309"/>
      <c r="EJX193" s="329"/>
      <c r="EJY193" s="311"/>
      <c r="EJZ193" s="312"/>
      <c r="EKA193" s="326"/>
      <c r="EKB193" s="332"/>
      <c r="EKC193" s="321"/>
      <c r="EKD193" s="321"/>
      <c r="EKE193" s="331"/>
      <c r="EKF193" s="308"/>
      <c r="EKG193" s="301"/>
      <c r="EKH193" s="301"/>
      <c r="EKI193" s="302"/>
      <c r="EKJ193" s="309"/>
      <c r="EKK193" s="329"/>
      <c r="EKL193" s="311"/>
      <c r="EKM193" s="312"/>
      <c r="EKN193" s="326"/>
      <c r="EKO193" s="332"/>
      <c r="EKP193" s="321"/>
      <c r="EKQ193" s="321"/>
      <c r="EKR193" s="331"/>
      <c r="EKS193" s="308"/>
      <c r="EKT193" s="301"/>
      <c r="EKU193" s="301"/>
      <c r="EKV193" s="302"/>
      <c r="EKW193" s="309"/>
      <c r="EKX193" s="329"/>
      <c r="EKY193" s="311"/>
      <c r="EKZ193" s="312"/>
      <c r="ELA193" s="326"/>
      <c r="ELB193" s="332"/>
      <c r="ELC193" s="321"/>
      <c r="ELD193" s="321"/>
      <c r="ELE193" s="331"/>
      <c r="ELF193" s="308"/>
      <c r="ELG193" s="301"/>
      <c r="ELH193" s="301"/>
      <c r="ELI193" s="302"/>
      <c r="ELJ193" s="309"/>
      <c r="ELK193" s="329"/>
      <c r="ELL193" s="311"/>
      <c r="ELM193" s="312"/>
      <c r="ELN193" s="326"/>
      <c r="ELO193" s="332"/>
      <c r="ELP193" s="321"/>
      <c r="ELQ193" s="321"/>
      <c r="ELR193" s="331"/>
      <c r="ELS193" s="308"/>
      <c r="ELT193" s="301"/>
      <c r="ELU193" s="301"/>
      <c r="ELV193" s="302"/>
      <c r="ELW193" s="309"/>
      <c r="ELX193" s="329"/>
      <c r="ELY193" s="311"/>
      <c r="ELZ193" s="312"/>
      <c r="EMA193" s="326"/>
      <c r="EMB193" s="332"/>
      <c r="EMC193" s="321"/>
      <c r="EMD193" s="321"/>
      <c r="EME193" s="331"/>
      <c r="EMF193" s="308"/>
      <c r="EMG193" s="301"/>
      <c r="EMH193" s="301"/>
      <c r="EMI193" s="302"/>
      <c r="EMJ193" s="309"/>
      <c r="EMK193" s="329"/>
      <c r="EML193" s="311"/>
      <c r="EMM193" s="312"/>
      <c r="EMN193" s="326"/>
      <c r="EMO193" s="332"/>
      <c r="EMP193" s="321"/>
      <c r="EMQ193" s="321"/>
      <c r="EMR193" s="331"/>
      <c r="EMS193" s="308"/>
      <c r="EMT193" s="301"/>
      <c r="EMU193" s="301"/>
      <c r="EMV193" s="302"/>
      <c r="EMW193" s="309"/>
      <c r="EMX193" s="329"/>
      <c r="EMY193" s="311"/>
      <c r="EMZ193" s="312"/>
      <c r="ENA193" s="326"/>
      <c r="ENB193" s="332"/>
      <c r="ENC193" s="321"/>
      <c r="END193" s="321"/>
      <c r="ENE193" s="331"/>
      <c r="ENF193" s="308"/>
      <c r="ENG193" s="301"/>
      <c r="ENH193" s="301"/>
      <c r="ENI193" s="302"/>
      <c r="ENJ193" s="309"/>
      <c r="ENK193" s="329"/>
      <c r="ENL193" s="311"/>
      <c r="ENM193" s="312"/>
      <c r="ENN193" s="326"/>
      <c r="ENO193" s="332"/>
      <c r="ENP193" s="321"/>
      <c r="ENQ193" s="321"/>
      <c r="ENR193" s="331"/>
      <c r="ENS193" s="308"/>
      <c r="ENT193" s="301"/>
      <c r="ENU193" s="301"/>
      <c r="ENV193" s="302"/>
      <c r="ENW193" s="309"/>
      <c r="ENX193" s="329"/>
      <c r="ENY193" s="311"/>
      <c r="ENZ193" s="312"/>
      <c r="EOA193" s="326"/>
      <c r="EOB193" s="332"/>
      <c r="EOC193" s="321"/>
      <c r="EOD193" s="321"/>
      <c r="EOE193" s="331"/>
      <c r="EOF193" s="308"/>
      <c r="EOG193" s="301"/>
      <c r="EOH193" s="301"/>
      <c r="EOI193" s="302"/>
      <c r="EOJ193" s="309"/>
      <c r="EOK193" s="329"/>
      <c r="EOL193" s="311"/>
      <c r="EOM193" s="312"/>
      <c r="EON193" s="326"/>
      <c r="EOO193" s="332"/>
      <c r="EOP193" s="321"/>
      <c r="EOQ193" s="321"/>
      <c r="EOR193" s="331"/>
      <c r="EOS193" s="308"/>
      <c r="EOT193" s="301"/>
      <c r="EOU193" s="301"/>
      <c r="EOV193" s="302"/>
      <c r="EOW193" s="309"/>
      <c r="EOX193" s="329"/>
      <c r="EOY193" s="311"/>
      <c r="EOZ193" s="312"/>
      <c r="EPA193" s="326"/>
      <c r="EPB193" s="332"/>
      <c r="EPC193" s="321"/>
      <c r="EPD193" s="321"/>
      <c r="EPE193" s="331"/>
      <c r="EPF193" s="308"/>
      <c r="EPG193" s="301"/>
      <c r="EPH193" s="301"/>
      <c r="EPI193" s="302"/>
      <c r="EPJ193" s="309"/>
      <c r="EPK193" s="329"/>
      <c r="EPL193" s="311"/>
      <c r="EPM193" s="312"/>
      <c r="EPN193" s="326"/>
      <c r="EPO193" s="332"/>
      <c r="EPP193" s="321"/>
      <c r="EPQ193" s="321"/>
      <c r="EPR193" s="331"/>
      <c r="EPS193" s="308"/>
      <c r="EPT193" s="301"/>
      <c r="EPU193" s="301"/>
      <c r="EPV193" s="302"/>
      <c r="EPW193" s="309"/>
      <c r="EPX193" s="329"/>
      <c r="EPY193" s="311"/>
      <c r="EPZ193" s="312"/>
      <c r="EQA193" s="326"/>
      <c r="EQB193" s="332"/>
      <c r="EQC193" s="321"/>
      <c r="EQD193" s="321"/>
      <c r="EQE193" s="331"/>
      <c r="EQF193" s="308"/>
      <c r="EQG193" s="301"/>
      <c r="EQH193" s="301"/>
      <c r="EQI193" s="302"/>
      <c r="EQJ193" s="309"/>
      <c r="EQK193" s="329"/>
      <c r="EQL193" s="311"/>
      <c r="EQM193" s="312"/>
      <c r="EQN193" s="326"/>
      <c r="EQO193" s="332"/>
      <c r="EQP193" s="321"/>
      <c r="EQQ193" s="321"/>
      <c r="EQR193" s="331"/>
      <c r="EQS193" s="308"/>
      <c r="EQT193" s="301"/>
      <c r="EQU193" s="301"/>
      <c r="EQV193" s="302"/>
      <c r="EQW193" s="309"/>
      <c r="EQX193" s="329"/>
      <c r="EQY193" s="311"/>
      <c r="EQZ193" s="312"/>
      <c r="ERA193" s="326"/>
      <c r="ERB193" s="332"/>
      <c r="ERC193" s="321"/>
      <c r="ERD193" s="321"/>
      <c r="ERE193" s="331"/>
      <c r="ERF193" s="308"/>
      <c r="ERG193" s="301"/>
      <c r="ERH193" s="301"/>
      <c r="ERI193" s="302"/>
      <c r="ERJ193" s="309"/>
      <c r="ERK193" s="329"/>
      <c r="ERL193" s="311"/>
      <c r="ERM193" s="312"/>
      <c r="ERN193" s="326"/>
      <c r="ERO193" s="332"/>
      <c r="ERP193" s="321"/>
      <c r="ERQ193" s="321"/>
      <c r="ERR193" s="331"/>
      <c r="ERS193" s="308"/>
      <c r="ERT193" s="301"/>
      <c r="ERU193" s="301"/>
      <c r="ERV193" s="302"/>
      <c r="ERW193" s="309"/>
      <c r="ERX193" s="329"/>
      <c r="ERY193" s="311"/>
      <c r="ERZ193" s="312"/>
      <c r="ESA193" s="326"/>
      <c r="ESB193" s="332"/>
      <c r="ESC193" s="321"/>
      <c r="ESD193" s="321"/>
      <c r="ESE193" s="331"/>
      <c r="ESF193" s="308"/>
      <c r="ESG193" s="301"/>
      <c r="ESH193" s="301"/>
      <c r="ESI193" s="302"/>
      <c r="ESJ193" s="309"/>
      <c r="ESK193" s="329"/>
      <c r="ESL193" s="311"/>
      <c r="ESM193" s="312"/>
      <c r="ESN193" s="326"/>
      <c r="ESO193" s="332"/>
      <c r="ESP193" s="321"/>
      <c r="ESQ193" s="321"/>
      <c r="ESR193" s="331"/>
      <c r="ESS193" s="308"/>
      <c r="EST193" s="301"/>
      <c r="ESU193" s="301"/>
      <c r="ESV193" s="302"/>
      <c r="ESW193" s="309"/>
      <c r="ESX193" s="329"/>
      <c r="ESY193" s="311"/>
      <c r="ESZ193" s="312"/>
      <c r="ETA193" s="326"/>
      <c r="ETB193" s="332"/>
      <c r="ETC193" s="321"/>
      <c r="ETD193" s="321"/>
      <c r="ETE193" s="331"/>
      <c r="ETF193" s="308"/>
      <c r="ETG193" s="301"/>
      <c r="ETH193" s="301"/>
      <c r="ETI193" s="302"/>
      <c r="ETJ193" s="309"/>
      <c r="ETK193" s="329"/>
      <c r="ETL193" s="311"/>
      <c r="ETM193" s="312"/>
      <c r="ETN193" s="326"/>
      <c r="ETO193" s="332"/>
      <c r="ETP193" s="321"/>
      <c r="ETQ193" s="321"/>
      <c r="ETR193" s="331"/>
      <c r="ETS193" s="308"/>
      <c r="ETT193" s="301"/>
      <c r="ETU193" s="301"/>
      <c r="ETV193" s="302"/>
      <c r="ETW193" s="309"/>
      <c r="ETX193" s="329"/>
      <c r="ETY193" s="311"/>
      <c r="ETZ193" s="312"/>
      <c r="EUA193" s="326"/>
      <c r="EUB193" s="332"/>
      <c r="EUC193" s="321"/>
      <c r="EUD193" s="321"/>
      <c r="EUE193" s="331"/>
      <c r="EUF193" s="308"/>
      <c r="EUG193" s="301"/>
      <c r="EUH193" s="301"/>
      <c r="EUI193" s="302"/>
      <c r="EUJ193" s="309"/>
      <c r="EUK193" s="329"/>
      <c r="EUL193" s="311"/>
      <c r="EUM193" s="312"/>
      <c r="EUN193" s="326"/>
      <c r="EUO193" s="332"/>
      <c r="EUP193" s="321"/>
      <c r="EUQ193" s="321"/>
      <c r="EUR193" s="331"/>
      <c r="EUS193" s="308"/>
      <c r="EUT193" s="301"/>
      <c r="EUU193" s="301"/>
      <c r="EUV193" s="302"/>
      <c r="EUW193" s="309"/>
      <c r="EUX193" s="329"/>
      <c r="EUY193" s="311"/>
      <c r="EUZ193" s="312"/>
      <c r="EVA193" s="326"/>
      <c r="EVB193" s="332"/>
      <c r="EVC193" s="321"/>
      <c r="EVD193" s="321"/>
      <c r="EVE193" s="331"/>
      <c r="EVF193" s="308"/>
      <c r="EVG193" s="301"/>
      <c r="EVH193" s="301"/>
      <c r="EVI193" s="302"/>
      <c r="EVJ193" s="309"/>
      <c r="EVK193" s="329"/>
      <c r="EVL193" s="311"/>
      <c r="EVM193" s="312"/>
      <c r="EVN193" s="326"/>
      <c r="EVO193" s="332"/>
      <c r="EVP193" s="321"/>
      <c r="EVQ193" s="321"/>
      <c r="EVR193" s="331"/>
      <c r="EVS193" s="308"/>
      <c r="EVT193" s="301"/>
      <c r="EVU193" s="301"/>
      <c r="EVV193" s="302"/>
      <c r="EVW193" s="309"/>
      <c r="EVX193" s="329"/>
      <c r="EVY193" s="311"/>
      <c r="EVZ193" s="312"/>
      <c r="EWA193" s="326"/>
      <c r="EWB193" s="332"/>
      <c r="EWC193" s="321"/>
      <c r="EWD193" s="321"/>
      <c r="EWE193" s="331"/>
      <c r="EWF193" s="308"/>
      <c r="EWG193" s="301"/>
      <c r="EWH193" s="301"/>
      <c r="EWI193" s="302"/>
      <c r="EWJ193" s="309"/>
      <c r="EWK193" s="329"/>
      <c r="EWL193" s="311"/>
      <c r="EWM193" s="312"/>
      <c r="EWN193" s="326"/>
      <c r="EWO193" s="332"/>
      <c r="EWP193" s="321"/>
      <c r="EWQ193" s="321"/>
      <c r="EWR193" s="331"/>
      <c r="EWS193" s="308"/>
      <c r="EWT193" s="301"/>
      <c r="EWU193" s="301"/>
      <c r="EWV193" s="302"/>
      <c r="EWW193" s="309"/>
      <c r="EWX193" s="329"/>
      <c r="EWY193" s="311"/>
      <c r="EWZ193" s="312"/>
      <c r="EXA193" s="326"/>
      <c r="EXB193" s="332"/>
      <c r="EXC193" s="321"/>
      <c r="EXD193" s="321"/>
      <c r="EXE193" s="331"/>
      <c r="EXF193" s="308"/>
      <c r="EXG193" s="301"/>
      <c r="EXH193" s="301"/>
      <c r="EXI193" s="302"/>
      <c r="EXJ193" s="309"/>
      <c r="EXK193" s="329"/>
      <c r="EXL193" s="311"/>
      <c r="EXM193" s="312"/>
      <c r="EXN193" s="326"/>
      <c r="EXO193" s="332"/>
      <c r="EXP193" s="321"/>
      <c r="EXQ193" s="321"/>
      <c r="EXR193" s="331"/>
      <c r="EXS193" s="308"/>
      <c r="EXT193" s="301"/>
      <c r="EXU193" s="301"/>
      <c r="EXV193" s="302"/>
      <c r="EXW193" s="309"/>
      <c r="EXX193" s="329"/>
      <c r="EXY193" s="311"/>
      <c r="EXZ193" s="312"/>
      <c r="EYA193" s="326"/>
      <c r="EYB193" s="332"/>
      <c r="EYC193" s="321"/>
      <c r="EYD193" s="321"/>
      <c r="EYE193" s="331"/>
      <c r="EYF193" s="308"/>
      <c r="EYG193" s="301"/>
      <c r="EYH193" s="301"/>
      <c r="EYI193" s="302"/>
      <c r="EYJ193" s="309"/>
      <c r="EYK193" s="329"/>
      <c r="EYL193" s="311"/>
      <c r="EYM193" s="312"/>
      <c r="EYN193" s="326"/>
      <c r="EYO193" s="332"/>
      <c r="EYP193" s="321"/>
      <c r="EYQ193" s="321"/>
      <c r="EYR193" s="331"/>
      <c r="EYS193" s="308"/>
      <c r="EYT193" s="301"/>
      <c r="EYU193" s="301"/>
      <c r="EYV193" s="302"/>
      <c r="EYW193" s="309"/>
      <c r="EYX193" s="329"/>
      <c r="EYY193" s="311"/>
      <c r="EYZ193" s="312"/>
      <c r="EZA193" s="326"/>
      <c r="EZB193" s="332"/>
      <c r="EZC193" s="321"/>
      <c r="EZD193" s="321"/>
      <c r="EZE193" s="331"/>
      <c r="EZF193" s="308"/>
      <c r="EZG193" s="301"/>
      <c r="EZH193" s="301"/>
      <c r="EZI193" s="302"/>
      <c r="EZJ193" s="309"/>
      <c r="EZK193" s="329"/>
      <c r="EZL193" s="311"/>
      <c r="EZM193" s="312"/>
      <c r="EZN193" s="326"/>
      <c r="EZO193" s="332"/>
      <c r="EZP193" s="321"/>
      <c r="EZQ193" s="321"/>
      <c r="EZR193" s="331"/>
      <c r="EZS193" s="308"/>
      <c r="EZT193" s="301"/>
      <c r="EZU193" s="301"/>
      <c r="EZV193" s="302"/>
      <c r="EZW193" s="309"/>
      <c r="EZX193" s="329"/>
      <c r="EZY193" s="311"/>
      <c r="EZZ193" s="312"/>
      <c r="FAA193" s="326"/>
      <c r="FAB193" s="332"/>
      <c r="FAC193" s="321"/>
      <c r="FAD193" s="321"/>
      <c r="FAE193" s="331"/>
      <c r="FAF193" s="308"/>
      <c r="FAG193" s="301"/>
      <c r="FAH193" s="301"/>
      <c r="FAI193" s="302"/>
      <c r="FAJ193" s="309"/>
      <c r="FAK193" s="329"/>
      <c r="FAL193" s="311"/>
      <c r="FAM193" s="312"/>
      <c r="FAN193" s="326"/>
      <c r="FAO193" s="332"/>
      <c r="FAP193" s="321"/>
      <c r="FAQ193" s="321"/>
      <c r="FAR193" s="331"/>
      <c r="FAS193" s="308"/>
      <c r="FAT193" s="301"/>
      <c r="FAU193" s="301"/>
      <c r="FAV193" s="302"/>
      <c r="FAW193" s="309"/>
      <c r="FAX193" s="329"/>
      <c r="FAY193" s="311"/>
      <c r="FAZ193" s="312"/>
      <c r="FBA193" s="326"/>
      <c r="FBB193" s="332"/>
      <c r="FBC193" s="321"/>
      <c r="FBD193" s="321"/>
      <c r="FBE193" s="331"/>
      <c r="FBF193" s="308"/>
      <c r="FBG193" s="301"/>
      <c r="FBH193" s="301"/>
      <c r="FBI193" s="302"/>
      <c r="FBJ193" s="309"/>
      <c r="FBK193" s="329"/>
      <c r="FBL193" s="311"/>
      <c r="FBM193" s="312"/>
      <c r="FBN193" s="326"/>
      <c r="FBO193" s="332"/>
      <c r="FBP193" s="321"/>
      <c r="FBQ193" s="321"/>
      <c r="FBR193" s="331"/>
      <c r="FBS193" s="308"/>
      <c r="FBT193" s="301"/>
      <c r="FBU193" s="301"/>
      <c r="FBV193" s="302"/>
      <c r="FBW193" s="309"/>
      <c r="FBX193" s="329"/>
      <c r="FBY193" s="311"/>
      <c r="FBZ193" s="312"/>
      <c r="FCA193" s="326"/>
      <c r="FCB193" s="332"/>
      <c r="FCC193" s="321"/>
      <c r="FCD193" s="321"/>
      <c r="FCE193" s="331"/>
      <c r="FCF193" s="308"/>
      <c r="FCG193" s="301"/>
      <c r="FCH193" s="301"/>
      <c r="FCI193" s="302"/>
      <c r="FCJ193" s="309"/>
      <c r="FCK193" s="329"/>
      <c r="FCL193" s="311"/>
      <c r="FCM193" s="312"/>
      <c r="FCN193" s="326"/>
      <c r="FCO193" s="332"/>
      <c r="FCP193" s="321"/>
      <c r="FCQ193" s="321"/>
      <c r="FCR193" s="331"/>
      <c r="FCS193" s="308"/>
      <c r="FCT193" s="301"/>
      <c r="FCU193" s="301"/>
      <c r="FCV193" s="302"/>
      <c r="FCW193" s="309"/>
      <c r="FCX193" s="329"/>
      <c r="FCY193" s="311"/>
      <c r="FCZ193" s="312"/>
      <c r="FDA193" s="326"/>
      <c r="FDB193" s="332"/>
      <c r="FDC193" s="321"/>
      <c r="FDD193" s="321"/>
      <c r="FDE193" s="331"/>
      <c r="FDF193" s="308"/>
      <c r="FDG193" s="301"/>
      <c r="FDH193" s="301"/>
      <c r="FDI193" s="302"/>
      <c r="FDJ193" s="309"/>
      <c r="FDK193" s="329"/>
      <c r="FDL193" s="311"/>
      <c r="FDM193" s="312"/>
      <c r="FDN193" s="326"/>
      <c r="FDO193" s="332"/>
      <c r="FDP193" s="321"/>
      <c r="FDQ193" s="321"/>
      <c r="FDR193" s="331"/>
      <c r="FDS193" s="308"/>
      <c r="FDT193" s="301"/>
      <c r="FDU193" s="301"/>
      <c r="FDV193" s="302"/>
      <c r="FDW193" s="309"/>
      <c r="FDX193" s="329"/>
      <c r="FDY193" s="311"/>
      <c r="FDZ193" s="312"/>
      <c r="FEA193" s="326"/>
      <c r="FEB193" s="332"/>
      <c r="FEC193" s="321"/>
      <c r="FED193" s="321"/>
      <c r="FEE193" s="331"/>
      <c r="FEF193" s="308"/>
      <c r="FEG193" s="301"/>
      <c r="FEH193" s="301"/>
      <c r="FEI193" s="302"/>
      <c r="FEJ193" s="309"/>
      <c r="FEK193" s="329"/>
      <c r="FEL193" s="311"/>
      <c r="FEM193" s="312"/>
      <c r="FEN193" s="326"/>
      <c r="FEO193" s="332"/>
      <c r="FEP193" s="321"/>
      <c r="FEQ193" s="321"/>
      <c r="FER193" s="331"/>
      <c r="FES193" s="308"/>
      <c r="FET193" s="301"/>
      <c r="FEU193" s="301"/>
      <c r="FEV193" s="302"/>
      <c r="FEW193" s="309"/>
      <c r="FEX193" s="329"/>
      <c r="FEY193" s="311"/>
      <c r="FEZ193" s="312"/>
      <c r="FFA193" s="326"/>
      <c r="FFB193" s="332"/>
      <c r="FFC193" s="321"/>
      <c r="FFD193" s="321"/>
      <c r="FFE193" s="331"/>
      <c r="FFF193" s="308"/>
      <c r="FFG193" s="301"/>
      <c r="FFH193" s="301"/>
      <c r="FFI193" s="302"/>
      <c r="FFJ193" s="309"/>
      <c r="FFK193" s="329"/>
      <c r="FFL193" s="311"/>
      <c r="FFM193" s="312"/>
      <c r="FFN193" s="326"/>
      <c r="FFO193" s="332"/>
      <c r="FFP193" s="321"/>
      <c r="FFQ193" s="321"/>
      <c r="FFR193" s="331"/>
      <c r="FFS193" s="308"/>
      <c r="FFT193" s="301"/>
      <c r="FFU193" s="301"/>
      <c r="FFV193" s="302"/>
      <c r="FFW193" s="309"/>
      <c r="FFX193" s="329"/>
      <c r="FFY193" s="311"/>
      <c r="FFZ193" s="312"/>
      <c r="FGA193" s="326"/>
      <c r="FGB193" s="332"/>
      <c r="FGC193" s="321"/>
      <c r="FGD193" s="321"/>
      <c r="FGE193" s="331"/>
      <c r="FGF193" s="308"/>
      <c r="FGG193" s="301"/>
      <c r="FGH193" s="301"/>
      <c r="FGI193" s="302"/>
      <c r="FGJ193" s="309"/>
      <c r="FGK193" s="329"/>
      <c r="FGL193" s="311"/>
      <c r="FGM193" s="312"/>
      <c r="FGN193" s="326"/>
      <c r="FGO193" s="332"/>
      <c r="FGP193" s="321"/>
      <c r="FGQ193" s="321"/>
      <c r="FGR193" s="331"/>
      <c r="FGS193" s="308"/>
      <c r="FGT193" s="301"/>
      <c r="FGU193" s="301"/>
      <c r="FGV193" s="302"/>
      <c r="FGW193" s="309"/>
      <c r="FGX193" s="329"/>
      <c r="FGY193" s="311"/>
      <c r="FGZ193" s="312"/>
      <c r="FHA193" s="326"/>
      <c r="FHB193" s="332"/>
      <c r="FHC193" s="321"/>
      <c r="FHD193" s="321"/>
      <c r="FHE193" s="331"/>
      <c r="FHF193" s="308"/>
      <c r="FHG193" s="301"/>
      <c r="FHH193" s="301"/>
      <c r="FHI193" s="302"/>
      <c r="FHJ193" s="309"/>
      <c r="FHK193" s="329"/>
      <c r="FHL193" s="311"/>
      <c r="FHM193" s="312"/>
      <c r="FHN193" s="326"/>
      <c r="FHO193" s="332"/>
      <c r="FHP193" s="321"/>
      <c r="FHQ193" s="321"/>
      <c r="FHR193" s="331"/>
      <c r="FHS193" s="308"/>
      <c r="FHT193" s="301"/>
      <c r="FHU193" s="301"/>
      <c r="FHV193" s="302"/>
      <c r="FHW193" s="309"/>
      <c r="FHX193" s="329"/>
      <c r="FHY193" s="311"/>
      <c r="FHZ193" s="312"/>
      <c r="FIA193" s="326"/>
      <c r="FIB193" s="332"/>
      <c r="FIC193" s="321"/>
      <c r="FID193" s="321"/>
      <c r="FIE193" s="331"/>
      <c r="FIF193" s="308"/>
      <c r="FIG193" s="301"/>
      <c r="FIH193" s="301"/>
      <c r="FII193" s="302"/>
      <c r="FIJ193" s="309"/>
      <c r="FIK193" s="329"/>
      <c r="FIL193" s="311"/>
      <c r="FIM193" s="312"/>
      <c r="FIN193" s="326"/>
      <c r="FIO193" s="332"/>
      <c r="FIP193" s="321"/>
      <c r="FIQ193" s="321"/>
      <c r="FIR193" s="331"/>
      <c r="FIS193" s="308"/>
      <c r="FIT193" s="301"/>
      <c r="FIU193" s="301"/>
      <c r="FIV193" s="302"/>
      <c r="FIW193" s="309"/>
      <c r="FIX193" s="329"/>
      <c r="FIY193" s="311"/>
      <c r="FIZ193" s="312"/>
      <c r="FJA193" s="326"/>
      <c r="FJB193" s="332"/>
      <c r="FJC193" s="321"/>
      <c r="FJD193" s="321"/>
      <c r="FJE193" s="331"/>
      <c r="FJF193" s="308"/>
      <c r="FJG193" s="301"/>
      <c r="FJH193" s="301"/>
      <c r="FJI193" s="302"/>
      <c r="FJJ193" s="309"/>
      <c r="FJK193" s="329"/>
      <c r="FJL193" s="311"/>
      <c r="FJM193" s="312"/>
      <c r="FJN193" s="326"/>
      <c r="FJO193" s="332"/>
      <c r="FJP193" s="321"/>
      <c r="FJQ193" s="321"/>
      <c r="FJR193" s="331"/>
      <c r="FJS193" s="308"/>
      <c r="FJT193" s="301"/>
      <c r="FJU193" s="301"/>
      <c r="FJV193" s="302"/>
      <c r="FJW193" s="309"/>
      <c r="FJX193" s="329"/>
      <c r="FJY193" s="311"/>
      <c r="FJZ193" s="312"/>
      <c r="FKA193" s="326"/>
      <c r="FKB193" s="332"/>
      <c r="FKC193" s="321"/>
      <c r="FKD193" s="321"/>
      <c r="FKE193" s="331"/>
      <c r="FKF193" s="308"/>
      <c r="FKG193" s="301"/>
      <c r="FKH193" s="301"/>
      <c r="FKI193" s="302"/>
      <c r="FKJ193" s="309"/>
      <c r="FKK193" s="329"/>
      <c r="FKL193" s="311"/>
      <c r="FKM193" s="312"/>
      <c r="FKN193" s="326"/>
      <c r="FKO193" s="332"/>
      <c r="FKP193" s="321"/>
      <c r="FKQ193" s="321"/>
      <c r="FKR193" s="331"/>
      <c r="FKS193" s="308"/>
      <c r="FKT193" s="301"/>
      <c r="FKU193" s="301"/>
      <c r="FKV193" s="302"/>
      <c r="FKW193" s="309"/>
      <c r="FKX193" s="329"/>
      <c r="FKY193" s="311"/>
      <c r="FKZ193" s="312"/>
      <c r="FLA193" s="326"/>
      <c r="FLB193" s="332"/>
      <c r="FLC193" s="321"/>
      <c r="FLD193" s="321"/>
      <c r="FLE193" s="331"/>
      <c r="FLF193" s="308"/>
      <c r="FLG193" s="301"/>
      <c r="FLH193" s="301"/>
      <c r="FLI193" s="302"/>
      <c r="FLJ193" s="309"/>
      <c r="FLK193" s="329"/>
      <c r="FLL193" s="311"/>
      <c r="FLM193" s="312"/>
      <c r="FLN193" s="326"/>
      <c r="FLO193" s="332"/>
      <c r="FLP193" s="321"/>
      <c r="FLQ193" s="321"/>
      <c r="FLR193" s="331"/>
      <c r="FLS193" s="308"/>
      <c r="FLT193" s="301"/>
      <c r="FLU193" s="301"/>
      <c r="FLV193" s="302"/>
      <c r="FLW193" s="309"/>
      <c r="FLX193" s="329"/>
      <c r="FLY193" s="311"/>
      <c r="FLZ193" s="312"/>
      <c r="FMA193" s="326"/>
      <c r="FMB193" s="332"/>
      <c r="FMC193" s="321"/>
      <c r="FMD193" s="321"/>
      <c r="FME193" s="331"/>
      <c r="FMF193" s="308"/>
      <c r="FMG193" s="301"/>
      <c r="FMH193" s="301"/>
      <c r="FMI193" s="302"/>
      <c r="FMJ193" s="309"/>
      <c r="FMK193" s="329"/>
      <c r="FML193" s="311"/>
      <c r="FMM193" s="312"/>
      <c r="FMN193" s="326"/>
      <c r="FMO193" s="332"/>
      <c r="FMP193" s="321"/>
      <c r="FMQ193" s="321"/>
      <c r="FMR193" s="331"/>
      <c r="FMS193" s="308"/>
      <c r="FMT193" s="301"/>
      <c r="FMU193" s="301"/>
      <c r="FMV193" s="302"/>
      <c r="FMW193" s="309"/>
      <c r="FMX193" s="329"/>
      <c r="FMY193" s="311"/>
      <c r="FMZ193" s="312"/>
      <c r="FNA193" s="326"/>
      <c r="FNB193" s="332"/>
      <c r="FNC193" s="321"/>
      <c r="FND193" s="321"/>
      <c r="FNE193" s="331"/>
      <c r="FNF193" s="308"/>
      <c r="FNG193" s="301"/>
      <c r="FNH193" s="301"/>
      <c r="FNI193" s="302"/>
      <c r="FNJ193" s="309"/>
      <c r="FNK193" s="329"/>
      <c r="FNL193" s="311"/>
      <c r="FNM193" s="312"/>
      <c r="FNN193" s="326"/>
      <c r="FNO193" s="332"/>
      <c r="FNP193" s="321"/>
      <c r="FNQ193" s="321"/>
      <c r="FNR193" s="331"/>
      <c r="FNS193" s="308"/>
      <c r="FNT193" s="301"/>
      <c r="FNU193" s="301"/>
      <c r="FNV193" s="302"/>
      <c r="FNW193" s="309"/>
      <c r="FNX193" s="329"/>
      <c r="FNY193" s="311"/>
      <c r="FNZ193" s="312"/>
      <c r="FOA193" s="326"/>
      <c r="FOB193" s="332"/>
      <c r="FOC193" s="321"/>
      <c r="FOD193" s="321"/>
      <c r="FOE193" s="331"/>
      <c r="FOF193" s="308"/>
      <c r="FOG193" s="301"/>
      <c r="FOH193" s="301"/>
      <c r="FOI193" s="302"/>
      <c r="FOJ193" s="309"/>
      <c r="FOK193" s="329"/>
      <c r="FOL193" s="311"/>
      <c r="FOM193" s="312"/>
      <c r="FON193" s="326"/>
      <c r="FOO193" s="332"/>
      <c r="FOP193" s="321"/>
      <c r="FOQ193" s="321"/>
      <c r="FOR193" s="331"/>
      <c r="FOS193" s="308"/>
      <c r="FOT193" s="301"/>
      <c r="FOU193" s="301"/>
      <c r="FOV193" s="302"/>
      <c r="FOW193" s="309"/>
      <c r="FOX193" s="329"/>
      <c r="FOY193" s="311"/>
      <c r="FOZ193" s="312"/>
      <c r="FPA193" s="326"/>
      <c r="FPB193" s="332"/>
      <c r="FPC193" s="321"/>
      <c r="FPD193" s="321"/>
      <c r="FPE193" s="331"/>
      <c r="FPF193" s="308"/>
      <c r="FPG193" s="301"/>
      <c r="FPH193" s="301"/>
      <c r="FPI193" s="302"/>
      <c r="FPJ193" s="309"/>
      <c r="FPK193" s="329"/>
      <c r="FPL193" s="311"/>
      <c r="FPM193" s="312"/>
      <c r="FPN193" s="326"/>
      <c r="FPO193" s="332"/>
      <c r="FPP193" s="321"/>
      <c r="FPQ193" s="321"/>
      <c r="FPR193" s="331"/>
      <c r="FPS193" s="308"/>
      <c r="FPT193" s="301"/>
      <c r="FPU193" s="301"/>
      <c r="FPV193" s="302"/>
      <c r="FPW193" s="309"/>
      <c r="FPX193" s="329"/>
      <c r="FPY193" s="311"/>
      <c r="FPZ193" s="312"/>
      <c r="FQA193" s="326"/>
      <c r="FQB193" s="332"/>
      <c r="FQC193" s="321"/>
      <c r="FQD193" s="321"/>
      <c r="FQE193" s="331"/>
      <c r="FQF193" s="308"/>
      <c r="FQG193" s="301"/>
      <c r="FQH193" s="301"/>
      <c r="FQI193" s="302"/>
      <c r="FQJ193" s="309"/>
      <c r="FQK193" s="329"/>
      <c r="FQL193" s="311"/>
      <c r="FQM193" s="312"/>
      <c r="FQN193" s="326"/>
      <c r="FQO193" s="332"/>
      <c r="FQP193" s="321"/>
      <c r="FQQ193" s="321"/>
      <c r="FQR193" s="331"/>
      <c r="FQS193" s="308"/>
      <c r="FQT193" s="301"/>
      <c r="FQU193" s="301"/>
      <c r="FQV193" s="302"/>
      <c r="FQW193" s="309"/>
      <c r="FQX193" s="329"/>
      <c r="FQY193" s="311"/>
      <c r="FQZ193" s="312"/>
      <c r="FRA193" s="326"/>
      <c r="FRB193" s="332"/>
      <c r="FRC193" s="321"/>
      <c r="FRD193" s="321"/>
      <c r="FRE193" s="331"/>
      <c r="FRF193" s="308"/>
      <c r="FRG193" s="301"/>
      <c r="FRH193" s="301"/>
      <c r="FRI193" s="302"/>
      <c r="FRJ193" s="309"/>
      <c r="FRK193" s="329"/>
      <c r="FRL193" s="311"/>
      <c r="FRM193" s="312"/>
      <c r="FRN193" s="326"/>
      <c r="FRO193" s="332"/>
      <c r="FRP193" s="321"/>
      <c r="FRQ193" s="321"/>
      <c r="FRR193" s="331"/>
      <c r="FRS193" s="308"/>
      <c r="FRT193" s="301"/>
      <c r="FRU193" s="301"/>
      <c r="FRV193" s="302"/>
      <c r="FRW193" s="309"/>
      <c r="FRX193" s="329"/>
      <c r="FRY193" s="311"/>
      <c r="FRZ193" s="312"/>
      <c r="FSA193" s="326"/>
      <c r="FSB193" s="332"/>
      <c r="FSC193" s="321"/>
      <c r="FSD193" s="321"/>
      <c r="FSE193" s="331"/>
      <c r="FSF193" s="308"/>
      <c r="FSG193" s="301"/>
      <c r="FSH193" s="301"/>
      <c r="FSI193" s="302"/>
      <c r="FSJ193" s="309"/>
      <c r="FSK193" s="329"/>
      <c r="FSL193" s="311"/>
      <c r="FSM193" s="312"/>
      <c r="FSN193" s="326"/>
      <c r="FSO193" s="332"/>
      <c r="FSP193" s="321"/>
      <c r="FSQ193" s="321"/>
      <c r="FSR193" s="331"/>
      <c r="FSS193" s="308"/>
      <c r="FST193" s="301"/>
      <c r="FSU193" s="301"/>
      <c r="FSV193" s="302"/>
      <c r="FSW193" s="309"/>
      <c r="FSX193" s="329"/>
      <c r="FSY193" s="311"/>
      <c r="FSZ193" s="312"/>
      <c r="FTA193" s="326"/>
      <c r="FTB193" s="332"/>
      <c r="FTC193" s="321"/>
      <c r="FTD193" s="321"/>
      <c r="FTE193" s="331"/>
      <c r="FTF193" s="308"/>
      <c r="FTG193" s="301"/>
      <c r="FTH193" s="301"/>
      <c r="FTI193" s="302"/>
      <c r="FTJ193" s="309"/>
      <c r="FTK193" s="329"/>
      <c r="FTL193" s="311"/>
      <c r="FTM193" s="312"/>
      <c r="FTN193" s="326"/>
      <c r="FTO193" s="332"/>
      <c r="FTP193" s="321"/>
      <c r="FTQ193" s="321"/>
      <c r="FTR193" s="331"/>
      <c r="FTS193" s="308"/>
      <c r="FTT193" s="301"/>
      <c r="FTU193" s="301"/>
      <c r="FTV193" s="302"/>
      <c r="FTW193" s="309"/>
      <c r="FTX193" s="329"/>
      <c r="FTY193" s="311"/>
      <c r="FTZ193" s="312"/>
      <c r="FUA193" s="326"/>
      <c r="FUB193" s="332"/>
      <c r="FUC193" s="321"/>
      <c r="FUD193" s="321"/>
      <c r="FUE193" s="331"/>
      <c r="FUF193" s="308"/>
      <c r="FUG193" s="301"/>
      <c r="FUH193" s="301"/>
      <c r="FUI193" s="302"/>
      <c r="FUJ193" s="309"/>
      <c r="FUK193" s="329"/>
      <c r="FUL193" s="311"/>
      <c r="FUM193" s="312"/>
      <c r="FUN193" s="326"/>
      <c r="FUO193" s="332"/>
      <c r="FUP193" s="321"/>
      <c r="FUQ193" s="321"/>
      <c r="FUR193" s="331"/>
      <c r="FUS193" s="308"/>
      <c r="FUT193" s="301"/>
      <c r="FUU193" s="301"/>
      <c r="FUV193" s="302"/>
      <c r="FUW193" s="309"/>
      <c r="FUX193" s="329"/>
      <c r="FUY193" s="311"/>
      <c r="FUZ193" s="312"/>
      <c r="FVA193" s="326"/>
      <c r="FVB193" s="332"/>
      <c r="FVC193" s="321"/>
      <c r="FVD193" s="321"/>
      <c r="FVE193" s="331"/>
      <c r="FVF193" s="308"/>
      <c r="FVG193" s="301"/>
      <c r="FVH193" s="301"/>
      <c r="FVI193" s="302"/>
      <c r="FVJ193" s="309"/>
      <c r="FVK193" s="329"/>
      <c r="FVL193" s="311"/>
      <c r="FVM193" s="312"/>
      <c r="FVN193" s="326"/>
      <c r="FVO193" s="332"/>
      <c r="FVP193" s="321"/>
      <c r="FVQ193" s="321"/>
      <c r="FVR193" s="331"/>
      <c r="FVS193" s="308"/>
      <c r="FVT193" s="301"/>
      <c r="FVU193" s="301"/>
      <c r="FVV193" s="302"/>
      <c r="FVW193" s="309"/>
      <c r="FVX193" s="329"/>
      <c r="FVY193" s="311"/>
      <c r="FVZ193" s="312"/>
      <c r="FWA193" s="326"/>
      <c r="FWB193" s="332"/>
      <c r="FWC193" s="321"/>
      <c r="FWD193" s="321"/>
      <c r="FWE193" s="331"/>
      <c r="FWF193" s="308"/>
      <c r="FWG193" s="301"/>
      <c r="FWH193" s="301"/>
      <c r="FWI193" s="302"/>
      <c r="FWJ193" s="309"/>
      <c r="FWK193" s="329"/>
      <c r="FWL193" s="311"/>
      <c r="FWM193" s="312"/>
      <c r="FWN193" s="326"/>
      <c r="FWO193" s="332"/>
      <c r="FWP193" s="321"/>
      <c r="FWQ193" s="321"/>
      <c r="FWR193" s="331"/>
      <c r="FWS193" s="308"/>
      <c r="FWT193" s="301"/>
      <c r="FWU193" s="301"/>
      <c r="FWV193" s="302"/>
      <c r="FWW193" s="309"/>
      <c r="FWX193" s="329"/>
      <c r="FWY193" s="311"/>
      <c r="FWZ193" s="312"/>
      <c r="FXA193" s="326"/>
      <c r="FXB193" s="332"/>
      <c r="FXC193" s="321"/>
      <c r="FXD193" s="321"/>
      <c r="FXE193" s="331"/>
      <c r="FXF193" s="308"/>
      <c r="FXG193" s="301"/>
      <c r="FXH193" s="301"/>
      <c r="FXI193" s="302"/>
      <c r="FXJ193" s="309"/>
      <c r="FXK193" s="329"/>
      <c r="FXL193" s="311"/>
      <c r="FXM193" s="312"/>
      <c r="FXN193" s="326"/>
      <c r="FXO193" s="332"/>
      <c r="FXP193" s="321"/>
      <c r="FXQ193" s="321"/>
      <c r="FXR193" s="331"/>
      <c r="FXS193" s="308"/>
      <c r="FXT193" s="301"/>
      <c r="FXU193" s="301"/>
      <c r="FXV193" s="302"/>
      <c r="FXW193" s="309"/>
      <c r="FXX193" s="329"/>
      <c r="FXY193" s="311"/>
      <c r="FXZ193" s="312"/>
      <c r="FYA193" s="326"/>
      <c r="FYB193" s="332"/>
      <c r="FYC193" s="321"/>
      <c r="FYD193" s="321"/>
      <c r="FYE193" s="331"/>
      <c r="FYF193" s="308"/>
      <c r="FYG193" s="301"/>
      <c r="FYH193" s="301"/>
      <c r="FYI193" s="302"/>
      <c r="FYJ193" s="309"/>
      <c r="FYK193" s="329"/>
      <c r="FYL193" s="311"/>
      <c r="FYM193" s="312"/>
      <c r="FYN193" s="326"/>
      <c r="FYO193" s="332"/>
      <c r="FYP193" s="321"/>
      <c r="FYQ193" s="321"/>
      <c r="FYR193" s="331"/>
      <c r="FYS193" s="308"/>
      <c r="FYT193" s="301"/>
      <c r="FYU193" s="301"/>
      <c r="FYV193" s="302"/>
      <c r="FYW193" s="309"/>
      <c r="FYX193" s="329"/>
      <c r="FYY193" s="311"/>
      <c r="FYZ193" s="312"/>
      <c r="FZA193" s="326"/>
      <c r="FZB193" s="332"/>
      <c r="FZC193" s="321"/>
      <c r="FZD193" s="321"/>
      <c r="FZE193" s="331"/>
      <c r="FZF193" s="308"/>
      <c r="FZG193" s="301"/>
      <c r="FZH193" s="301"/>
      <c r="FZI193" s="302"/>
      <c r="FZJ193" s="309"/>
      <c r="FZK193" s="329"/>
      <c r="FZL193" s="311"/>
      <c r="FZM193" s="312"/>
      <c r="FZN193" s="326"/>
      <c r="FZO193" s="332"/>
      <c r="FZP193" s="321"/>
      <c r="FZQ193" s="321"/>
      <c r="FZR193" s="331"/>
      <c r="FZS193" s="308"/>
      <c r="FZT193" s="301"/>
      <c r="FZU193" s="301"/>
      <c r="FZV193" s="302"/>
      <c r="FZW193" s="309"/>
      <c r="FZX193" s="329"/>
      <c r="FZY193" s="311"/>
      <c r="FZZ193" s="312"/>
      <c r="GAA193" s="326"/>
      <c r="GAB193" s="332"/>
      <c r="GAC193" s="321"/>
      <c r="GAD193" s="321"/>
      <c r="GAE193" s="331"/>
      <c r="GAF193" s="308"/>
      <c r="GAG193" s="301"/>
      <c r="GAH193" s="301"/>
      <c r="GAI193" s="302"/>
      <c r="GAJ193" s="309"/>
      <c r="GAK193" s="329"/>
      <c r="GAL193" s="311"/>
      <c r="GAM193" s="312"/>
      <c r="GAN193" s="326"/>
      <c r="GAO193" s="332"/>
      <c r="GAP193" s="321"/>
      <c r="GAQ193" s="321"/>
      <c r="GAR193" s="331"/>
      <c r="GAS193" s="308"/>
      <c r="GAT193" s="301"/>
      <c r="GAU193" s="301"/>
      <c r="GAV193" s="302"/>
      <c r="GAW193" s="309"/>
      <c r="GAX193" s="329"/>
      <c r="GAY193" s="311"/>
      <c r="GAZ193" s="312"/>
      <c r="GBA193" s="326"/>
      <c r="GBB193" s="332"/>
      <c r="GBC193" s="321"/>
      <c r="GBD193" s="321"/>
      <c r="GBE193" s="331"/>
      <c r="GBF193" s="308"/>
      <c r="GBG193" s="301"/>
      <c r="GBH193" s="301"/>
      <c r="GBI193" s="302"/>
      <c r="GBJ193" s="309"/>
      <c r="GBK193" s="329"/>
      <c r="GBL193" s="311"/>
      <c r="GBM193" s="312"/>
      <c r="GBN193" s="326"/>
      <c r="GBO193" s="332"/>
      <c r="GBP193" s="321"/>
      <c r="GBQ193" s="321"/>
      <c r="GBR193" s="331"/>
      <c r="GBS193" s="308"/>
      <c r="GBT193" s="301"/>
      <c r="GBU193" s="301"/>
      <c r="GBV193" s="302"/>
      <c r="GBW193" s="309"/>
      <c r="GBX193" s="329"/>
      <c r="GBY193" s="311"/>
      <c r="GBZ193" s="312"/>
      <c r="GCA193" s="326"/>
      <c r="GCB193" s="332"/>
      <c r="GCC193" s="321"/>
      <c r="GCD193" s="321"/>
      <c r="GCE193" s="331"/>
      <c r="GCF193" s="308"/>
      <c r="GCG193" s="301"/>
      <c r="GCH193" s="301"/>
      <c r="GCI193" s="302"/>
      <c r="GCJ193" s="309"/>
      <c r="GCK193" s="329"/>
      <c r="GCL193" s="311"/>
      <c r="GCM193" s="312"/>
      <c r="GCN193" s="326"/>
      <c r="GCO193" s="332"/>
      <c r="GCP193" s="321"/>
      <c r="GCQ193" s="321"/>
      <c r="GCR193" s="331"/>
      <c r="GCS193" s="308"/>
      <c r="GCT193" s="301"/>
      <c r="GCU193" s="301"/>
      <c r="GCV193" s="302"/>
      <c r="GCW193" s="309"/>
      <c r="GCX193" s="329"/>
      <c r="GCY193" s="311"/>
      <c r="GCZ193" s="312"/>
      <c r="GDA193" s="326"/>
      <c r="GDB193" s="332"/>
      <c r="GDC193" s="321"/>
      <c r="GDD193" s="321"/>
      <c r="GDE193" s="331"/>
      <c r="GDF193" s="308"/>
      <c r="GDG193" s="301"/>
      <c r="GDH193" s="301"/>
      <c r="GDI193" s="302"/>
      <c r="GDJ193" s="309"/>
      <c r="GDK193" s="329"/>
      <c r="GDL193" s="311"/>
      <c r="GDM193" s="312"/>
      <c r="GDN193" s="326"/>
      <c r="GDO193" s="332"/>
      <c r="GDP193" s="321"/>
      <c r="GDQ193" s="321"/>
      <c r="GDR193" s="331"/>
      <c r="GDS193" s="308"/>
      <c r="GDT193" s="301"/>
      <c r="GDU193" s="301"/>
      <c r="GDV193" s="302"/>
      <c r="GDW193" s="309"/>
      <c r="GDX193" s="329"/>
      <c r="GDY193" s="311"/>
      <c r="GDZ193" s="312"/>
      <c r="GEA193" s="326"/>
      <c r="GEB193" s="332"/>
      <c r="GEC193" s="321"/>
      <c r="GED193" s="321"/>
      <c r="GEE193" s="331"/>
      <c r="GEF193" s="308"/>
      <c r="GEG193" s="301"/>
      <c r="GEH193" s="301"/>
      <c r="GEI193" s="302"/>
      <c r="GEJ193" s="309"/>
      <c r="GEK193" s="329"/>
      <c r="GEL193" s="311"/>
      <c r="GEM193" s="312"/>
      <c r="GEN193" s="326"/>
      <c r="GEO193" s="332"/>
      <c r="GEP193" s="321"/>
      <c r="GEQ193" s="321"/>
      <c r="GER193" s="331"/>
      <c r="GES193" s="308"/>
      <c r="GET193" s="301"/>
      <c r="GEU193" s="301"/>
      <c r="GEV193" s="302"/>
      <c r="GEW193" s="309"/>
      <c r="GEX193" s="329"/>
      <c r="GEY193" s="311"/>
      <c r="GEZ193" s="312"/>
      <c r="GFA193" s="326"/>
      <c r="GFB193" s="332"/>
      <c r="GFC193" s="321"/>
      <c r="GFD193" s="321"/>
      <c r="GFE193" s="331"/>
      <c r="GFF193" s="308"/>
      <c r="GFG193" s="301"/>
      <c r="GFH193" s="301"/>
      <c r="GFI193" s="302"/>
      <c r="GFJ193" s="309"/>
      <c r="GFK193" s="329"/>
      <c r="GFL193" s="311"/>
      <c r="GFM193" s="312"/>
      <c r="GFN193" s="326"/>
      <c r="GFO193" s="332"/>
      <c r="GFP193" s="321"/>
      <c r="GFQ193" s="321"/>
      <c r="GFR193" s="331"/>
      <c r="GFS193" s="308"/>
      <c r="GFT193" s="301"/>
      <c r="GFU193" s="301"/>
      <c r="GFV193" s="302"/>
      <c r="GFW193" s="309"/>
      <c r="GFX193" s="329"/>
      <c r="GFY193" s="311"/>
      <c r="GFZ193" s="312"/>
      <c r="GGA193" s="326"/>
      <c r="GGB193" s="332"/>
      <c r="GGC193" s="321"/>
      <c r="GGD193" s="321"/>
      <c r="GGE193" s="331"/>
      <c r="GGF193" s="308"/>
      <c r="GGG193" s="301"/>
      <c r="GGH193" s="301"/>
      <c r="GGI193" s="302"/>
      <c r="GGJ193" s="309"/>
      <c r="GGK193" s="329"/>
      <c r="GGL193" s="311"/>
      <c r="GGM193" s="312"/>
      <c r="GGN193" s="326"/>
      <c r="GGO193" s="332"/>
      <c r="GGP193" s="321"/>
      <c r="GGQ193" s="321"/>
      <c r="GGR193" s="331"/>
      <c r="GGS193" s="308"/>
      <c r="GGT193" s="301"/>
      <c r="GGU193" s="301"/>
      <c r="GGV193" s="302"/>
      <c r="GGW193" s="309"/>
      <c r="GGX193" s="329"/>
      <c r="GGY193" s="311"/>
      <c r="GGZ193" s="312"/>
      <c r="GHA193" s="326"/>
      <c r="GHB193" s="332"/>
      <c r="GHC193" s="321"/>
      <c r="GHD193" s="321"/>
      <c r="GHE193" s="331"/>
      <c r="GHF193" s="308"/>
      <c r="GHG193" s="301"/>
      <c r="GHH193" s="301"/>
      <c r="GHI193" s="302"/>
      <c r="GHJ193" s="309"/>
      <c r="GHK193" s="329"/>
      <c r="GHL193" s="311"/>
      <c r="GHM193" s="312"/>
      <c r="GHN193" s="326"/>
      <c r="GHO193" s="332"/>
      <c r="GHP193" s="321"/>
      <c r="GHQ193" s="321"/>
      <c r="GHR193" s="331"/>
      <c r="GHS193" s="308"/>
      <c r="GHT193" s="301"/>
      <c r="GHU193" s="301"/>
      <c r="GHV193" s="302"/>
      <c r="GHW193" s="309"/>
      <c r="GHX193" s="329"/>
      <c r="GHY193" s="311"/>
      <c r="GHZ193" s="312"/>
      <c r="GIA193" s="326"/>
      <c r="GIB193" s="332"/>
      <c r="GIC193" s="321"/>
      <c r="GID193" s="321"/>
      <c r="GIE193" s="331"/>
      <c r="GIF193" s="308"/>
      <c r="GIG193" s="301"/>
      <c r="GIH193" s="301"/>
      <c r="GII193" s="302"/>
      <c r="GIJ193" s="309"/>
      <c r="GIK193" s="329"/>
      <c r="GIL193" s="311"/>
      <c r="GIM193" s="312"/>
      <c r="GIN193" s="326"/>
      <c r="GIO193" s="332"/>
      <c r="GIP193" s="321"/>
      <c r="GIQ193" s="321"/>
      <c r="GIR193" s="331"/>
      <c r="GIS193" s="308"/>
      <c r="GIT193" s="301"/>
      <c r="GIU193" s="301"/>
      <c r="GIV193" s="302"/>
      <c r="GIW193" s="309"/>
      <c r="GIX193" s="329"/>
      <c r="GIY193" s="311"/>
      <c r="GIZ193" s="312"/>
      <c r="GJA193" s="326"/>
      <c r="GJB193" s="332"/>
      <c r="GJC193" s="321"/>
      <c r="GJD193" s="321"/>
      <c r="GJE193" s="331"/>
      <c r="GJF193" s="308"/>
      <c r="GJG193" s="301"/>
      <c r="GJH193" s="301"/>
      <c r="GJI193" s="302"/>
      <c r="GJJ193" s="309"/>
      <c r="GJK193" s="329"/>
      <c r="GJL193" s="311"/>
      <c r="GJM193" s="312"/>
      <c r="GJN193" s="326"/>
      <c r="GJO193" s="332"/>
      <c r="GJP193" s="321"/>
      <c r="GJQ193" s="321"/>
      <c r="GJR193" s="331"/>
      <c r="GJS193" s="308"/>
      <c r="GJT193" s="301"/>
      <c r="GJU193" s="301"/>
      <c r="GJV193" s="302"/>
      <c r="GJW193" s="309"/>
      <c r="GJX193" s="329"/>
      <c r="GJY193" s="311"/>
      <c r="GJZ193" s="312"/>
      <c r="GKA193" s="326"/>
      <c r="GKB193" s="332"/>
      <c r="GKC193" s="321"/>
      <c r="GKD193" s="321"/>
      <c r="GKE193" s="331"/>
      <c r="GKF193" s="308"/>
      <c r="GKG193" s="301"/>
      <c r="GKH193" s="301"/>
      <c r="GKI193" s="302"/>
      <c r="GKJ193" s="309"/>
      <c r="GKK193" s="329"/>
      <c r="GKL193" s="311"/>
      <c r="GKM193" s="312"/>
      <c r="GKN193" s="326"/>
      <c r="GKO193" s="332"/>
      <c r="GKP193" s="321"/>
      <c r="GKQ193" s="321"/>
      <c r="GKR193" s="331"/>
      <c r="GKS193" s="308"/>
      <c r="GKT193" s="301"/>
      <c r="GKU193" s="301"/>
      <c r="GKV193" s="302"/>
      <c r="GKW193" s="309"/>
      <c r="GKX193" s="329"/>
      <c r="GKY193" s="311"/>
      <c r="GKZ193" s="312"/>
      <c r="GLA193" s="326"/>
      <c r="GLB193" s="332"/>
      <c r="GLC193" s="321"/>
      <c r="GLD193" s="321"/>
      <c r="GLE193" s="331"/>
      <c r="GLF193" s="308"/>
      <c r="GLG193" s="301"/>
      <c r="GLH193" s="301"/>
      <c r="GLI193" s="302"/>
      <c r="GLJ193" s="309"/>
      <c r="GLK193" s="329"/>
      <c r="GLL193" s="311"/>
      <c r="GLM193" s="312"/>
      <c r="GLN193" s="326"/>
      <c r="GLO193" s="332"/>
      <c r="GLP193" s="321"/>
      <c r="GLQ193" s="321"/>
      <c r="GLR193" s="331"/>
      <c r="GLS193" s="308"/>
      <c r="GLT193" s="301"/>
      <c r="GLU193" s="301"/>
      <c r="GLV193" s="302"/>
      <c r="GLW193" s="309"/>
      <c r="GLX193" s="329"/>
      <c r="GLY193" s="311"/>
      <c r="GLZ193" s="312"/>
      <c r="GMA193" s="326"/>
      <c r="GMB193" s="332"/>
      <c r="GMC193" s="321"/>
      <c r="GMD193" s="321"/>
      <c r="GME193" s="331"/>
      <c r="GMF193" s="308"/>
      <c r="GMG193" s="301"/>
      <c r="GMH193" s="301"/>
      <c r="GMI193" s="302"/>
      <c r="GMJ193" s="309"/>
      <c r="GMK193" s="329"/>
      <c r="GML193" s="311"/>
      <c r="GMM193" s="312"/>
      <c r="GMN193" s="326"/>
      <c r="GMO193" s="332"/>
      <c r="GMP193" s="321"/>
      <c r="GMQ193" s="321"/>
      <c r="GMR193" s="331"/>
      <c r="GMS193" s="308"/>
      <c r="GMT193" s="301"/>
      <c r="GMU193" s="301"/>
      <c r="GMV193" s="302"/>
      <c r="GMW193" s="309"/>
      <c r="GMX193" s="329"/>
      <c r="GMY193" s="311"/>
      <c r="GMZ193" s="312"/>
      <c r="GNA193" s="326"/>
      <c r="GNB193" s="332"/>
      <c r="GNC193" s="321"/>
      <c r="GND193" s="321"/>
      <c r="GNE193" s="331"/>
      <c r="GNF193" s="308"/>
      <c r="GNG193" s="301"/>
      <c r="GNH193" s="301"/>
      <c r="GNI193" s="302"/>
      <c r="GNJ193" s="309"/>
      <c r="GNK193" s="329"/>
      <c r="GNL193" s="311"/>
      <c r="GNM193" s="312"/>
      <c r="GNN193" s="326"/>
      <c r="GNO193" s="332"/>
      <c r="GNP193" s="321"/>
      <c r="GNQ193" s="321"/>
      <c r="GNR193" s="331"/>
      <c r="GNS193" s="308"/>
      <c r="GNT193" s="301"/>
      <c r="GNU193" s="301"/>
      <c r="GNV193" s="302"/>
      <c r="GNW193" s="309"/>
      <c r="GNX193" s="329"/>
      <c r="GNY193" s="311"/>
      <c r="GNZ193" s="312"/>
      <c r="GOA193" s="326"/>
      <c r="GOB193" s="332"/>
      <c r="GOC193" s="321"/>
      <c r="GOD193" s="321"/>
      <c r="GOE193" s="331"/>
      <c r="GOF193" s="308"/>
      <c r="GOG193" s="301"/>
      <c r="GOH193" s="301"/>
      <c r="GOI193" s="302"/>
      <c r="GOJ193" s="309"/>
      <c r="GOK193" s="329"/>
      <c r="GOL193" s="311"/>
      <c r="GOM193" s="312"/>
      <c r="GON193" s="326"/>
      <c r="GOO193" s="332"/>
      <c r="GOP193" s="321"/>
      <c r="GOQ193" s="321"/>
      <c r="GOR193" s="331"/>
      <c r="GOS193" s="308"/>
      <c r="GOT193" s="301"/>
      <c r="GOU193" s="301"/>
      <c r="GOV193" s="302"/>
      <c r="GOW193" s="309"/>
      <c r="GOX193" s="329"/>
      <c r="GOY193" s="311"/>
      <c r="GOZ193" s="312"/>
      <c r="GPA193" s="326"/>
      <c r="GPB193" s="332"/>
      <c r="GPC193" s="321"/>
      <c r="GPD193" s="321"/>
      <c r="GPE193" s="331"/>
      <c r="GPF193" s="308"/>
      <c r="GPG193" s="301"/>
      <c r="GPH193" s="301"/>
      <c r="GPI193" s="302"/>
      <c r="GPJ193" s="309"/>
      <c r="GPK193" s="329"/>
      <c r="GPL193" s="311"/>
      <c r="GPM193" s="312"/>
      <c r="GPN193" s="326"/>
      <c r="GPO193" s="332"/>
      <c r="GPP193" s="321"/>
      <c r="GPQ193" s="321"/>
      <c r="GPR193" s="331"/>
      <c r="GPS193" s="308"/>
      <c r="GPT193" s="301"/>
      <c r="GPU193" s="301"/>
      <c r="GPV193" s="302"/>
      <c r="GPW193" s="309"/>
      <c r="GPX193" s="329"/>
      <c r="GPY193" s="311"/>
      <c r="GPZ193" s="312"/>
      <c r="GQA193" s="326"/>
      <c r="GQB193" s="332"/>
      <c r="GQC193" s="321"/>
      <c r="GQD193" s="321"/>
      <c r="GQE193" s="331"/>
      <c r="GQF193" s="308"/>
      <c r="GQG193" s="301"/>
      <c r="GQH193" s="301"/>
      <c r="GQI193" s="302"/>
      <c r="GQJ193" s="309"/>
      <c r="GQK193" s="329"/>
      <c r="GQL193" s="311"/>
      <c r="GQM193" s="312"/>
      <c r="GQN193" s="326"/>
      <c r="GQO193" s="332"/>
      <c r="GQP193" s="321"/>
      <c r="GQQ193" s="321"/>
      <c r="GQR193" s="331"/>
      <c r="GQS193" s="308"/>
      <c r="GQT193" s="301"/>
      <c r="GQU193" s="301"/>
      <c r="GQV193" s="302"/>
      <c r="GQW193" s="309"/>
      <c r="GQX193" s="329"/>
      <c r="GQY193" s="311"/>
      <c r="GQZ193" s="312"/>
      <c r="GRA193" s="326"/>
      <c r="GRB193" s="332"/>
      <c r="GRC193" s="321"/>
      <c r="GRD193" s="321"/>
      <c r="GRE193" s="331"/>
      <c r="GRF193" s="308"/>
      <c r="GRG193" s="301"/>
      <c r="GRH193" s="301"/>
      <c r="GRI193" s="302"/>
      <c r="GRJ193" s="309"/>
      <c r="GRK193" s="329"/>
      <c r="GRL193" s="311"/>
      <c r="GRM193" s="312"/>
      <c r="GRN193" s="326"/>
      <c r="GRO193" s="332"/>
      <c r="GRP193" s="321"/>
      <c r="GRQ193" s="321"/>
      <c r="GRR193" s="331"/>
      <c r="GRS193" s="308"/>
      <c r="GRT193" s="301"/>
      <c r="GRU193" s="301"/>
      <c r="GRV193" s="302"/>
      <c r="GRW193" s="309"/>
      <c r="GRX193" s="329"/>
      <c r="GRY193" s="311"/>
      <c r="GRZ193" s="312"/>
      <c r="GSA193" s="326"/>
      <c r="GSB193" s="332"/>
      <c r="GSC193" s="321"/>
      <c r="GSD193" s="321"/>
      <c r="GSE193" s="331"/>
      <c r="GSF193" s="308"/>
      <c r="GSG193" s="301"/>
      <c r="GSH193" s="301"/>
      <c r="GSI193" s="302"/>
      <c r="GSJ193" s="309"/>
      <c r="GSK193" s="329"/>
      <c r="GSL193" s="311"/>
      <c r="GSM193" s="312"/>
      <c r="GSN193" s="326"/>
      <c r="GSO193" s="332"/>
      <c r="GSP193" s="321"/>
      <c r="GSQ193" s="321"/>
      <c r="GSR193" s="331"/>
      <c r="GSS193" s="308"/>
      <c r="GST193" s="301"/>
      <c r="GSU193" s="301"/>
      <c r="GSV193" s="302"/>
      <c r="GSW193" s="309"/>
      <c r="GSX193" s="329"/>
      <c r="GSY193" s="311"/>
      <c r="GSZ193" s="312"/>
      <c r="GTA193" s="326"/>
      <c r="GTB193" s="332"/>
      <c r="GTC193" s="321"/>
      <c r="GTD193" s="321"/>
      <c r="GTE193" s="331"/>
      <c r="GTF193" s="308"/>
      <c r="GTG193" s="301"/>
      <c r="GTH193" s="301"/>
      <c r="GTI193" s="302"/>
      <c r="GTJ193" s="309"/>
      <c r="GTK193" s="329"/>
      <c r="GTL193" s="311"/>
      <c r="GTM193" s="312"/>
      <c r="GTN193" s="326"/>
      <c r="GTO193" s="332"/>
      <c r="GTP193" s="321"/>
      <c r="GTQ193" s="321"/>
      <c r="GTR193" s="331"/>
      <c r="GTS193" s="308"/>
      <c r="GTT193" s="301"/>
      <c r="GTU193" s="301"/>
      <c r="GTV193" s="302"/>
      <c r="GTW193" s="309"/>
      <c r="GTX193" s="329"/>
      <c r="GTY193" s="311"/>
      <c r="GTZ193" s="312"/>
      <c r="GUA193" s="326"/>
      <c r="GUB193" s="332"/>
      <c r="GUC193" s="321"/>
      <c r="GUD193" s="321"/>
      <c r="GUE193" s="331"/>
      <c r="GUF193" s="308"/>
      <c r="GUG193" s="301"/>
      <c r="GUH193" s="301"/>
      <c r="GUI193" s="302"/>
      <c r="GUJ193" s="309"/>
      <c r="GUK193" s="329"/>
      <c r="GUL193" s="311"/>
      <c r="GUM193" s="312"/>
      <c r="GUN193" s="326"/>
      <c r="GUO193" s="332"/>
      <c r="GUP193" s="321"/>
      <c r="GUQ193" s="321"/>
      <c r="GUR193" s="331"/>
      <c r="GUS193" s="308"/>
      <c r="GUT193" s="301"/>
      <c r="GUU193" s="301"/>
      <c r="GUV193" s="302"/>
      <c r="GUW193" s="309"/>
      <c r="GUX193" s="329"/>
      <c r="GUY193" s="311"/>
      <c r="GUZ193" s="312"/>
      <c r="GVA193" s="326"/>
      <c r="GVB193" s="332"/>
      <c r="GVC193" s="321"/>
      <c r="GVD193" s="321"/>
      <c r="GVE193" s="331"/>
      <c r="GVF193" s="308"/>
      <c r="GVG193" s="301"/>
      <c r="GVH193" s="301"/>
      <c r="GVI193" s="302"/>
      <c r="GVJ193" s="309"/>
      <c r="GVK193" s="329"/>
      <c r="GVL193" s="311"/>
      <c r="GVM193" s="312"/>
      <c r="GVN193" s="326"/>
      <c r="GVO193" s="332"/>
      <c r="GVP193" s="321"/>
      <c r="GVQ193" s="321"/>
      <c r="GVR193" s="331"/>
      <c r="GVS193" s="308"/>
      <c r="GVT193" s="301"/>
      <c r="GVU193" s="301"/>
      <c r="GVV193" s="302"/>
      <c r="GVW193" s="309"/>
      <c r="GVX193" s="329"/>
      <c r="GVY193" s="311"/>
      <c r="GVZ193" s="312"/>
      <c r="GWA193" s="326"/>
      <c r="GWB193" s="332"/>
      <c r="GWC193" s="321"/>
      <c r="GWD193" s="321"/>
      <c r="GWE193" s="331"/>
      <c r="GWF193" s="308"/>
      <c r="GWG193" s="301"/>
      <c r="GWH193" s="301"/>
      <c r="GWI193" s="302"/>
      <c r="GWJ193" s="309"/>
      <c r="GWK193" s="329"/>
      <c r="GWL193" s="311"/>
      <c r="GWM193" s="312"/>
      <c r="GWN193" s="326"/>
      <c r="GWO193" s="332"/>
      <c r="GWP193" s="321"/>
      <c r="GWQ193" s="321"/>
      <c r="GWR193" s="331"/>
      <c r="GWS193" s="308"/>
      <c r="GWT193" s="301"/>
      <c r="GWU193" s="301"/>
      <c r="GWV193" s="302"/>
      <c r="GWW193" s="309"/>
      <c r="GWX193" s="329"/>
      <c r="GWY193" s="311"/>
      <c r="GWZ193" s="312"/>
      <c r="GXA193" s="326"/>
      <c r="GXB193" s="332"/>
      <c r="GXC193" s="321"/>
      <c r="GXD193" s="321"/>
      <c r="GXE193" s="331"/>
      <c r="GXF193" s="308"/>
      <c r="GXG193" s="301"/>
      <c r="GXH193" s="301"/>
      <c r="GXI193" s="302"/>
      <c r="GXJ193" s="309"/>
      <c r="GXK193" s="329"/>
      <c r="GXL193" s="311"/>
      <c r="GXM193" s="312"/>
      <c r="GXN193" s="326"/>
      <c r="GXO193" s="332"/>
      <c r="GXP193" s="321"/>
      <c r="GXQ193" s="321"/>
      <c r="GXR193" s="331"/>
      <c r="GXS193" s="308"/>
      <c r="GXT193" s="301"/>
      <c r="GXU193" s="301"/>
      <c r="GXV193" s="302"/>
      <c r="GXW193" s="309"/>
      <c r="GXX193" s="329"/>
      <c r="GXY193" s="311"/>
      <c r="GXZ193" s="312"/>
      <c r="GYA193" s="326"/>
      <c r="GYB193" s="332"/>
      <c r="GYC193" s="321"/>
      <c r="GYD193" s="321"/>
      <c r="GYE193" s="331"/>
      <c r="GYF193" s="308"/>
      <c r="GYG193" s="301"/>
      <c r="GYH193" s="301"/>
      <c r="GYI193" s="302"/>
      <c r="GYJ193" s="309"/>
      <c r="GYK193" s="329"/>
      <c r="GYL193" s="311"/>
      <c r="GYM193" s="312"/>
      <c r="GYN193" s="326"/>
      <c r="GYO193" s="332"/>
      <c r="GYP193" s="321"/>
      <c r="GYQ193" s="321"/>
      <c r="GYR193" s="331"/>
      <c r="GYS193" s="308"/>
      <c r="GYT193" s="301"/>
      <c r="GYU193" s="301"/>
      <c r="GYV193" s="302"/>
      <c r="GYW193" s="309"/>
      <c r="GYX193" s="329"/>
      <c r="GYY193" s="311"/>
      <c r="GYZ193" s="312"/>
      <c r="GZA193" s="326"/>
      <c r="GZB193" s="332"/>
      <c r="GZC193" s="321"/>
      <c r="GZD193" s="321"/>
      <c r="GZE193" s="331"/>
      <c r="GZF193" s="308"/>
      <c r="GZG193" s="301"/>
      <c r="GZH193" s="301"/>
      <c r="GZI193" s="302"/>
      <c r="GZJ193" s="309"/>
      <c r="GZK193" s="329"/>
      <c r="GZL193" s="311"/>
      <c r="GZM193" s="312"/>
      <c r="GZN193" s="326"/>
      <c r="GZO193" s="332"/>
      <c r="GZP193" s="321"/>
      <c r="GZQ193" s="321"/>
      <c r="GZR193" s="331"/>
      <c r="GZS193" s="308"/>
      <c r="GZT193" s="301"/>
      <c r="GZU193" s="301"/>
      <c r="GZV193" s="302"/>
      <c r="GZW193" s="309"/>
      <c r="GZX193" s="329"/>
      <c r="GZY193" s="311"/>
      <c r="GZZ193" s="312"/>
      <c r="HAA193" s="326"/>
      <c r="HAB193" s="332"/>
      <c r="HAC193" s="321"/>
      <c r="HAD193" s="321"/>
      <c r="HAE193" s="331"/>
      <c r="HAF193" s="308"/>
      <c r="HAG193" s="301"/>
      <c r="HAH193" s="301"/>
      <c r="HAI193" s="302"/>
      <c r="HAJ193" s="309"/>
      <c r="HAK193" s="329"/>
      <c r="HAL193" s="311"/>
      <c r="HAM193" s="312"/>
      <c r="HAN193" s="326"/>
      <c r="HAO193" s="332"/>
      <c r="HAP193" s="321"/>
      <c r="HAQ193" s="321"/>
      <c r="HAR193" s="331"/>
      <c r="HAS193" s="308"/>
      <c r="HAT193" s="301"/>
      <c r="HAU193" s="301"/>
      <c r="HAV193" s="302"/>
      <c r="HAW193" s="309"/>
      <c r="HAX193" s="329"/>
      <c r="HAY193" s="311"/>
      <c r="HAZ193" s="312"/>
      <c r="HBA193" s="326"/>
      <c r="HBB193" s="332"/>
      <c r="HBC193" s="321"/>
      <c r="HBD193" s="321"/>
      <c r="HBE193" s="331"/>
      <c r="HBF193" s="308"/>
      <c r="HBG193" s="301"/>
      <c r="HBH193" s="301"/>
      <c r="HBI193" s="302"/>
      <c r="HBJ193" s="309"/>
      <c r="HBK193" s="329"/>
      <c r="HBL193" s="311"/>
      <c r="HBM193" s="312"/>
      <c r="HBN193" s="326"/>
      <c r="HBO193" s="332"/>
      <c r="HBP193" s="321"/>
      <c r="HBQ193" s="321"/>
      <c r="HBR193" s="331"/>
      <c r="HBS193" s="308"/>
      <c r="HBT193" s="301"/>
      <c r="HBU193" s="301"/>
      <c r="HBV193" s="302"/>
      <c r="HBW193" s="309"/>
      <c r="HBX193" s="329"/>
      <c r="HBY193" s="311"/>
      <c r="HBZ193" s="312"/>
      <c r="HCA193" s="326"/>
      <c r="HCB193" s="332"/>
      <c r="HCC193" s="321"/>
      <c r="HCD193" s="321"/>
      <c r="HCE193" s="331"/>
      <c r="HCF193" s="308"/>
      <c r="HCG193" s="301"/>
      <c r="HCH193" s="301"/>
      <c r="HCI193" s="302"/>
      <c r="HCJ193" s="309"/>
      <c r="HCK193" s="329"/>
      <c r="HCL193" s="311"/>
      <c r="HCM193" s="312"/>
      <c r="HCN193" s="326"/>
      <c r="HCO193" s="332"/>
      <c r="HCP193" s="321"/>
      <c r="HCQ193" s="321"/>
      <c r="HCR193" s="331"/>
      <c r="HCS193" s="308"/>
      <c r="HCT193" s="301"/>
      <c r="HCU193" s="301"/>
      <c r="HCV193" s="302"/>
      <c r="HCW193" s="309"/>
      <c r="HCX193" s="329"/>
      <c r="HCY193" s="311"/>
      <c r="HCZ193" s="312"/>
      <c r="HDA193" s="326"/>
      <c r="HDB193" s="332"/>
      <c r="HDC193" s="321"/>
      <c r="HDD193" s="321"/>
      <c r="HDE193" s="331"/>
      <c r="HDF193" s="308"/>
      <c r="HDG193" s="301"/>
      <c r="HDH193" s="301"/>
      <c r="HDI193" s="302"/>
      <c r="HDJ193" s="309"/>
      <c r="HDK193" s="329"/>
      <c r="HDL193" s="311"/>
      <c r="HDM193" s="312"/>
      <c r="HDN193" s="326"/>
      <c r="HDO193" s="332"/>
      <c r="HDP193" s="321"/>
      <c r="HDQ193" s="321"/>
      <c r="HDR193" s="331"/>
      <c r="HDS193" s="308"/>
      <c r="HDT193" s="301"/>
      <c r="HDU193" s="301"/>
      <c r="HDV193" s="302"/>
      <c r="HDW193" s="309"/>
      <c r="HDX193" s="329"/>
      <c r="HDY193" s="311"/>
      <c r="HDZ193" s="312"/>
      <c r="HEA193" s="326"/>
      <c r="HEB193" s="332"/>
      <c r="HEC193" s="321"/>
      <c r="HED193" s="321"/>
      <c r="HEE193" s="331"/>
      <c r="HEF193" s="308"/>
      <c r="HEG193" s="301"/>
      <c r="HEH193" s="301"/>
      <c r="HEI193" s="302"/>
      <c r="HEJ193" s="309"/>
      <c r="HEK193" s="329"/>
      <c r="HEL193" s="311"/>
      <c r="HEM193" s="312"/>
      <c r="HEN193" s="326"/>
      <c r="HEO193" s="332"/>
      <c r="HEP193" s="321"/>
      <c r="HEQ193" s="321"/>
      <c r="HER193" s="331"/>
      <c r="HES193" s="308"/>
      <c r="HET193" s="301"/>
      <c r="HEU193" s="301"/>
      <c r="HEV193" s="302"/>
      <c r="HEW193" s="309"/>
      <c r="HEX193" s="329"/>
      <c r="HEY193" s="311"/>
      <c r="HEZ193" s="312"/>
      <c r="HFA193" s="326"/>
      <c r="HFB193" s="332"/>
      <c r="HFC193" s="321"/>
      <c r="HFD193" s="321"/>
      <c r="HFE193" s="331"/>
      <c r="HFF193" s="308"/>
      <c r="HFG193" s="301"/>
      <c r="HFH193" s="301"/>
      <c r="HFI193" s="302"/>
      <c r="HFJ193" s="309"/>
      <c r="HFK193" s="329"/>
      <c r="HFL193" s="311"/>
      <c r="HFM193" s="312"/>
      <c r="HFN193" s="326"/>
      <c r="HFO193" s="332"/>
      <c r="HFP193" s="321"/>
      <c r="HFQ193" s="321"/>
      <c r="HFR193" s="331"/>
      <c r="HFS193" s="308"/>
      <c r="HFT193" s="301"/>
      <c r="HFU193" s="301"/>
      <c r="HFV193" s="302"/>
      <c r="HFW193" s="309"/>
      <c r="HFX193" s="329"/>
      <c r="HFY193" s="311"/>
      <c r="HFZ193" s="312"/>
      <c r="HGA193" s="326"/>
      <c r="HGB193" s="332"/>
      <c r="HGC193" s="321"/>
      <c r="HGD193" s="321"/>
      <c r="HGE193" s="331"/>
      <c r="HGF193" s="308"/>
      <c r="HGG193" s="301"/>
      <c r="HGH193" s="301"/>
      <c r="HGI193" s="302"/>
      <c r="HGJ193" s="309"/>
      <c r="HGK193" s="329"/>
      <c r="HGL193" s="311"/>
      <c r="HGM193" s="312"/>
      <c r="HGN193" s="326"/>
      <c r="HGO193" s="332"/>
      <c r="HGP193" s="321"/>
      <c r="HGQ193" s="321"/>
      <c r="HGR193" s="331"/>
      <c r="HGS193" s="308"/>
      <c r="HGT193" s="301"/>
      <c r="HGU193" s="301"/>
      <c r="HGV193" s="302"/>
      <c r="HGW193" s="309"/>
      <c r="HGX193" s="329"/>
      <c r="HGY193" s="311"/>
      <c r="HGZ193" s="312"/>
      <c r="HHA193" s="326"/>
      <c r="HHB193" s="332"/>
      <c r="HHC193" s="321"/>
      <c r="HHD193" s="321"/>
      <c r="HHE193" s="331"/>
      <c r="HHF193" s="308"/>
      <c r="HHG193" s="301"/>
      <c r="HHH193" s="301"/>
      <c r="HHI193" s="302"/>
      <c r="HHJ193" s="309"/>
      <c r="HHK193" s="329"/>
      <c r="HHL193" s="311"/>
      <c r="HHM193" s="312"/>
      <c r="HHN193" s="326"/>
      <c r="HHO193" s="332"/>
      <c r="HHP193" s="321"/>
      <c r="HHQ193" s="321"/>
      <c r="HHR193" s="331"/>
      <c r="HHS193" s="308"/>
      <c r="HHT193" s="301"/>
      <c r="HHU193" s="301"/>
      <c r="HHV193" s="302"/>
      <c r="HHW193" s="309"/>
      <c r="HHX193" s="329"/>
      <c r="HHY193" s="311"/>
      <c r="HHZ193" s="312"/>
      <c r="HIA193" s="326"/>
      <c r="HIB193" s="332"/>
      <c r="HIC193" s="321"/>
      <c r="HID193" s="321"/>
      <c r="HIE193" s="331"/>
      <c r="HIF193" s="308"/>
      <c r="HIG193" s="301"/>
      <c r="HIH193" s="301"/>
      <c r="HII193" s="302"/>
      <c r="HIJ193" s="309"/>
      <c r="HIK193" s="329"/>
      <c r="HIL193" s="311"/>
      <c r="HIM193" s="312"/>
      <c r="HIN193" s="326"/>
      <c r="HIO193" s="332"/>
      <c r="HIP193" s="321"/>
      <c r="HIQ193" s="321"/>
      <c r="HIR193" s="331"/>
      <c r="HIS193" s="308"/>
      <c r="HIT193" s="301"/>
      <c r="HIU193" s="301"/>
      <c r="HIV193" s="302"/>
      <c r="HIW193" s="309"/>
      <c r="HIX193" s="329"/>
      <c r="HIY193" s="311"/>
      <c r="HIZ193" s="312"/>
      <c r="HJA193" s="326"/>
      <c r="HJB193" s="332"/>
      <c r="HJC193" s="321"/>
      <c r="HJD193" s="321"/>
      <c r="HJE193" s="331"/>
      <c r="HJF193" s="308"/>
      <c r="HJG193" s="301"/>
      <c r="HJH193" s="301"/>
      <c r="HJI193" s="302"/>
      <c r="HJJ193" s="309"/>
      <c r="HJK193" s="329"/>
      <c r="HJL193" s="311"/>
      <c r="HJM193" s="312"/>
      <c r="HJN193" s="326"/>
      <c r="HJO193" s="332"/>
      <c r="HJP193" s="321"/>
      <c r="HJQ193" s="321"/>
      <c r="HJR193" s="331"/>
      <c r="HJS193" s="308"/>
      <c r="HJT193" s="301"/>
      <c r="HJU193" s="301"/>
      <c r="HJV193" s="302"/>
      <c r="HJW193" s="309"/>
      <c r="HJX193" s="329"/>
      <c r="HJY193" s="311"/>
      <c r="HJZ193" s="312"/>
      <c r="HKA193" s="326"/>
      <c r="HKB193" s="332"/>
      <c r="HKC193" s="321"/>
      <c r="HKD193" s="321"/>
      <c r="HKE193" s="331"/>
      <c r="HKF193" s="308"/>
      <c r="HKG193" s="301"/>
      <c r="HKH193" s="301"/>
      <c r="HKI193" s="302"/>
      <c r="HKJ193" s="309"/>
      <c r="HKK193" s="329"/>
      <c r="HKL193" s="311"/>
      <c r="HKM193" s="312"/>
      <c r="HKN193" s="326"/>
      <c r="HKO193" s="332"/>
      <c r="HKP193" s="321"/>
      <c r="HKQ193" s="321"/>
      <c r="HKR193" s="331"/>
      <c r="HKS193" s="308"/>
      <c r="HKT193" s="301"/>
      <c r="HKU193" s="301"/>
      <c r="HKV193" s="302"/>
      <c r="HKW193" s="309"/>
      <c r="HKX193" s="329"/>
      <c r="HKY193" s="311"/>
      <c r="HKZ193" s="312"/>
      <c r="HLA193" s="326"/>
      <c r="HLB193" s="332"/>
      <c r="HLC193" s="321"/>
      <c r="HLD193" s="321"/>
      <c r="HLE193" s="331"/>
      <c r="HLF193" s="308"/>
      <c r="HLG193" s="301"/>
      <c r="HLH193" s="301"/>
      <c r="HLI193" s="302"/>
      <c r="HLJ193" s="309"/>
      <c r="HLK193" s="329"/>
      <c r="HLL193" s="311"/>
      <c r="HLM193" s="312"/>
      <c r="HLN193" s="326"/>
      <c r="HLO193" s="332"/>
      <c r="HLP193" s="321"/>
      <c r="HLQ193" s="321"/>
      <c r="HLR193" s="331"/>
      <c r="HLS193" s="308"/>
      <c r="HLT193" s="301"/>
      <c r="HLU193" s="301"/>
      <c r="HLV193" s="302"/>
      <c r="HLW193" s="309"/>
      <c r="HLX193" s="329"/>
      <c r="HLY193" s="311"/>
      <c r="HLZ193" s="312"/>
      <c r="HMA193" s="326"/>
      <c r="HMB193" s="332"/>
      <c r="HMC193" s="321"/>
      <c r="HMD193" s="321"/>
      <c r="HME193" s="331"/>
      <c r="HMF193" s="308"/>
      <c r="HMG193" s="301"/>
      <c r="HMH193" s="301"/>
      <c r="HMI193" s="302"/>
      <c r="HMJ193" s="309"/>
      <c r="HMK193" s="329"/>
      <c r="HML193" s="311"/>
      <c r="HMM193" s="312"/>
      <c r="HMN193" s="326"/>
      <c r="HMO193" s="332"/>
      <c r="HMP193" s="321"/>
      <c r="HMQ193" s="321"/>
      <c r="HMR193" s="331"/>
      <c r="HMS193" s="308"/>
      <c r="HMT193" s="301"/>
      <c r="HMU193" s="301"/>
      <c r="HMV193" s="302"/>
      <c r="HMW193" s="309"/>
      <c r="HMX193" s="329"/>
      <c r="HMY193" s="311"/>
      <c r="HMZ193" s="312"/>
      <c r="HNA193" s="326"/>
      <c r="HNB193" s="332"/>
      <c r="HNC193" s="321"/>
      <c r="HND193" s="321"/>
      <c r="HNE193" s="331"/>
      <c r="HNF193" s="308"/>
      <c r="HNG193" s="301"/>
      <c r="HNH193" s="301"/>
      <c r="HNI193" s="302"/>
      <c r="HNJ193" s="309"/>
      <c r="HNK193" s="329"/>
      <c r="HNL193" s="311"/>
      <c r="HNM193" s="312"/>
      <c r="HNN193" s="326"/>
      <c r="HNO193" s="332"/>
      <c r="HNP193" s="321"/>
      <c r="HNQ193" s="321"/>
      <c r="HNR193" s="331"/>
      <c r="HNS193" s="308"/>
      <c r="HNT193" s="301"/>
      <c r="HNU193" s="301"/>
      <c r="HNV193" s="302"/>
      <c r="HNW193" s="309"/>
      <c r="HNX193" s="329"/>
      <c r="HNY193" s="311"/>
      <c r="HNZ193" s="312"/>
      <c r="HOA193" s="326"/>
      <c r="HOB193" s="332"/>
      <c r="HOC193" s="321"/>
      <c r="HOD193" s="321"/>
      <c r="HOE193" s="331"/>
      <c r="HOF193" s="308"/>
      <c r="HOG193" s="301"/>
      <c r="HOH193" s="301"/>
      <c r="HOI193" s="302"/>
      <c r="HOJ193" s="309"/>
      <c r="HOK193" s="329"/>
      <c r="HOL193" s="311"/>
      <c r="HOM193" s="312"/>
      <c r="HON193" s="326"/>
      <c r="HOO193" s="332"/>
      <c r="HOP193" s="321"/>
      <c r="HOQ193" s="321"/>
      <c r="HOR193" s="331"/>
      <c r="HOS193" s="308"/>
      <c r="HOT193" s="301"/>
      <c r="HOU193" s="301"/>
      <c r="HOV193" s="302"/>
      <c r="HOW193" s="309"/>
      <c r="HOX193" s="329"/>
      <c r="HOY193" s="311"/>
      <c r="HOZ193" s="312"/>
      <c r="HPA193" s="326"/>
      <c r="HPB193" s="332"/>
      <c r="HPC193" s="321"/>
      <c r="HPD193" s="321"/>
      <c r="HPE193" s="331"/>
      <c r="HPF193" s="308"/>
      <c r="HPG193" s="301"/>
      <c r="HPH193" s="301"/>
      <c r="HPI193" s="302"/>
      <c r="HPJ193" s="309"/>
      <c r="HPK193" s="329"/>
      <c r="HPL193" s="311"/>
      <c r="HPM193" s="312"/>
      <c r="HPN193" s="326"/>
      <c r="HPO193" s="332"/>
      <c r="HPP193" s="321"/>
      <c r="HPQ193" s="321"/>
      <c r="HPR193" s="331"/>
      <c r="HPS193" s="308"/>
      <c r="HPT193" s="301"/>
      <c r="HPU193" s="301"/>
      <c r="HPV193" s="302"/>
      <c r="HPW193" s="309"/>
      <c r="HPX193" s="329"/>
      <c r="HPY193" s="311"/>
      <c r="HPZ193" s="312"/>
      <c r="HQA193" s="326"/>
      <c r="HQB193" s="332"/>
      <c r="HQC193" s="321"/>
      <c r="HQD193" s="321"/>
      <c r="HQE193" s="331"/>
      <c r="HQF193" s="308"/>
      <c r="HQG193" s="301"/>
      <c r="HQH193" s="301"/>
      <c r="HQI193" s="302"/>
      <c r="HQJ193" s="309"/>
      <c r="HQK193" s="329"/>
      <c r="HQL193" s="311"/>
      <c r="HQM193" s="312"/>
      <c r="HQN193" s="326"/>
      <c r="HQO193" s="332"/>
      <c r="HQP193" s="321"/>
      <c r="HQQ193" s="321"/>
      <c r="HQR193" s="331"/>
      <c r="HQS193" s="308"/>
      <c r="HQT193" s="301"/>
      <c r="HQU193" s="301"/>
      <c r="HQV193" s="302"/>
      <c r="HQW193" s="309"/>
      <c r="HQX193" s="329"/>
      <c r="HQY193" s="311"/>
      <c r="HQZ193" s="312"/>
      <c r="HRA193" s="326"/>
      <c r="HRB193" s="332"/>
      <c r="HRC193" s="321"/>
      <c r="HRD193" s="321"/>
      <c r="HRE193" s="331"/>
      <c r="HRF193" s="308"/>
      <c r="HRG193" s="301"/>
      <c r="HRH193" s="301"/>
      <c r="HRI193" s="302"/>
      <c r="HRJ193" s="309"/>
      <c r="HRK193" s="329"/>
      <c r="HRL193" s="311"/>
      <c r="HRM193" s="312"/>
      <c r="HRN193" s="326"/>
      <c r="HRO193" s="332"/>
      <c r="HRP193" s="321"/>
      <c r="HRQ193" s="321"/>
      <c r="HRR193" s="331"/>
      <c r="HRS193" s="308"/>
      <c r="HRT193" s="301"/>
      <c r="HRU193" s="301"/>
      <c r="HRV193" s="302"/>
      <c r="HRW193" s="309"/>
      <c r="HRX193" s="329"/>
      <c r="HRY193" s="311"/>
      <c r="HRZ193" s="312"/>
      <c r="HSA193" s="326"/>
      <c r="HSB193" s="332"/>
      <c r="HSC193" s="321"/>
      <c r="HSD193" s="321"/>
      <c r="HSE193" s="331"/>
      <c r="HSF193" s="308"/>
      <c r="HSG193" s="301"/>
      <c r="HSH193" s="301"/>
      <c r="HSI193" s="302"/>
      <c r="HSJ193" s="309"/>
      <c r="HSK193" s="329"/>
      <c r="HSL193" s="311"/>
      <c r="HSM193" s="312"/>
      <c r="HSN193" s="326"/>
      <c r="HSO193" s="332"/>
      <c r="HSP193" s="321"/>
      <c r="HSQ193" s="321"/>
      <c r="HSR193" s="331"/>
      <c r="HSS193" s="308"/>
      <c r="HST193" s="301"/>
      <c r="HSU193" s="301"/>
      <c r="HSV193" s="302"/>
      <c r="HSW193" s="309"/>
      <c r="HSX193" s="329"/>
      <c r="HSY193" s="311"/>
      <c r="HSZ193" s="312"/>
      <c r="HTA193" s="326"/>
      <c r="HTB193" s="332"/>
      <c r="HTC193" s="321"/>
      <c r="HTD193" s="321"/>
      <c r="HTE193" s="331"/>
      <c r="HTF193" s="308"/>
      <c r="HTG193" s="301"/>
      <c r="HTH193" s="301"/>
      <c r="HTI193" s="302"/>
      <c r="HTJ193" s="309"/>
      <c r="HTK193" s="329"/>
      <c r="HTL193" s="311"/>
      <c r="HTM193" s="312"/>
      <c r="HTN193" s="326"/>
      <c r="HTO193" s="332"/>
      <c r="HTP193" s="321"/>
      <c r="HTQ193" s="321"/>
      <c r="HTR193" s="331"/>
      <c r="HTS193" s="308"/>
      <c r="HTT193" s="301"/>
      <c r="HTU193" s="301"/>
      <c r="HTV193" s="302"/>
      <c r="HTW193" s="309"/>
      <c r="HTX193" s="329"/>
      <c r="HTY193" s="311"/>
      <c r="HTZ193" s="312"/>
      <c r="HUA193" s="326"/>
      <c r="HUB193" s="332"/>
      <c r="HUC193" s="321"/>
      <c r="HUD193" s="321"/>
      <c r="HUE193" s="331"/>
      <c r="HUF193" s="308"/>
      <c r="HUG193" s="301"/>
      <c r="HUH193" s="301"/>
      <c r="HUI193" s="302"/>
      <c r="HUJ193" s="309"/>
      <c r="HUK193" s="329"/>
      <c r="HUL193" s="311"/>
      <c r="HUM193" s="312"/>
      <c r="HUN193" s="326"/>
      <c r="HUO193" s="332"/>
      <c r="HUP193" s="321"/>
      <c r="HUQ193" s="321"/>
      <c r="HUR193" s="331"/>
      <c r="HUS193" s="308"/>
      <c r="HUT193" s="301"/>
      <c r="HUU193" s="301"/>
      <c r="HUV193" s="302"/>
      <c r="HUW193" s="309"/>
      <c r="HUX193" s="329"/>
      <c r="HUY193" s="311"/>
      <c r="HUZ193" s="312"/>
      <c r="HVA193" s="326"/>
      <c r="HVB193" s="332"/>
      <c r="HVC193" s="321"/>
      <c r="HVD193" s="321"/>
      <c r="HVE193" s="331"/>
      <c r="HVF193" s="308"/>
      <c r="HVG193" s="301"/>
      <c r="HVH193" s="301"/>
      <c r="HVI193" s="302"/>
      <c r="HVJ193" s="309"/>
      <c r="HVK193" s="329"/>
      <c r="HVL193" s="311"/>
      <c r="HVM193" s="312"/>
      <c r="HVN193" s="326"/>
      <c r="HVO193" s="332"/>
      <c r="HVP193" s="321"/>
      <c r="HVQ193" s="321"/>
      <c r="HVR193" s="331"/>
      <c r="HVS193" s="308"/>
      <c r="HVT193" s="301"/>
      <c r="HVU193" s="301"/>
      <c r="HVV193" s="302"/>
      <c r="HVW193" s="309"/>
      <c r="HVX193" s="329"/>
      <c r="HVY193" s="311"/>
      <c r="HVZ193" s="312"/>
      <c r="HWA193" s="326"/>
      <c r="HWB193" s="332"/>
      <c r="HWC193" s="321"/>
      <c r="HWD193" s="321"/>
      <c r="HWE193" s="331"/>
      <c r="HWF193" s="308"/>
      <c r="HWG193" s="301"/>
      <c r="HWH193" s="301"/>
      <c r="HWI193" s="302"/>
      <c r="HWJ193" s="309"/>
      <c r="HWK193" s="329"/>
      <c r="HWL193" s="311"/>
      <c r="HWM193" s="312"/>
      <c r="HWN193" s="326"/>
      <c r="HWO193" s="332"/>
      <c r="HWP193" s="321"/>
      <c r="HWQ193" s="321"/>
      <c r="HWR193" s="331"/>
      <c r="HWS193" s="308"/>
      <c r="HWT193" s="301"/>
      <c r="HWU193" s="301"/>
      <c r="HWV193" s="302"/>
      <c r="HWW193" s="309"/>
      <c r="HWX193" s="329"/>
      <c r="HWY193" s="311"/>
      <c r="HWZ193" s="312"/>
      <c r="HXA193" s="326"/>
      <c r="HXB193" s="332"/>
      <c r="HXC193" s="321"/>
      <c r="HXD193" s="321"/>
      <c r="HXE193" s="331"/>
      <c r="HXF193" s="308"/>
      <c r="HXG193" s="301"/>
      <c r="HXH193" s="301"/>
      <c r="HXI193" s="302"/>
      <c r="HXJ193" s="309"/>
      <c r="HXK193" s="329"/>
      <c r="HXL193" s="311"/>
      <c r="HXM193" s="312"/>
      <c r="HXN193" s="326"/>
      <c r="HXO193" s="332"/>
      <c r="HXP193" s="321"/>
      <c r="HXQ193" s="321"/>
      <c r="HXR193" s="331"/>
      <c r="HXS193" s="308"/>
      <c r="HXT193" s="301"/>
      <c r="HXU193" s="301"/>
      <c r="HXV193" s="302"/>
      <c r="HXW193" s="309"/>
      <c r="HXX193" s="329"/>
      <c r="HXY193" s="311"/>
      <c r="HXZ193" s="312"/>
      <c r="HYA193" s="326"/>
      <c r="HYB193" s="332"/>
      <c r="HYC193" s="321"/>
      <c r="HYD193" s="321"/>
      <c r="HYE193" s="331"/>
      <c r="HYF193" s="308"/>
      <c r="HYG193" s="301"/>
      <c r="HYH193" s="301"/>
      <c r="HYI193" s="302"/>
      <c r="HYJ193" s="309"/>
      <c r="HYK193" s="329"/>
      <c r="HYL193" s="311"/>
      <c r="HYM193" s="312"/>
      <c r="HYN193" s="326"/>
      <c r="HYO193" s="332"/>
      <c r="HYP193" s="321"/>
      <c r="HYQ193" s="321"/>
      <c r="HYR193" s="331"/>
      <c r="HYS193" s="308"/>
      <c r="HYT193" s="301"/>
      <c r="HYU193" s="301"/>
      <c r="HYV193" s="302"/>
      <c r="HYW193" s="309"/>
      <c r="HYX193" s="329"/>
      <c r="HYY193" s="311"/>
      <c r="HYZ193" s="312"/>
      <c r="HZA193" s="326"/>
      <c r="HZB193" s="332"/>
      <c r="HZC193" s="321"/>
      <c r="HZD193" s="321"/>
      <c r="HZE193" s="331"/>
      <c r="HZF193" s="308"/>
      <c r="HZG193" s="301"/>
      <c r="HZH193" s="301"/>
      <c r="HZI193" s="302"/>
      <c r="HZJ193" s="309"/>
      <c r="HZK193" s="329"/>
      <c r="HZL193" s="311"/>
      <c r="HZM193" s="312"/>
      <c r="HZN193" s="326"/>
      <c r="HZO193" s="332"/>
      <c r="HZP193" s="321"/>
      <c r="HZQ193" s="321"/>
      <c r="HZR193" s="331"/>
      <c r="HZS193" s="308"/>
      <c r="HZT193" s="301"/>
      <c r="HZU193" s="301"/>
      <c r="HZV193" s="302"/>
      <c r="HZW193" s="309"/>
      <c r="HZX193" s="329"/>
      <c r="HZY193" s="311"/>
      <c r="HZZ193" s="312"/>
      <c r="IAA193" s="326"/>
      <c r="IAB193" s="332"/>
      <c r="IAC193" s="321"/>
      <c r="IAD193" s="321"/>
      <c r="IAE193" s="331"/>
      <c r="IAF193" s="308"/>
      <c r="IAG193" s="301"/>
      <c r="IAH193" s="301"/>
      <c r="IAI193" s="302"/>
      <c r="IAJ193" s="309"/>
      <c r="IAK193" s="329"/>
      <c r="IAL193" s="311"/>
      <c r="IAM193" s="312"/>
      <c r="IAN193" s="326"/>
      <c r="IAO193" s="332"/>
      <c r="IAP193" s="321"/>
      <c r="IAQ193" s="321"/>
      <c r="IAR193" s="331"/>
      <c r="IAS193" s="308"/>
      <c r="IAT193" s="301"/>
      <c r="IAU193" s="301"/>
      <c r="IAV193" s="302"/>
      <c r="IAW193" s="309"/>
      <c r="IAX193" s="329"/>
      <c r="IAY193" s="311"/>
      <c r="IAZ193" s="312"/>
      <c r="IBA193" s="326"/>
      <c r="IBB193" s="332"/>
      <c r="IBC193" s="321"/>
      <c r="IBD193" s="321"/>
      <c r="IBE193" s="331"/>
      <c r="IBF193" s="308"/>
      <c r="IBG193" s="301"/>
      <c r="IBH193" s="301"/>
      <c r="IBI193" s="302"/>
      <c r="IBJ193" s="309"/>
      <c r="IBK193" s="329"/>
      <c r="IBL193" s="311"/>
      <c r="IBM193" s="312"/>
      <c r="IBN193" s="326"/>
      <c r="IBO193" s="332"/>
      <c r="IBP193" s="321"/>
      <c r="IBQ193" s="321"/>
      <c r="IBR193" s="331"/>
      <c r="IBS193" s="308"/>
      <c r="IBT193" s="301"/>
      <c r="IBU193" s="301"/>
      <c r="IBV193" s="302"/>
      <c r="IBW193" s="309"/>
      <c r="IBX193" s="329"/>
      <c r="IBY193" s="311"/>
      <c r="IBZ193" s="312"/>
      <c r="ICA193" s="326"/>
      <c r="ICB193" s="332"/>
      <c r="ICC193" s="321"/>
      <c r="ICD193" s="321"/>
      <c r="ICE193" s="331"/>
      <c r="ICF193" s="308"/>
      <c r="ICG193" s="301"/>
      <c r="ICH193" s="301"/>
      <c r="ICI193" s="302"/>
      <c r="ICJ193" s="309"/>
      <c r="ICK193" s="329"/>
      <c r="ICL193" s="311"/>
      <c r="ICM193" s="312"/>
      <c r="ICN193" s="326"/>
      <c r="ICO193" s="332"/>
      <c r="ICP193" s="321"/>
      <c r="ICQ193" s="321"/>
      <c r="ICR193" s="331"/>
      <c r="ICS193" s="308"/>
      <c r="ICT193" s="301"/>
      <c r="ICU193" s="301"/>
      <c r="ICV193" s="302"/>
      <c r="ICW193" s="309"/>
      <c r="ICX193" s="329"/>
      <c r="ICY193" s="311"/>
      <c r="ICZ193" s="312"/>
      <c r="IDA193" s="326"/>
      <c r="IDB193" s="332"/>
      <c r="IDC193" s="321"/>
      <c r="IDD193" s="321"/>
      <c r="IDE193" s="331"/>
      <c r="IDF193" s="308"/>
      <c r="IDG193" s="301"/>
      <c r="IDH193" s="301"/>
      <c r="IDI193" s="302"/>
      <c r="IDJ193" s="309"/>
      <c r="IDK193" s="329"/>
      <c r="IDL193" s="311"/>
      <c r="IDM193" s="312"/>
      <c r="IDN193" s="326"/>
      <c r="IDO193" s="332"/>
      <c r="IDP193" s="321"/>
      <c r="IDQ193" s="321"/>
      <c r="IDR193" s="331"/>
      <c r="IDS193" s="308"/>
      <c r="IDT193" s="301"/>
      <c r="IDU193" s="301"/>
      <c r="IDV193" s="302"/>
      <c r="IDW193" s="309"/>
      <c r="IDX193" s="329"/>
      <c r="IDY193" s="311"/>
      <c r="IDZ193" s="312"/>
      <c r="IEA193" s="326"/>
      <c r="IEB193" s="332"/>
      <c r="IEC193" s="321"/>
      <c r="IED193" s="321"/>
      <c r="IEE193" s="331"/>
      <c r="IEF193" s="308"/>
      <c r="IEG193" s="301"/>
      <c r="IEH193" s="301"/>
      <c r="IEI193" s="302"/>
      <c r="IEJ193" s="309"/>
      <c r="IEK193" s="329"/>
      <c r="IEL193" s="311"/>
      <c r="IEM193" s="312"/>
      <c r="IEN193" s="326"/>
      <c r="IEO193" s="332"/>
      <c r="IEP193" s="321"/>
      <c r="IEQ193" s="321"/>
      <c r="IER193" s="331"/>
      <c r="IES193" s="308"/>
      <c r="IET193" s="301"/>
      <c r="IEU193" s="301"/>
      <c r="IEV193" s="302"/>
      <c r="IEW193" s="309"/>
      <c r="IEX193" s="329"/>
      <c r="IEY193" s="311"/>
      <c r="IEZ193" s="312"/>
      <c r="IFA193" s="326"/>
      <c r="IFB193" s="332"/>
      <c r="IFC193" s="321"/>
      <c r="IFD193" s="321"/>
      <c r="IFE193" s="331"/>
      <c r="IFF193" s="308"/>
      <c r="IFG193" s="301"/>
      <c r="IFH193" s="301"/>
      <c r="IFI193" s="302"/>
      <c r="IFJ193" s="309"/>
      <c r="IFK193" s="329"/>
      <c r="IFL193" s="311"/>
      <c r="IFM193" s="312"/>
      <c r="IFN193" s="326"/>
      <c r="IFO193" s="332"/>
      <c r="IFP193" s="321"/>
      <c r="IFQ193" s="321"/>
      <c r="IFR193" s="331"/>
      <c r="IFS193" s="308"/>
      <c r="IFT193" s="301"/>
      <c r="IFU193" s="301"/>
      <c r="IFV193" s="302"/>
      <c r="IFW193" s="309"/>
      <c r="IFX193" s="329"/>
      <c r="IFY193" s="311"/>
      <c r="IFZ193" s="312"/>
      <c r="IGA193" s="326"/>
      <c r="IGB193" s="332"/>
      <c r="IGC193" s="321"/>
      <c r="IGD193" s="321"/>
      <c r="IGE193" s="331"/>
      <c r="IGF193" s="308"/>
      <c r="IGG193" s="301"/>
      <c r="IGH193" s="301"/>
      <c r="IGI193" s="302"/>
      <c r="IGJ193" s="309"/>
      <c r="IGK193" s="329"/>
      <c r="IGL193" s="311"/>
      <c r="IGM193" s="312"/>
      <c r="IGN193" s="326"/>
      <c r="IGO193" s="332"/>
      <c r="IGP193" s="321"/>
      <c r="IGQ193" s="321"/>
      <c r="IGR193" s="331"/>
      <c r="IGS193" s="308"/>
      <c r="IGT193" s="301"/>
      <c r="IGU193" s="301"/>
      <c r="IGV193" s="302"/>
      <c r="IGW193" s="309"/>
      <c r="IGX193" s="329"/>
      <c r="IGY193" s="311"/>
      <c r="IGZ193" s="312"/>
      <c r="IHA193" s="326"/>
      <c r="IHB193" s="332"/>
      <c r="IHC193" s="321"/>
      <c r="IHD193" s="321"/>
      <c r="IHE193" s="331"/>
      <c r="IHF193" s="308"/>
      <c r="IHG193" s="301"/>
      <c r="IHH193" s="301"/>
      <c r="IHI193" s="302"/>
      <c r="IHJ193" s="309"/>
      <c r="IHK193" s="329"/>
      <c r="IHL193" s="311"/>
      <c r="IHM193" s="312"/>
      <c r="IHN193" s="326"/>
      <c r="IHO193" s="332"/>
      <c r="IHP193" s="321"/>
      <c r="IHQ193" s="321"/>
      <c r="IHR193" s="331"/>
      <c r="IHS193" s="308"/>
      <c r="IHT193" s="301"/>
      <c r="IHU193" s="301"/>
      <c r="IHV193" s="302"/>
      <c r="IHW193" s="309"/>
      <c r="IHX193" s="329"/>
      <c r="IHY193" s="311"/>
      <c r="IHZ193" s="312"/>
      <c r="IIA193" s="326"/>
      <c r="IIB193" s="332"/>
      <c r="IIC193" s="321"/>
      <c r="IID193" s="321"/>
      <c r="IIE193" s="331"/>
      <c r="IIF193" s="308"/>
      <c r="IIG193" s="301"/>
      <c r="IIH193" s="301"/>
      <c r="III193" s="302"/>
      <c r="IIJ193" s="309"/>
      <c r="IIK193" s="329"/>
      <c r="IIL193" s="311"/>
      <c r="IIM193" s="312"/>
      <c r="IIN193" s="326"/>
      <c r="IIO193" s="332"/>
      <c r="IIP193" s="321"/>
      <c r="IIQ193" s="321"/>
      <c r="IIR193" s="331"/>
      <c r="IIS193" s="308"/>
      <c r="IIT193" s="301"/>
      <c r="IIU193" s="301"/>
      <c r="IIV193" s="302"/>
      <c r="IIW193" s="309"/>
      <c r="IIX193" s="329"/>
      <c r="IIY193" s="311"/>
      <c r="IIZ193" s="312"/>
      <c r="IJA193" s="326"/>
      <c r="IJB193" s="332"/>
      <c r="IJC193" s="321"/>
      <c r="IJD193" s="321"/>
      <c r="IJE193" s="331"/>
      <c r="IJF193" s="308"/>
      <c r="IJG193" s="301"/>
      <c r="IJH193" s="301"/>
      <c r="IJI193" s="302"/>
      <c r="IJJ193" s="309"/>
      <c r="IJK193" s="329"/>
      <c r="IJL193" s="311"/>
      <c r="IJM193" s="312"/>
      <c r="IJN193" s="326"/>
      <c r="IJO193" s="332"/>
      <c r="IJP193" s="321"/>
      <c r="IJQ193" s="321"/>
      <c r="IJR193" s="331"/>
      <c r="IJS193" s="308"/>
      <c r="IJT193" s="301"/>
      <c r="IJU193" s="301"/>
      <c r="IJV193" s="302"/>
      <c r="IJW193" s="309"/>
      <c r="IJX193" s="329"/>
      <c r="IJY193" s="311"/>
      <c r="IJZ193" s="312"/>
      <c r="IKA193" s="326"/>
      <c r="IKB193" s="332"/>
      <c r="IKC193" s="321"/>
      <c r="IKD193" s="321"/>
      <c r="IKE193" s="331"/>
      <c r="IKF193" s="308"/>
      <c r="IKG193" s="301"/>
      <c r="IKH193" s="301"/>
      <c r="IKI193" s="302"/>
      <c r="IKJ193" s="309"/>
      <c r="IKK193" s="329"/>
      <c r="IKL193" s="311"/>
      <c r="IKM193" s="312"/>
      <c r="IKN193" s="326"/>
      <c r="IKO193" s="332"/>
      <c r="IKP193" s="321"/>
      <c r="IKQ193" s="321"/>
      <c r="IKR193" s="331"/>
      <c r="IKS193" s="308"/>
      <c r="IKT193" s="301"/>
      <c r="IKU193" s="301"/>
      <c r="IKV193" s="302"/>
      <c r="IKW193" s="309"/>
      <c r="IKX193" s="329"/>
      <c r="IKY193" s="311"/>
      <c r="IKZ193" s="312"/>
      <c r="ILA193" s="326"/>
      <c r="ILB193" s="332"/>
      <c r="ILC193" s="321"/>
      <c r="ILD193" s="321"/>
      <c r="ILE193" s="331"/>
      <c r="ILF193" s="308"/>
      <c r="ILG193" s="301"/>
      <c r="ILH193" s="301"/>
      <c r="ILI193" s="302"/>
      <c r="ILJ193" s="309"/>
      <c r="ILK193" s="329"/>
      <c r="ILL193" s="311"/>
      <c r="ILM193" s="312"/>
      <c r="ILN193" s="326"/>
      <c r="ILO193" s="332"/>
      <c r="ILP193" s="321"/>
      <c r="ILQ193" s="321"/>
      <c r="ILR193" s="331"/>
      <c r="ILS193" s="308"/>
      <c r="ILT193" s="301"/>
      <c r="ILU193" s="301"/>
      <c r="ILV193" s="302"/>
      <c r="ILW193" s="309"/>
      <c r="ILX193" s="329"/>
      <c r="ILY193" s="311"/>
      <c r="ILZ193" s="312"/>
      <c r="IMA193" s="326"/>
      <c r="IMB193" s="332"/>
      <c r="IMC193" s="321"/>
      <c r="IMD193" s="321"/>
      <c r="IME193" s="331"/>
      <c r="IMF193" s="308"/>
      <c r="IMG193" s="301"/>
      <c r="IMH193" s="301"/>
      <c r="IMI193" s="302"/>
      <c r="IMJ193" s="309"/>
      <c r="IMK193" s="329"/>
      <c r="IML193" s="311"/>
      <c r="IMM193" s="312"/>
      <c r="IMN193" s="326"/>
      <c r="IMO193" s="332"/>
      <c r="IMP193" s="321"/>
      <c r="IMQ193" s="321"/>
      <c r="IMR193" s="331"/>
      <c r="IMS193" s="308"/>
      <c r="IMT193" s="301"/>
      <c r="IMU193" s="301"/>
      <c r="IMV193" s="302"/>
      <c r="IMW193" s="309"/>
      <c r="IMX193" s="329"/>
      <c r="IMY193" s="311"/>
      <c r="IMZ193" s="312"/>
      <c r="INA193" s="326"/>
      <c r="INB193" s="332"/>
      <c r="INC193" s="321"/>
      <c r="IND193" s="321"/>
      <c r="INE193" s="331"/>
      <c r="INF193" s="308"/>
      <c r="ING193" s="301"/>
      <c r="INH193" s="301"/>
      <c r="INI193" s="302"/>
      <c r="INJ193" s="309"/>
      <c r="INK193" s="329"/>
      <c r="INL193" s="311"/>
      <c r="INM193" s="312"/>
      <c r="INN193" s="326"/>
      <c r="INO193" s="332"/>
      <c r="INP193" s="321"/>
      <c r="INQ193" s="321"/>
      <c r="INR193" s="331"/>
      <c r="INS193" s="308"/>
      <c r="INT193" s="301"/>
      <c r="INU193" s="301"/>
      <c r="INV193" s="302"/>
      <c r="INW193" s="309"/>
      <c r="INX193" s="329"/>
      <c r="INY193" s="311"/>
      <c r="INZ193" s="312"/>
      <c r="IOA193" s="326"/>
      <c r="IOB193" s="332"/>
      <c r="IOC193" s="321"/>
      <c r="IOD193" s="321"/>
      <c r="IOE193" s="331"/>
      <c r="IOF193" s="308"/>
      <c r="IOG193" s="301"/>
      <c r="IOH193" s="301"/>
      <c r="IOI193" s="302"/>
      <c r="IOJ193" s="309"/>
      <c r="IOK193" s="329"/>
      <c r="IOL193" s="311"/>
      <c r="IOM193" s="312"/>
      <c r="ION193" s="326"/>
      <c r="IOO193" s="332"/>
      <c r="IOP193" s="321"/>
      <c r="IOQ193" s="321"/>
      <c r="IOR193" s="331"/>
      <c r="IOS193" s="308"/>
      <c r="IOT193" s="301"/>
      <c r="IOU193" s="301"/>
      <c r="IOV193" s="302"/>
      <c r="IOW193" s="309"/>
      <c r="IOX193" s="329"/>
      <c r="IOY193" s="311"/>
      <c r="IOZ193" s="312"/>
      <c r="IPA193" s="326"/>
      <c r="IPB193" s="332"/>
      <c r="IPC193" s="321"/>
      <c r="IPD193" s="321"/>
      <c r="IPE193" s="331"/>
      <c r="IPF193" s="308"/>
      <c r="IPG193" s="301"/>
      <c r="IPH193" s="301"/>
      <c r="IPI193" s="302"/>
      <c r="IPJ193" s="309"/>
      <c r="IPK193" s="329"/>
      <c r="IPL193" s="311"/>
      <c r="IPM193" s="312"/>
      <c r="IPN193" s="326"/>
      <c r="IPO193" s="332"/>
      <c r="IPP193" s="321"/>
      <c r="IPQ193" s="321"/>
      <c r="IPR193" s="331"/>
      <c r="IPS193" s="308"/>
      <c r="IPT193" s="301"/>
      <c r="IPU193" s="301"/>
      <c r="IPV193" s="302"/>
      <c r="IPW193" s="309"/>
      <c r="IPX193" s="329"/>
      <c r="IPY193" s="311"/>
      <c r="IPZ193" s="312"/>
      <c r="IQA193" s="326"/>
      <c r="IQB193" s="332"/>
      <c r="IQC193" s="321"/>
      <c r="IQD193" s="321"/>
      <c r="IQE193" s="331"/>
      <c r="IQF193" s="308"/>
      <c r="IQG193" s="301"/>
      <c r="IQH193" s="301"/>
      <c r="IQI193" s="302"/>
      <c r="IQJ193" s="309"/>
      <c r="IQK193" s="329"/>
      <c r="IQL193" s="311"/>
      <c r="IQM193" s="312"/>
      <c r="IQN193" s="326"/>
      <c r="IQO193" s="332"/>
      <c r="IQP193" s="321"/>
      <c r="IQQ193" s="321"/>
      <c r="IQR193" s="331"/>
      <c r="IQS193" s="308"/>
      <c r="IQT193" s="301"/>
      <c r="IQU193" s="301"/>
      <c r="IQV193" s="302"/>
      <c r="IQW193" s="309"/>
      <c r="IQX193" s="329"/>
      <c r="IQY193" s="311"/>
      <c r="IQZ193" s="312"/>
      <c r="IRA193" s="326"/>
      <c r="IRB193" s="332"/>
      <c r="IRC193" s="321"/>
      <c r="IRD193" s="321"/>
      <c r="IRE193" s="331"/>
      <c r="IRF193" s="308"/>
      <c r="IRG193" s="301"/>
      <c r="IRH193" s="301"/>
      <c r="IRI193" s="302"/>
      <c r="IRJ193" s="309"/>
      <c r="IRK193" s="329"/>
      <c r="IRL193" s="311"/>
      <c r="IRM193" s="312"/>
      <c r="IRN193" s="326"/>
      <c r="IRO193" s="332"/>
      <c r="IRP193" s="321"/>
      <c r="IRQ193" s="321"/>
      <c r="IRR193" s="331"/>
      <c r="IRS193" s="308"/>
      <c r="IRT193" s="301"/>
      <c r="IRU193" s="301"/>
      <c r="IRV193" s="302"/>
      <c r="IRW193" s="309"/>
      <c r="IRX193" s="329"/>
      <c r="IRY193" s="311"/>
      <c r="IRZ193" s="312"/>
      <c r="ISA193" s="326"/>
      <c r="ISB193" s="332"/>
      <c r="ISC193" s="321"/>
      <c r="ISD193" s="321"/>
      <c r="ISE193" s="331"/>
      <c r="ISF193" s="308"/>
      <c r="ISG193" s="301"/>
      <c r="ISH193" s="301"/>
      <c r="ISI193" s="302"/>
      <c r="ISJ193" s="309"/>
      <c r="ISK193" s="329"/>
      <c r="ISL193" s="311"/>
      <c r="ISM193" s="312"/>
      <c r="ISN193" s="326"/>
      <c r="ISO193" s="332"/>
      <c r="ISP193" s="321"/>
      <c r="ISQ193" s="321"/>
      <c r="ISR193" s="331"/>
      <c r="ISS193" s="308"/>
      <c r="IST193" s="301"/>
      <c r="ISU193" s="301"/>
      <c r="ISV193" s="302"/>
      <c r="ISW193" s="309"/>
      <c r="ISX193" s="329"/>
      <c r="ISY193" s="311"/>
      <c r="ISZ193" s="312"/>
      <c r="ITA193" s="326"/>
      <c r="ITB193" s="332"/>
      <c r="ITC193" s="321"/>
      <c r="ITD193" s="321"/>
      <c r="ITE193" s="331"/>
      <c r="ITF193" s="308"/>
      <c r="ITG193" s="301"/>
      <c r="ITH193" s="301"/>
      <c r="ITI193" s="302"/>
      <c r="ITJ193" s="309"/>
      <c r="ITK193" s="329"/>
      <c r="ITL193" s="311"/>
      <c r="ITM193" s="312"/>
      <c r="ITN193" s="326"/>
      <c r="ITO193" s="332"/>
      <c r="ITP193" s="321"/>
      <c r="ITQ193" s="321"/>
      <c r="ITR193" s="331"/>
      <c r="ITS193" s="308"/>
      <c r="ITT193" s="301"/>
      <c r="ITU193" s="301"/>
      <c r="ITV193" s="302"/>
      <c r="ITW193" s="309"/>
      <c r="ITX193" s="329"/>
      <c r="ITY193" s="311"/>
      <c r="ITZ193" s="312"/>
      <c r="IUA193" s="326"/>
      <c r="IUB193" s="332"/>
      <c r="IUC193" s="321"/>
      <c r="IUD193" s="321"/>
      <c r="IUE193" s="331"/>
      <c r="IUF193" s="308"/>
      <c r="IUG193" s="301"/>
      <c r="IUH193" s="301"/>
      <c r="IUI193" s="302"/>
      <c r="IUJ193" s="309"/>
      <c r="IUK193" s="329"/>
      <c r="IUL193" s="311"/>
      <c r="IUM193" s="312"/>
      <c r="IUN193" s="326"/>
      <c r="IUO193" s="332"/>
      <c r="IUP193" s="321"/>
      <c r="IUQ193" s="321"/>
      <c r="IUR193" s="331"/>
      <c r="IUS193" s="308"/>
      <c r="IUT193" s="301"/>
      <c r="IUU193" s="301"/>
      <c r="IUV193" s="302"/>
      <c r="IUW193" s="309"/>
      <c r="IUX193" s="329"/>
      <c r="IUY193" s="311"/>
      <c r="IUZ193" s="312"/>
      <c r="IVA193" s="326"/>
      <c r="IVB193" s="332"/>
      <c r="IVC193" s="321"/>
      <c r="IVD193" s="321"/>
      <c r="IVE193" s="331"/>
      <c r="IVF193" s="308"/>
      <c r="IVG193" s="301"/>
      <c r="IVH193" s="301"/>
      <c r="IVI193" s="302"/>
      <c r="IVJ193" s="309"/>
      <c r="IVK193" s="329"/>
      <c r="IVL193" s="311"/>
      <c r="IVM193" s="312"/>
      <c r="IVN193" s="326"/>
      <c r="IVO193" s="332"/>
      <c r="IVP193" s="321"/>
      <c r="IVQ193" s="321"/>
      <c r="IVR193" s="331"/>
      <c r="IVS193" s="308"/>
      <c r="IVT193" s="301"/>
      <c r="IVU193" s="301"/>
      <c r="IVV193" s="302"/>
      <c r="IVW193" s="309"/>
      <c r="IVX193" s="329"/>
      <c r="IVY193" s="311"/>
      <c r="IVZ193" s="312"/>
      <c r="IWA193" s="326"/>
      <c r="IWB193" s="332"/>
      <c r="IWC193" s="321"/>
      <c r="IWD193" s="321"/>
      <c r="IWE193" s="331"/>
      <c r="IWF193" s="308"/>
      <c r="IWG193" s="301"/>
      <c r="IWH193" s="301"/>
      <c r="IWI193" s="302"/>
      <c r="IWJ193" s="309"/>
      <c r="IWK193" s="329"/>
      <c r="IWL193" s="311"/>
      <c r="IWM193" s="312"/>
      <c r="IWN193" s="326"/>
      <c r="IWO193" s="332"/>
      <c r="IWP193" s="321"/>
      <c r="IWQ193" s="321"/>
      <c r="IWR193" s="331"/>
      <c r="IWS193" s="308"/>
      <c r="IWT193" s="301"/>
      <c r="IWU193" s="301"/>
      <c r="IWV193" s="302"/>
      <c r="IWW193" s="309"/>
      <c r="IWX193" s="329"/>
      <c r="IWY193" s="311"/>
      <c r="IWZ193" s="312"/>
      <c r="IXA193" s="326"/>
      <c r="IXB193" s="332"/>
      <c r="IXC193" s="321"/>
      <c r="IXD193" s="321"/>
      <c r="IXE193" s="331"/>
      <c r="IXF193" s="308"/>
      <c r="IXG193" s="301"/>
      <c r="IXH193" s="301"/>
      <c r="IXI193" s="302"/>
      <c r="IXJ193" s="309"/>
      <c r="IXK193" s="329"/>
      <c r="IXL193" s="311"/>
      <c r="IXM193" s="312"/>
      <c r="IXN193" s="326"/>
      <c r="IXO193" s="332"/>
      <c r="IXP193" s="321"/>
      <c r="IXQ193" s="321"/>
      <c r="IXR193" s="331"/>
      <c r="IXS193" s="308"/>
      <c r="IXT193" s="301"/>
      <c r="IXU193" s="301"/>
      <c r="IXV193" s="302"/>
      <c r="IXW193" s="309"/>
      <c r="IXX193" s="329"/>
      <c r="IXY193" s="311"/>
      <c r="IXZ193" s="312"/>
      <c r="IYA193" s="326"/>
      <c r="IYB193" s="332"/>
      <c r="IYC193" s="321"/>
      <c r="IYD193" s="321"/>
      <c r="IYE193" s="331"/>
      <c r="IYF193" s="308"/>
      <c r="IYG193" s="301"/>
      <c r="IYH193" s="301"/>
      <c r="IYI193" s="302"/>
      <c r="IYJ193" s="309"/>
      <c r="IYK193" s="329"/>
      <c r="IYL193" s="311"/>
      <c r="IYM193" s="312"/>
      <c r="IYN193" s="326"/>
      <c r="IYO193" s="332"/>
      <c r="IYP193" s="321"/>
      <c r="IYQ193" s="321"/>
      <c r="IYR193" s="331"/>
      <c r="IYS193" s="308"/>
      <c r="IYT193" s="301"/>
      <c r="IYU193" s="301"/>
      <c r="IYV193" s="302"/>
      <c r="IYW193" s="309"/>
      <c r="IYX193" s="329"/>
      <c r="IYY193" s="311"/>
      <c r="IYZ193" s="312"/>
      <c r="IZA193" s="326"/>
      <c r="IZB193" s="332"/>
      <c r="IZC193" s="321"/>
      <c r="IZD193" s="321"/>
      <c r="IZE193" s="331"/>
      <c r="IZF193" s="308"/>
      <c r="IZG193" s="301"/>
      <c r="IZH193" s="301"/>
      <c r="IZI193" s="302"/>
      <c r="IZJ193" s="309"/>
      <c r="IZK193" s="329"/>
      <c r="IZL193" s="311"/>
      <c r="IZM193" s="312"/>
      <c r="IZN193" s="326"/>
      <c r="IZO193" s="332"/>
      <c r="IZP193" s="321"/>
      <c r="IZQ193" s="321"/>
      <c r="IZR193" s="331"/>
      <c r="IZS193" s="308"/>
      <c r="IZT193" s="301"/>
      <c r="IZU193" s="301"/>
      <c r="IZV193" s="302"/>
      <c r="IZW193" s="309"/>
      <c r="IZX193" s="329"/>
      <c r="IZY193" s="311"/>
      <c r="IZZ193" s="312"/>
      <c r="JAA193" s="326"/>
      <c r="JAB193" s="332"/>
      <c r="JAC193" s="321"/>
      <c r="JAD193" s="321"/>
      <c r="JAE193" s="331"/>
      <c r="JAF193" s="308"/>
      <c r="JAG193" s="301"/>
      <c r="JAH193" s="301"/>
      <c r="JAI193" s="302"/>
      <c r="JAJ193" s="309"/>
      <c r="JAK193" s="329"/>
      <c r="JAL193" s="311"/>
      <c r="JAM193" s="312"/>
      <c r="JAN193" s="326"/>
      <c r="JAO193" s="332"/>
      <c r="JAP193" s="321"/>
      <c r="JAQ193" s="321"/>
      <c r="JAR193" s="331"/>
      <c r="JAS193" s="308"/>
      <c r="JAT193" s="301"/>
      <c r="JAU193" s="301"/>
      <c r="JAV193" s="302"/>
      <c r="JAW193" s="309"/>
      <c r="JAX193" s="329"/>
      <c r="JAY193" s="311"/>
      <c r="JAZ193" s="312"/>
      <c r="JBA193" s="326"/>
      <c r="JBB193" s="332"/>
      <c r="JBC193" s="321"/>
      <c r="JBD193" s="321"/>
      <c r="JBE193" s="331"/>
      <c r="JBF193" s="308"/>
      <c r="JBG193" s="301"/>
      <c r="JBH193" s="301"/>
      <c r="JBI193" s="302"/>
      <c r="JBJ193" s="309"/>
      <c r="JBK193" s="329"/>
      <c r="JBL193" s="311"/>
      <c r="JBM193" s="312"/>
      <c r="JBN193" s="326"/>
      <c r="JBO193" s="332"/>
      <c r="JBP193" s="321"/>
      <c r="JBQ193" s="321"/>
      <c r="JBR193" s="331"/>
      <c r="JBS193" s="308"/>
      <c r="JBT193" s="301"/>
      <c r="JBU193" s="301"/>
      <c r="JBV193" s="302"/>
      <c r="JBW193" s="309"/>
      <c r="JBX193" s="329"/>
      <c r="JBY193" s="311"/>
      <c r="JBZ193" s="312"/>
      <c r="JCA193" s="326"/>
      <c r="JCB193" s="332"/>
      <c r="JCC193" s="321"/>
      <c r="JCD193" s="321"/>
      <c r="JCE193" s="331"/>
      <c r="JCF193" s="308"/>
      <c r="JCG193" s="301"/>
      <c r="JCH193" s="301"/>
      <c r="JCI193" s="302"/>
      <c r="JCJ193" s="309"/>
      <c r="JCK193" s="329"/>
      <c r="JCL193" s="311"/>
      <c r="JCM193" s="312"/>
      <c r="JCN193" s="326"/>
      <c r="JCO193" s="332"/>
      <c r="JCP193" s="321"/>
      <c r="JCQ193" s="321"/>
      <c r="JCR193" s="331"/>
      <c r="JCS193" s="308"/>
      <c r="JCT193" s="301"/>
      <c r="JCU193" s="301"/>
      <c r="JCV193" s="302"/>
      <c r="JCW193" s="309"/>
      <c r="JCX193" s="329"/>
      <c r="JCY193" s="311"/>
      <c r="JCZ193" s="312"/>
      <c r="JDA193" s="326"/>
      <c r="JDB193" s="332"/>
      <c r="JDC193" s="321"/>
      <c r="JDD193" s="321"/>
      <c r="JDE193" s="331"/>
      <c r="JDF193" s="308"/>
      <c r="JDG193" s="301"/>
      <c r="JDH193" s="301"/>
      <c r="JDI193" s="302"/>
      <c r="JDJ193" s="309"/>
      <c r="JDK193" s="329"/>
      <c r="JDL193" s="311"/>
      <c r="JDM193" s="312"/>
      <c r="JDN193" s="326"/>
      <c r="JDO193" s="332"/>
      <c r="JDP193" s="321"/>
      <c r="JDQ193" s="321"/>
      <c r="JDR193" s="331"/>
      <c r="JDS193" s="308"/>
      <c r="JDT193" s="301"/>
      <c r="JDU193" s="301"/>
      <c r="JDV193" s="302"/>
      <c r="JDW193" s="309"/>
      <c r="JDX193" s="329"/>
      <c r="JDY193" s="311"/>
      <c r="JDZ193" s="312"/>
      <c r="JEA193" s="326"/>
      <c r="JEB193" s="332"/>
      <c r="JEC193" s="321"/>
      <c r="JED193" s="321"/>
      <c r="JEE193" s="331"/>
      <c r="JEF193" s="308"/>
      <c r="JEG193" s="301"/>
      <c r="JEH193" s="301"/>
      <c r="JEI193" s="302"/>
      <c r="JEJ193" s="309"/>
      <c r="JEK193" s="329"/>
      <c r="JEL193" s="311"/>
      <c r="JEM193" s="312"/>
      <c r="JEN193" s="326"/>
      <c r="JEO193" s="332"/>
      <c r="JEP193" s="321"/>
      <c r="JEQ193" s="321"/>
      <c r="JER193" s="331"/>
      <c r="JES193" s="308"/>
      <c r="JET193" s="301"/>
      <c r="JEU193" s="301"/>
      <c r="JEV193" s="302"/>
      <c r="JEW193" s="309"/>
      <c r="JEX193" s="329"/>
      <c r="JEY193" s="311"/>
      <c r="JEZ193" s="312"/>
      <c r="JFA193" s="326"/>
      <c r="JFB193" s="332"/>
      <c r="JFC193" s="321"/>
      <c r="JFD193" s="321"/>
      <c r="JFE193" s="331"/>
      <c r="JFF193" s="308"/>
      <c r="JFG193" s="301"/>
      <c r="JFH193" s="301"/>
      <c r="JFI193" s="302"/>
      <c r="JFJ193" s="309"/>
      <c r="JFK193" s="329"/>
      <c r="JFL193" s="311"/>
      <c r="JFM193" s="312"/>
      <c r="JFN193" s="326"/>
      <c r="JFO193" s="332"/>
      <c r="JFP193" s="321"/>
      <c r="JFQ193" s="321"/>
      <c r="JFR193" s="331"/>
      <c r="JFS193" s="308"/>
      <c r="JFT193" s="301"/>
      <c r="JFU193" s="301"/>
      <c r="JFV193" s="302"/>
      <c r="JFW193" s="309"/>
      <c r="JFX193" s="329"/>
      <c r="JFY193" s="311"/>
      <c r="JFZ193" s="312"/>
      <c r="JGA193" s="326"/>
      <c r="JGB193" s="332"/>
      <c r="JGC193" s="321"/>
      <c r="JGD193" s="321"/>
      <c r="JGE193" s="331"/>
      <c r="JGF193" s="308"/>
      <c r="JGG193" s="301"/>
      <c r="JGH193" s="301"/>
      <c r="JGI193" s="302"/>
      <c r="JGJ193" s="309"/>
      <c r="JGK193" s="329"/>
      <c r="JGL193" s="311"/>
      <c r="JGM193" s="312"/>
      <c r="JGN193" s="326"/>
      <c r="JGO193" s="332"/>
      <c r="JGP193" s="321"/>
      <c r="JGQ193" s="321"/>
      <c r="JGR193" s="331"/>
      <c r="JGS193" s="308"/>
      <c r="JGT193" s="301"/>
      <c r="JGU193" s="301"/>
      <c r="JGV193" s="302"/>
      <c r="JGW193" s="309"/>
      <c r="JGX193" s="329"/>
      <c r="JGY193" s="311"/>
      <c r="JGZ193" s="312"/>
      <c r="JHA193" s="326"/>
      <c r="JHB193" s="332"/>
      <c r="JHC193" s="321"/>
      <c r="JHD193" s="321"/>
      <c r="JHE193" s="331"/>
      <c r="JHF193" s="308"/>
      <c r="JHG193" s="301"/>
      <c r="JHH193" s="301"/>
      <c r="JHI193" s="302"/>
      <c r="JHJ193" s="309"/>
      <c r="JHK193" s="329"/>
      <c r="JHL193" s="311"/>
      <c r="JHM193" s="312"/>
      <c r="JHN193" s="326"/>
      <c r="JHO193" s="332"/>
      <c r="JHP193" s="321"/>
      <c r="JHQ193" s="321"/>
      <c r="JHR193" s="331"/>
      <c r="JHS193" s="308"/>
      <c r="JHT193" s="301"/>
      <c r="JHU193" s="301"/>
      <c r="JHV193" s="302"/>
      <c r="JHW193" s="309"/>
      <c r="JHX193" s="329"/>
      <c r="JHY193" s="311"/>
      <c r="JHZ193" s="312"/>
      <c r="JIA193" s="326"/>
      <c r="JIB193" s="332"/>
      <c r="JIC193" s="321"/>
      <c r="JID193" s="321"/>
      <c r="JIE193" s="331"/>
      <c r="JIF193" s="308"/>
      <c r="JIG193" s="301"/>
      <c r="JIH193" s="301"/>
      <c r="JII193" s="302"/>
      <c r="JIJ193" s="309"/>
      <c r="JIK193" s="329"/>
      <c r="JIL193" s="311"/>
      <c r="JIM193" s="312"/>
      <c r="JIN193" s="326"/>
      <c r="JIO193" s="332"/>
      <c r="JIP193" s="321"/>
      <c r="JIQ193" s="321"/>
      <c r="JIR193" s="331"/>
      <c r="JIS193" s="308"/>
      <c r="JIT193" s="301"/>
      <c r="JIU193" s="301"/>
      <c r="JIV193" s="302"/>
      <c r="JIW193" s="309"/>
      <c r="JIX193" s="329"/>
      <c r="JIY193" s="311"/>
      <c r="JIZ193" s="312"/>
      <c r="JJA193" s="326"/>
      <c r="JJB193" s="332"/>
      <c r="JJC193" s="321"/>
      <c r="JJD193" s="321"/>
      <c r="JJE193" s="331"/>
      <c r="JJF193" s="308"/>
      <c r="JJG193" s="301"/>
      <c r="JJH193" s="301"/>
      <c r="JJI193" s="302"/>
      <c r="JJJ193" s="309"/>
      <c r="JJK193" s="329"/>
      <c r="JJL193" s="311"/>
      <c r="JJM193" s="312"/>
      <c r="JJN193" s="326"/>
      <c r="JJO193" s="332"/>
      <c r="JJP193" s="321"/>
      <c r="JJQ193" s="321"/>
      <c r="JJR193" s="331"/>
      <c r="JJS193" s="308"/>
      <c r="JJT193" s="301"/>
      <c r="JJU193" s="301"/>
      <c r="JJV193" s="302"/>
      <c r="JJW193" s="309"/>
      <c r="JJX193" s="329"/>
      <c r="JJY193" s="311"/>
      <c r="JJZ193" s="312"/>
      <c r="JKA193" s="326"/>
      <c r="JKB193" s="332"/>
      <c r="JKC193" s="321"/>
      <c r="JKD193" s="321"/>
      <c r="JKE193" s="331"/>
      <c r="JKF193" s="308"/>
      <c r="JKG193" s="301"/>
      <c r="JKH193" s="301"/>
      <c r="JKI193" s="302"/>
      <c r="JKJ193" s="309"/>
      <c r="JKK193" s="329"/>
      <c r="JKL193" s="311"/>
      <c r="JKM193" s="312"/>
      <c r="JKN193" s="326"/>
      <c r="JKO193" s="332"/>
      <c r="JKP193" s="321"/>
      <c r="JKQ193" s="321"/>
      <c r="JKR193" s="331"/>
      <c r="JKS193" s="308"/>
      <c r="JKT193" s="301"/>
      <c r="JKU193" s="301"/>
      <c r="JKV193" s="302"/>
      <c r="JKW193" s="309"/>
      <c r="JKX193" s="329"/>
      <c r="JKY193" s="311"/>
      <c r="JKZ193" s="312"/>
      <c r="JLA193" s="326"/>
      <c r="JLB193" s="332"/>
      <c r="JLC193" s="321"/>
      <c r="JLD193" s="321"/>
      <c r="JLE193" s="331"/>
      <c r="JLF193" s="308"/>
      <c r="JLG193" s="301"/>
      <c r="JLH193" s="301"/>
      <c r="JLI193" s="302"/>
      <c r="JLJ193" s="309"/>
      <c r="JLK193" s="329"/>
      <c r="JLL193" s="311"/>
      <c r="JLM193" s="312"/>
      <c r="JLN193" s="326"/>
      <c r="JLO193" s="332"/>
      <c r="JLP193" s="321"/>
      <c r="JLQ193" s="321"/>
      <c r="JLR193" s="331"/>
      <c r="JLS193" s="308"/>
      <c r="JLT193" s="301"/>
      <c r="JLU193" s="301"/>
      <c r="JLV193" s="302"/>
      <c r="JLW193" s="309"/>
      <c r="JLX193" s="329"/>
      <c r="JLY193" s="311"/>
      <c r="JLZ193" s="312"/>
      <c r="JMA193" s="326"/>
      <c r="JMB193" s="332"/>
      <c r="JMC193" s="321"/>
      <c r="JMD193" s="321"/>
      <c r="JME193" s="331"/>
      <c r="JMF193" s="308"/>
      <c r="JMG193" s="301"/>
      <c r="JMH193" s="301"/>
      <c r="JMI193" s="302"/>
      <c r="JMJ193" s="309"/>
      <c r="JMK193" s="329"/>
      <c r="JML193" s="311"/>
      <c r="JMM193" s="312"/>
      <c r="JMN193" s="326"/>
      <c r="JMO193" s="332"/>
      <c r="JMP193" s="321"/>
      <c r="JMQ193" s="321"/>
      <c r="JMR193" s="331"/>
      <c r="JMS193" s="308"/>
      <c r="JMT193" s="301"/>
      <c r="JMU193" s="301"/>
      <c r="JMV193" s="302"/>
      <c r="JMW193" s="309"/>
      <c r="JMX193" s="329"/>
      <c r="JMY193" s="311"/>
      <c r="JMZ193" s="312"/>
      <c r="JNA193" s="326"/>
      <c r="JNB193" s="332"/>
      <c r="JNC193" s="321"/>
      <c r="JND193" s="321"/>
      <c r="JNE193" s="331"/>
      <c r="JNF193" s="308"/>
      <c r="JNG193" s="301"/>
      <c r="JNH193" s="301"/>
      <c r="JNI193" s="302"/>
      <c r="JNJ193" s="309"/>
      <c r="JNK193" s="329"/>
      <c r="JNL193" s="311"/>
      <c r="JNM193" s="312"/>
      <c r="JNN193" s="326"/>
      <c r="JNO193" s="332"/>
      <c r="JNP193" s="321"/>
      <c r="JNQ193" s="321"/>
      <c r="JNR193" s="331"/>
      <c r="JNS193" s="308"/>
      <c r="JNT193" s="301"/>
      <c r="JNU193" s="301"/>
      <c r="JNV193" s="302"/>
      <c r="JNW193" s="309"/>
      <c r="JNX193" s="329"/>
      <c r="JNY193" s="311"/>
      <c r="JNZ193" s="312"/>
      <c r="JOA193" s="326"/>
      <c r="JOB193" s="332"/>
      <c r="JOC193" s="321"/>
      <c r="JOD193" s="321"/>
      <c r="JOE193" s="331"/>
      <c r="JOF193" s="308"/>
      <c r="JOG193" s="301"/>
      <c r="JOH193" s="301"/>
      <c r="JOI193" s="302"/>
      <c r="JOJ193" s="309"/>
      <c r="JOK193" s="329"/>
      <c r="JOL193" s="311"/>
      <c r="JOM193" s="312"/>
      <c r="JON193" s="326"/>
      <c r="JOO193" s="332"/>
      <c r="JOP193" s="321"/>
      <c r="JOQ193" s="321"/>
      <c r="JOR193" s="331"/>
      <c r="JOS193" s="308"/>
      <c r="JOT193" s="301"/>
      <c r="JOU193" s="301"/>
      <c r="JOV193" s="302"/>
      <c r="JOW193" s="309"/>
      <c r="JOX193" s="329"/>
      <c r="JOY193" s="311"/>
      <c r="JOZ193" s="312"/>
      <c r="JPA193" s="326"/>
      <c r="JPB193" s="332"/>
      <c r="JPC193" s="321"/>
      <c r="JPD193" s="321"/>
      <c r="JPE193" s="331"/>
      <c r="JPF193" s="308"/>
      <c r="JPG193" s="301"/>
      <c r="JPH193" s="301"/>
      <c r="JPI193" s="302"/>
      <c r="JPJ193" s="309"/>
      <c r="JPK193" s="329"/>
      <c r="JPL193" s="311"/>
      <c r="JPM193" s="312"/>
      <c r="JPN193" s="326"/>
      <c r="JPO193" s="332"/>
      <c r="JPP193" s="321"/>
      <c r="JPQ193" s="321"/>
      <c r="JPR193" s="331"/>
      <c r="JPS193" s="308"/>
      <c r="JPT193" s="301"/>
      <c r="JPU193" s="301"/>
      <c r="JPV193" s="302"/>
      <c r="JPW193" s="309"/>
      <c r="JPX193" s="329"/>
      <c r="JPY193" s="311"/>
      <c r="JPZ193" s="312"/>
      <c r="JQA193" s="326"/>
      <c r="JQB193" s="332"/>
      <c r="JQC193" s="321"/>
      <c r="JQD193" s="321"/>
      <c r="JQE193" s="331"/>
      <c r="JQF193" s="308"/>
      <c r="JQG193" s="301"/>
      <c r="JQH193" s="301"/>
      <c r="JQI193" s="302"/>
      <c r="JQJ193" s="309"/>
      <c r="JQK193" s="329"/>
      <c r="JQL193" s="311"/>
      <c r="JQM193" s="312"/>
      <c r="JQN193" s="326"/>
      <c r="JQO193" s="332"/>
      <c r="JQP193" s="321"/>
      <c r="JQQ193" s="321"/>
      <c r="JQR193" s="331"/>
      <c r="JQS193" s="308"/>
      <c r="JQT193" s="301"/>
      <c r="JQU193" s="301"/>
      <c r="JQV193" s="302"/>
      <c r="JQW193" s="309"/>
      <c r="JQX193" s="329"/>
      <c r="JQY193" s="311"/>
      <c r="JQZ193" s="312"/>
      <c r="JRA193" s="326"/>
      <c r="JRB193" s="332"/>
      <c r="JRC193" s="321"/>
      <c r="JRD193" s="321"/>
      <c r="JRE193" s="331"/>
      <c r="JRF193" s="308"/>
      <c r="JRG193" s="301"/>
      <c r="JRH193" s="301"/>
      <c r="JRI193" s="302"/>
      <c r="JRJ193" s="309"/>
      <c r="JRK193" s="329"/>
      <c r="JRL193" s="311"/>
      <c r="JRM193" s="312"/>
      <c r="JRN193" s="326"/>
      <c r="JRO193" s="332"/>
      <c r="JRP193" s="321"/>
      <c r="JRQ193" s="321"/>
      <c r="JRR193" s="331"/>
      <c r="JRS193" s="308"/>
      <c r="JRT193" s="301"/>
      <c r="JRU193" s="301"/>
      <c r="JRV193" s="302"/>
      <c r="JRW193" s="309"/>
      <c r="JRX193" s="329"/>
      <c r="JRY193" s="311"/>
      <c r="JRZ193" s="312"/>
      <c r="JSA193" s="326"/>
      <c r="JSB193" s="332"/>
      <c r="JSC193" s="321"/>
      <c r="JSD193" s="321"/>
      <c r="JSE193" s="331"/>
      <c r="JSF193" s="308"/>
      <c r="JSG193" s="301"/>
      <c r="JSH193" s="301"/>
      <c r="JSI193" s="302"/>
      <c r="JSJ193" s="309"/>
      <c r="JSK193" s="329"/>
      <c r="JSL193" s="311"/>
      <c r="JSM193" s="312"/>
      <c r="JSN193" s="326"/>
      <c r="JSO193" s="332"/>
      <c r="JSP193" s="321"/>
      <c r="JSQ193" s="321"/>
      <c r="JSR193" s="331"/>
      <c r="JSS193" s="308"/>
      <c r="JST193" s="301"/>
      <c r="JSU193" s="301"/>
      <c r="JSV193" s="302"/>
      <c r="JSW193" s="309"/>
      <c r="JSX193" s="329"/>
      <c r="JSY193" s="311"/>
      <c r="JSZ193" s="312"/>
      <c r="JTA193" s="326"/>
      <c r="JTB193" s="332"/>
      <c r="JTC193" s="321"/>
      <c r="JTD193" s="321"/>
      <c r="JTE193" s="331"/>
      <c r="JTF193" s="308"/>
      <c r="JTG193" s="301"/>
      <c r="JTH193" s="301"/>
      <c r="JTI193" s="302"/>
      <c r="JTJ193" s="309"/>
      <c r="JTK193" s="329"/>
      <c r="JTL193" s="311"/>
      <c r="JTM193" s="312"/>
      <c r="JTN193" s="326"/>
      <c r="JTO193" s="332"/>
      <c r="JTP193" s="321"/>
      <c r="JTQ193" s="321"/>
      <c r="JTR193" s="331"/>
      <c r="JTS193" s="308"/>
      <c r="JTT193" s="301"/>
      <c r="JTU193" s="301"/>
      <c r="JTV193" s="302"/>
      <c r="JTW193" s="309"/>
      <c r="JTX193" s="329"/>
      <c r="JTY193" s="311"/>
      <c r="JTZ193" s="312"/>
      <c r="JUA193" s="326"/>
      <c r="JUB193" s="332"/>
      <c r="JUC193" s="321"/>
      <c r="JUD193" s="321"/>
      <c r="JUE193" s="331"/>
      <c r="JUF193" s="308"/>
      <c r="JUG193" s="301"/>
      <c r="JUH193" s="301"/>
      <c r="JUI193" s="302"/>
      <c r="JUJ193" s="309"/>
      <c r="JUK193" s="329"/>
      <c r="JUL193" s="311"/>
      <c r="JUM193" s="312"/>
      <c r="JUN193" s="326"/>
      <c r="JUO193" s="332"/>
      <c r="JUP193" s="321"/>
      <c r="JUQ193" s="321"/>
      <c r="JUR193" s="331"/>
      <c r="JUS193" s="308"/>
      <c r="JUT193" s="301"/>
      <c r="JUU193" s="301"/>
      <c r="JUV193" s="302"/>
      <c r="JUW193" s="309"/>
      <c r="JUX193" s="329"/>
      <c r="JUY193" s="311"/>
      <c r="JUZ193" s="312"/>
      <c r="JVA193" s="326"/>
      <c r="JVB193" s="332"/>
      <c r="JVC193" s="321"/>
      <c r="JVD193" s="321"/>
      <c r="JVE193" s="331"/>
      <c r="JVF193" s="308"/>
      <c r="JVG193" s="301"/>
      <c r="JVH193" s="301"/>
      <c r="JVI193" s="302"/>
      <c r="JVJ193" s="309"/>
      <c r="JVK193" s="329"/>
      <c r="JVL193" s="311"/>
      <c r="JVM193" s="312"/>
      <c r="JVN193" s="326"/>
      <c r="JVO193" s="332"/>
      <c r="JVP193" s="321"/>
      <c r="JVQ193" s="321"/>
      <c r="JVR193" s="331"/>
      <c r="JVS193" s="308"/>
      <c r="JVT193" s="301"/>
      <c r="JVU193" s="301"/>
      <c r="JVV193" s="302"/>
      <c r="JVW193" s="309"/>
      <c r="JVX193" s="329"/>
      <c r="JVY193" s="311"/>
      <c r="JVZ193" s="312"/>
      <c r="JWA193" s="326"/>
      <c r="JWB193" s="332"/>
      <c r="JWC193" s="321"/>
      <c r="JWD193" s="321"/>
      <c r="JWE193" s="331"/>
      <c r="JWF193" s="308"/>
      <c r="JWG193" s="301"/>
      <c r="JWH193" s="301"/>
      <c r="JWI193" s="302"/>
      <c r="JWJ193" s="309"/>
      <c r="JWK193" s="329"/>
      <c r="JWL193" s="311"/>
      <c r="JWM193" s="312"/>
      <c r="JWN193" s="326"/>
      <c r="JWO193" s="332"/>
      <c r="JWP193" s="321"/>
      <c r="JWQ193" s="321"/>
      <c r="JWR193" s="331"/>
      <c r="JWS193" s="308"/>
      <c r="JWT193" s="301"/>
      <c r="JWU193" s="301"/>
      <c r="JWV193" s="302"/>
      <c r="JWW193" s="309"/>
      <c r="JWX193" s="329"/>
      <c r="JWY193" s="311"/>
      <c r="JWZ193" s="312"/>
      <c r="JXA193" s="326"/>
      <c r="JXB193" s="332"/>
      <c r="JXC193" s="321"/>
      <c r="JXD193" s="321"/>
      <c r="JXE193" s="331"/>
      <c r="JXF193" s="308"/>
      <c r="JXG193" s="301"/>
      <c r="JXH193" s="301"/>
      <c r="JXI193" s="302"/>
      <c r="JXJ193" s="309"/>
      <c r="JXK193" s="329"/>
      <c r="JXL193" s="311"/>
      <c r="JXM193" s="312"/>
      <c r="JXN193" s="326"/>
      <c r="JXO193" s="332"/>
      <c r="JXP193" s="321"/>
      <c r="JXQ193" s="321"/>
      <c r="JXR193" s="331"/>
      <c r="JXS193" s="308"/>
      <c r="JXT193" s="301"/>
      <c r="JXU193" s="301"/>
      <c r="JXV193" s="302"/>
      <c r="JXW193" s="309"/>
      <c r="JXX193" s="329"/>
      <c r="JXY193" s="311"/>
      <c r="JXZ193" s="312"/>
      <c r="JYA193" s="326"/>
      <c r="JYB193" s="332"/>
      <c r="JYC193" s="321"/>
      <c r="JYD193" s="321"/>
      <c r="JYE193" s="331"/>
      <c r="JYF193" s="308"/>
      <c r="JYG193" s="301"/>
      <c r="JYH193" s="301"/>
      <c r="JYI193" s="302"/>
      <c r="JYJ193" s="309"/>
      <c r="JYK193" s="329"/>
      <c r="JYL193" s="311"/>
      <c r="JYM193" s="312"/>
      <c r="JYN193" s="326"/>
      <c r="JYO193" s="332"/>
      <c r="JYP193" s="321"/>
      <c r="JYQ193" s="321"/>
      <c r="JYR193" s="331"/>
      <c r="JYS193" s="308"/>
      <c r="JYT193" s="301"/>
      <c r="JYU193" s="301"/>
      <c r="JYV193" s="302"/>
      <c r="JYW193" s="309"/>
      <c r="JYX193" s="329"/>
      <c r="JYY193" s="311"/>
      <c r="JYZ193" s="312"/>
      <c r="JZA193" s="326"/>
      <c r="JZB193" s="332"/>
      <c r="JZC193" s="321"/>
      <c r="JZD193" s="321"/>
      <c r="JZE193" s="331"/>
      <c r="JZF193" s="308"/>
      <c r="JZG193" s="301"/>
      <c r="JZH193" s="301"/>
      <c r="JZI193" s="302"/>
      <c r="JZJ193" s="309"/>
      <c r="JZK193" s="329"/>
      <c r="JZL193" s="311"/>
      <c r="JZM193" s="312"/>
      <c r="JZN193" s="326"/>
      <c r="JZO193" s="332"/>
      <c r="JZP193" s="321"/>
      <c r="JZQ193" s="321"/>
      <c r="JZR193" s="331"/>
      <c r="JZS193" s="308"/>
      <c r="JZT193" s="301"/>
      <c r="JZU193" s="301"/>
      <c r="JZV193" s="302"/>
      <c r="JZW193" s="309"/>
      <c r="JZX193" s="329"/>
      <c r="JZY193" s="311"/>
      <c r="JZZ193" s="312"/>
      <c r="KAA193" s="326"/>
      <c r="KAB193" s="332"/>
      <c r="KAC193" s="321"/>
      <c r="KAD193" s="321"/>
      <c r="KAE193" s="331"/>
      <c r="KAF193" s="308"/>
      <c r="KAG193" s="301"/>
      <c r="KAH193" s="301"/>
      <c r="KAI193" s="302"/>
      <c r="KAJ193" s="309"/>
      <c r="KAK193" s="329"/>
      <c r="KAL193" s="311"/>
      <c r="KAM193" s="312"/>
      <c r="KAN193" s="326"/>
      <c r="KAO193" s="332"/>
      <c r="KAP193" s="321"/>
      <c r="KAQ193" s="321"/>
      <c r="KAR193" s="331"/>
      <c r="KAS193" s="308"/>
      <c r="KAT193" s="301"/>
      <c r="KAU193" s="301"/>
      <c r="KAV193" s="302"/>
      <c r="KAW193" s="309"/>
      <c r="KAX193" s="329"/>
      <c r="KAY193" s="311"/>
      <c r="KAZ193" s="312"/>
      <c r="KBA193" s="326"/>
      <c r="KBB193" s="332"/>
      <c r="KBC193" s="321"/>
      <c r="KBD193" s="321"/>
      <c r="KBE193" s="331"/>
      <c r="KBF193" s="308"/>
      <c r="KBG193" s="301"/>
      <c r="KBH193" s="301"/>
      <c r="KBI193" s="302"/>
      <c r="KBJ193" s="309"/>
      <c r="KBK193" s="329"/>
      <c r="KBL193" s="311"/>
      <c r="KBM193" s="312"/>
      <c r="KBN193" s="326"/>
      <c r="KBO193" s="332"/>
      <c r="KBP193" s="321"/>
      <c r="KBQ193" s="321"/>
      <c r="KBR193" s="331"/>
      <c r="KBS193" s="308"/>
      <c r="KBT193" s="301"/>
      <c r="KBU193" s="301"/>
      <c r="KBV193" s="302"/>
      <c r="KBW193" s="309"/>
      <c r="KBX193" s="329"/>
      <c r="KBY193" s="311"/>
      <c r="KBZ193" s="312"/>
      <c r="KCA193" s="326"/>
      <c r="KCB193" s="332"/>
      <c r="KCC193" s="321"/>
      <c r="KCD193" s="321"/>
      <c r="KCE193" s="331"/>
      <c r="KCF193" s="308"/>
      <c r="KCG193" s="301"/>
      <c r="KCH193" s="301"/>
      <c r="KCI193" s="302"/>
      <c r="KCJ193" s="309"/>
      <c r="KCK193" s="329"/>
      <c r="KCL193" s="311"/>
      <c r="KCM193" s="312"/>
      <c r="KCN193" s="326"/>
      <c r="KCO193" s="332"/>
      <c r="KCP193" s="321"/>
      <c r="KCQ193" s="321"/>
      <c r="KCR193" s="331"/>
      <c r="KCS193" s="308"/>
      <c r="KCT193" s="301"/>
      <c r="KCU193" s="301"/>
      <c r="KCV193" s="302"/>
      <c r="KCW193" s="309"/>
      <c r="KCX193" s="329"/>
      <c r="KCY193" s="311"/>
      <c r="KCZ193" s="312"/>
      <c r="KDA193" s="326"/>
      <c r="KDB193" s="332"/>
      <c r="KDC193" s="321"/>
      <c r="KDD193" s="321"/>
      <c r="KDE193" s="331"/>
      <c r="KDF193" s="308"/>
      <c r="KDG193" s="301"/>
      <c r="KDH193" s="301"/>
      <c r="KDI193" s="302"/>
      <c r="KDJ193" s="309"/>
      <c r="KDK193" s="329"/>
      <c r="KDL193" s="311"/>
      <c r="KDM193" s="312"/>
      <c r="KDN193" s="326"/>
      <c r="KDO193" s="332"/>
      <c r="KDP193" s="321"/>
      <c r="KDQ193" s="321"/>
      <c r="KDR193" s="331"/>
      <c r="KDS193" s="308"/>
      <c r="KDT193" s="301"/>
      <c r="KDU193" s="301"/>
      <c r="KDV193" s="302"/>
      <c r="KDW193" s="309"/>
      <c r="KDX193" s="329"/>
      <c r="KDY193" s="311"/>
      <c r="KDZ193" s="312"/>
      <c r="KEA193" s="326"/>
      <c r="KEB193" s="332"/>
      <c r="KEC193" s="321"/>
      <c r="KED193" s="321"/>
      <c r="KEE193" s="331"/>
      <c r="KEF193" s="308"/>
      <c r="KEG193" s="301"/>
      <c r="KEH193" s="301"/>
      <c r="KEI193" s="302"/>
      <c r="KEJ193" s="309"/>
      <c r="KEK193" s="329"/>
      <c r="KEL193" s="311"/>
      <c r="KEM193" s="312"/>
      <c r="KEN193" s="326"/>
      <c r="KEO193" s="332"/>
      <c r="KEP193" s="321"/>
      <c r="KEQ193" s="321"/>
      <c r="KER193" s="331"/>
      <c r="KES193" s="308"/>
      <c r="KET193" s="301"/>
      <c r="KEU193" s="301"/>
      <c r="KEV193" s="302"/>
      <c r="KEW193" s="309"/>
      <c r="KEX193" s="329"/>
      <c r="KEY193" s="311"/>
      <c r="KEZ193" s="312"/>
      <c r="KFA193" s="326"/>
      <c r="KFB193" s="332"/>
      <c r="KFC193" s="321"/>
      <c r="KFD193" s="321"/>
      <c r="KFE193" s="331"/>
      <c r="KFF193" s="308"/>
      <c r="KFG193" s="301"/>
      <c r="KFH193" s="301"/>
      <c r="KFI193" s="302"/>
      <c r="KFJ193" s="309"/>
      <c r="KFK193" s="329"/>
      <c r="KFL193" s="311"/>
      <c r="KFM193" s="312"/>
      <c r="KFN193" s="326"/>
      <c r="KFO193" s="332"/>
      <c r="KFP193" s="321"/>
      <c r="KFQ193" s="321"/>
      <c r="KFR193" s="331"/>
      <c r="KFS193" s="308"/>
      <c r="KFT193" s="301"/>
      <c r="KFU193" s="301"/>
      <c r="KFV193" s="302"/>
      <c r="KFW193" s="309"/>
      <c r="KFX193" s="329"/>
      <c r="KFY193" s="311"/>
      <c r="KFZ193" s="312"/>
      <c r="KGA193" s="326"/>
      <c r="KGB193" s="332"/>
      <c r="KGC193" s="321"/>
      <c r="KGD193" s="321"/>
      <c r="KGE193" s="331"/>
      <c r="KGF193" s="308"/>
      <c r="KGG193" s="301"/>
      <c r="KGH193" s="301"/>
      <c r="KGI193" s="302"/>
      <c r="KGJ193" s="309"/>
      <c r="KGK193" s="329"/>
      <c r="KGL193" s="311"/>
      <c r="KGM193" s="312"/>
      <c r="KGN193" s="326"/>
      <c r="KGO193" s="332"/>
      <c r="KGP193" s="321"/>
      <c r="KGQ193" s="321"/>
      <c r="KGR193" s="331"/>
      <c r="KGS193" s="308"/>
      <c r="KGT193" s="301"/>
      <c r="KGU193" s="301"/>
      <c r="KGV193" s="302"/>
      <c r="KGW193" s="309"/>
      <c r="KGX193" s="329"/>
      <c r="KGY193" s="311"/>
      <c r="KGZ193" s="312"/>
      <c r="KHA193" s="326"/>
      <c r="KHB193" s="332"/>
      <c r="KHC193" s="321"/>
      <c r="KHD193" s="321"/>
      <c r="KHE193" s="331"/>
      <c r="KHF193" s="308"/>
      <c r="KHG193" s="301"/>
      <c r="KHH193" s="301"/>
      <c r="KHI193" s="302"/>
      <c r="KHJ193" s="309"/>
      <c r="KHK193" s="329"/>
      <c r="KHL193" s="311"/>
      <c r="KHM193" s="312"/>
      <c r="KHN193" s="326"/>
      <c r="KHO193" s="332"/>
      <c r="KHP193" s="321"/>
      <c r="KHQ193" s="321"/>
      <c r="KHR193" s="331"/>
      <c r="KHS193" s="308"/>
      <c r="KHT193" s="301"/>
      <c r="KHU193" s="301"/>
      <c r="KHV193" s="302"/>
      <c r="KHW193" s="309"/>
      <c r="KHX193" s="329"/>
      <c r="KHY193" s="311"/>
      <c r="KHZ193" s="312"/>
      <c r="KIA193" s="326"/>
      <c r="KIB193" s="332"/>
      <c r="KIC193" s="321"/>
      <c r="KID193" s="321"/>
      <c r="KIE193" s="331"/>
      <c r="KIF193" s="308"/>
      <c r="KIG193" s="301"/>
      <c r="KIH193" s="301"/>
      <c r="KII193" s="302"/>
      <c r="KIJ193" s="309"/>
      <c r="KIK193" s="329"/>
      <c r="KIL193" s="311"/>
      <c r="KIM193" s="312"/>
      <c r="KIN193" s="326"/>
      <c r="KIO193" s="332"/>
      <c r="KIP193" s="321"/>
      <c r="KIQ193" s="321"/>
      <c r="KIR193" s="331"/>
      <c r="KIS193" s="308"/>
      <c r="KIT193" s="301"/>
      <c r="KIU193" s="301"/>
      <c r="KIV193" s="302"/>
      <c r="KIW193" s="309"/>
      <c r="KIX193" s="329"/>
      <c r="KIY193" s="311"/>
      <c r="KIZ193" s="312"/>
      <c r="KJA193" s="326"/>
      <c r="KJB193" s="332"/>
      <c r="KJC193" s="321"/>
      <c r="KJD193" s="321"/>
      <c r="KJE193" s="331"/>
      <c r="KJF193" s="308"/>
      <c r="KJG193" s="301"/>
      <c r="KJH193" s="301"/>
      <c r="KJI193" s="302"/>
      <c r="KJJ193" s="309"/>
      <c r="KJK193" s="329"/>
      <c r="KJL193" s="311"/>
      <c r="KJM193" s="312"/>
      <c r="KJN193" s="326"/>
      <c r="KJO193" s="332"/>
      <c r="KJP193" s="321"/>
      <c r="KJQ193" s="321"/>
      <c r="KJR193" s="331"/>
      <c r="KJS193" s="308"/>
      <c r="KJT193" s="301"/>
      <c r="KJU193" s="301"/>
      <c r="KJV193" s="302"/>
      <c r="KJW193" s="309"/>
      <c r="KJX193" s="329"/>
      <c r="KJY193" s="311"/>
      <c r="KJZ193" s="312"/>
      <c r="KKA193" s="326"/>
      <c r="KKB193" s="332"/>
      <c r="KKC193" s="321"/>
      <c r="KKD193" s="321"/>
      <c r="KKE193" s="331"/>
      <c r="KKF193" s="308"/>
      <c r="KKG193" s="301"/>
      <c r="KKH193" s="301"/>
      <c r="KKI193" s="302"/>
      <c r="KKJ193" s="309"/>
      <c r="KKK193" s="329"/>
      <c r="KKL193" s="311"/>
      <c r="KKM193" s="312"/>
      <c r="KKN193" s="326"/>
      <c r="KKO193" s="332"/>
      <c r="KKP193" s="321"/>
      <c r="KKQ193" s="321"/>
      <c r="KKR193" s="331"/>
      <c r="KKS193" s="308"/>
      <c r="KKT193" s="301"/>
      <c r="KKU193" s="301"/>
      <c r="KKV193" s="302"/>
      <c r="KKW193" s="309"/>
      <c r="KKX193" s="329"/>
      <c r="KKY193" s="311"/>
      <c r="KKZ193" s="312"/>
      <c r="KLA193" s="326"/>
      <c r="KLB193" s="332"/>
      <c r="KLC193" s="321"/>
      <c r="KLD193" s="321"/>
      <c r="KLE193" s="331"/>
      <c r="KLF193" s="308"/>
      <c r="KLG193" s="301"/>
      <c r="KLH193" s="301"/>
      <c r="KLI193" s="302"/>
      <c r="KLJ193" s="309"/>
      <c r="KLK193" s="329"/>
      <c r="KLL193" s="311"/>
      <c r="KLM193" s="312"/>
      <c r="KLN193" s="326"/>
      <c r="KLO193" s="332"/>
      <c r="KLP193" s="321"/>
      <c r="KLQ193" s="321"/>
      <c r="KLR193" s="331"/>
      <c r="KLS193" s="308"/>
      <c r="KLT193" s="301"/>
      <c r="KLU193" s="301"/>
      <c r="KLV193" s="302"/>
      <c r="KLW193" s="309"/>
      <c r="KLX193" s="329"/>
      <c r="KLY193" s="311"/>
      <c r="KLZ193" s="312"/>
      <c r="KMA193" s="326"/>
      <c r="KMB193" s="332"/>
      <c r="KMC193" s="321"/>
      <c r="KMD193" s="321"/>
      <c r="KME193" s="331"/>
      <c r="KMF193" s="308"/>
      <c r="KMG193" s="301"/>
      <c r="KMH193" s="301"/>
      <c r="KMI193" s="302"/>
      <c r="KMJ193" s="309"/>
      <c r="KMK193" s="329"/>
      <c r="KML193" s="311"/>
      <c r="KMM193" s="312"/>
      <c r="KMN193" s="326"/>
      <c r="KMO193" s="332"/>
      <c r="KMP193" s="321"/>
      <c r="KMQ193" s="321"/>
      <c r="KMR193" s="331"/>
      <c r="KMS193" s="308"/>
      <c r="KMT193" s="301"/>
      <c r="KMU193" s="301"/>
      <c r="KMV193" s="302"/>
      <c r="KMW193" s="309"/>
      <c r="KMX193" s="329"/>
      <c r="KMY193" s="311"/>
      <c r="KMZ193" s="312"/>
      <c r="KNA193" s="326"/>
      <c r="KNB193" s="332"/>
      <c r="KNC193" s="321"/>
      <c r="KND193" s="321"/>
      <c r="KNE193" s="331"/>
      <c r="KNF193" s="308"/>
      <c r="KNG193" s="301"/>
      <c r="KNH193" s="301"/>
      <c r="KNI193" s="302"/>
      <c r="KNJ193" s="309"/>
      <c r="KNK193" s="329"/>
      <c r="KNL193" s="311"/>
      <c r="KNM193" s="312"/>
      <c r="KNN193" s="326"/>
      <c r="KNO193" s="332"/>
      <c r="KNP193" s="321"/>
      <c r="KNQ193" s="321"/>
      <c r="KNR193" s="331"/>
      <c r="KNS193" s="308"/>
      <c r="KNT193" s="301"/>
      <c r="KNU193" s="301"/>
      <c r="KNV193" s="302"/>
      <c r="KNW193" s="309"/>
      <c r="KNX193" s="329"/>
      <c r="KNY193" s="311"/>
      <c r="KNZ193" s="312"/>
      <c r="KOA193" s="326"/>
      <c r="KOB193" s="332"/>
      <c r="KOC193" s="321"/>
      <c r="KOD193" s="321"/>
      <c r="KOE193" s="331"/>
      <c r="KOF193" s="308"/>
      <c r="KOG193" s="301"/>
      <c r="KOH193" s="301"/>
      <c r="KOI193" s="302"/>
      <c r="KOJ193" s="309"/>
      <c r="KOK193" s="329"/>
      <c r="KOL193" s="311"/>
      <c r="KOM193" s="312"/>
      <c r="KON193" s="326"/>
      <c r="KOO193" s="332"/>
      <c r="KOP193" s="321"/>
      <c r="KOQ193" s="321"/>
      <c r="KOR193" s="331"/>
      <c r="KOS193" s="308"/>
      <c r="KOT193" s="301"/>
      <c r="KOU193" s="301"/>
      <c r="KOV193" s="302"/>
      <c r="KOW193" s="309"/>
      <c r="KOX193" s="329"/>
      <c r="KOY193" s="311"/>
      <c r="KOZ193" s="312"/>
      <c r="KPA193" s="326"/>
      <c r="KPB193" s="332"/>
      <c r="KPC193" s="321"/>
      <c r="KPD193" s="321"/>
      <c r="KPE193" s="331"/>
      <c r="KPF193" s="308"/>
      <c r="KPG193" s="301"/>
      <c r="KPH193" s="301"/>
      <c r="KPI193" s="302"/>
      <c r="KPJ193" s="309"/>
      <c r="KPK193" s="329"/>
      <c r="KPL193" s="311"/>
      <c r="KPM193" s="312"/>
      <c r="KPN193" s="326"/>
      <c r="KPO193" s="332"/>
      <c r="KPP193" s="321"/>
      <c r="KPQ193" s="321"/>
      <c r="KPR193" s="331"/>
      <c r="KPS193" s="308"/>
      <c r="KPT193" s="301"/>
      <c r="KPU193" s="301"/>
      <c r="KPV193" s="302"/>
      <c r="KPW193" s="309"/>
      <c r="KPX193" s="329"/>
      <c r="KPY193" s="311"/>
      <c r="KPZ193" s="312"/>
      <c r="KQA193" s="326"/>
      <c r="KQB193" s="332"/>
      <c r="KQC193" s="321"/>
      <c r="KQD193" s="321"/>
      <c r="KQE193" s="331"/>
      <c r="KQF193" s="308"/>
      <c r="KQG193" s="301"/>
      <c r="KQH193" s="301"/>
      <c r="KQI193" s="302"/>
      <c r="KQJ193" s="309"/>
      <c r="KQK193" s="329"/>
      <c r="KQL193" s="311"/>
      <c r="KQM193" s="312"/>
      <c r="KQN193" s="326"/>
      <c r="KQO193" s="332"/>
      <c r="KQP193" s="321"/>
      <c r="KQQ193" s="321"/>
      <c r="KQR193" s="331"/>
      <c r="KQS193" s="308"/>
      <c r="KQT193" s="301"/>
      <c r="KQU193" s="301"/>
      <c r="KQV193" s="302"/>
      <c r="KQW193" s="309"/>
      <c r="KQX193" s="329"/>
      <c r="KQY193" s="311"/>
      <c r="KQZ193" s="312"/>
      <c r="KRA193" s="326"/>
      <c r="KRB193" s="332"/>
      <c r="KRC193" s="321"/>
      <c r="KRD193" s="321"/>
      <c r="KRE193" s="331"/>
      <c r="KRF193" s="308"/>
      <c r="KRG193" s="301"/>
      <c r="KRH193" s="301"/>
      <c r="KRI193" s="302"/>
      <c r="KRJ193" s="309"/>
      <c r="KRK193" s="329"/>
      <c r="KRL193" s="311"/>
      <c r="KRM193" s="312"/>
      <c r="KRN193" s="326"/>
      <c r="KRO193" s="332"/>
      <c r="KRP193" s="321"/>
      <c r="KRQ193" s="321"/>
      <c r="KRR193" s="331"/>
      <c r="KRS193" s="308"/>
      <c r="KRT193" s="301"/>
      <c r="KRU193" s="301"/>
      <c r="KRV193" s="302"/>
      <c r="KRW193" s="309"/>
      <c r="KRX193" s="329"/>
      <c r="KRY193" s="311"/>
      <c r="KRZ193" s="312"/>
      <c r="KSA193" s="326"/>
      <c r="KSB193" s="332"/>
      <c r="KSC193" s="321"/>
      <c r="KSD193" s="321"/>
      <c r="KSE193" s="331"/>
      <c r="KSF193" s="308"/>
      <c r="KSG193" s="301"/>
      <c r="KSH193" s="301"/>
      <c r="KSI193" s="302"/>
      <c r="KSJ193" s="309"/>
      <c r="KSK193" s="329"/>
      <c r="KSL193" s="311"/>
      <c r="KSM193" s="312"/>
      <c r="KSN193" s="326"/>
      <c r="KSO193" s="332"/>
      <c r="KSP193" s="321"/>
      <c r="KSQ193" s="321"/>
      <c r="KSR193" s="331"/>
      <c r="KSS193" s="308"/>
      <c r="KST193" s="301"/>
      <c r="KSU193" s="301"/>
      <c r="KSV193" s="302"/>
      <c r="KSW193" s="309"/>
      <c r="KSX193" s="329"/>
      <c r="KSY193" s="311"/>
      <c r="KSZ193" s="312"/>
      <c r="KTA193" s="326"/>
      <c r="KTB193" s="332"/>
      <c r="KTC193" s="321"/>
      <c r="KTD193" s="321"/>
      <c r="KTE193" s="331"/>
      <c r="KTF193" s="308"/>
      <c r="KTG193" s="301"/>
      <c r="KTH193" s="301"/>
      <c r="KTI193" s="302"/>
      <c r="KTJ193" s="309"/>
      <c r="KTK193" s="329"/>
      <c r="KTL193" s="311"/>
      <c r="KTM193" s="312"/>
      <c r="KTN193" s="326"/>
      <c r="KTO193" s="332"/>
      <c r="KTP193" s="321"/>
      <c r="KTQ193" s="321"/>
      <c r="KTR193" s="331"/>
      <c r="KTS193" s="308"/>
      <c r="KTT193" s="301"/>
      <c r="KTU193" s="301"/>
      <c r="KTV193" s="302"/>
      <c r="KTW193" s="309"/>
      <c r="KTX193" s="329"/>
      <c r="KTY193" s="311"/>
      <c r="KTZ193" s="312"/>
      <c r="KUA193" s="326"/>
      <c r="KUB193" s="332"/>
      <c r="KUC193" s="321"/>
      <c r="KUD193" s="321"/>
      <c r="KUE193" s="331"/>
      <c r="KUF193" s="308"/>
      <c r="KUG193" s="301"/>
      <c r="KUH193" s="301"/>
      <c r="KUI193" s="302"/>
      <c r="KUJ193" s="309"/>
      <c r="KUK193" s="329"/>
      <c r="KUL193" s="311"/>
      <c r="KUM193" s="312"/>
      <c r="KUN193" s="326"/>
      <c r="KUO193" s="332"/>
      <c r="KUP193" s="321"/>
      <c r="KUQ193" s="321"/>
      <c r="KUR193" s="331"/>
      <c r="KUS193" s="308"/>
      <c r="KUT193" s="301"/>
      <c r="KUU193" s="301"/>
      <c r="KUV193" s="302"/>
      <c r="KUW193" s="309"/>
      <c r="KUX193" s="329"/>
      <c r="KUY193" s="311"/>
      <c r="KUZ193" s="312"/>
      <c r="KVA193" s="326"/>
      <c r="KVB193" s="332"/>
      <c r="KVC193" s="321"/>
      <c r="KVD193" s="321"/>
      <c r="KVE193" s="331"/>
      <c r="KVF193" s="308"/>
      <c r="KVG193" s="301"/>
      <c r="KVH193" s="301"/>
      <c r="KVI193" s="302"/>
      <c r="KVJ193" s="309"/>
      <c r="KVK193" s="329"/>
      <c r="KVL193" s="311"/>
      <c r="KVM193" s="312"/>
      <c r="KVN193" s="326"/>
      <c r="KVO193" s="332"/>
      <c r="KVP193" s="321"/>
      <c r="KVQ193" s="321"/>
      <c r="KVR193" s="331"/>
      <c r="KVS193" s="308"/>
      <c r="KVT193" s="301"/>
      <c r="KVU193" s="301"/>
      <c r="KVV193" s="302"/>
      <c r="KVW193" s="309"/>
      <c r="KVX193" s="329"/>
      <c r="KVY193" s="311"/>
      <c r="KVZ193" s="312"/>
      <c r="KWA193" s="326"/>
      <c r="KWB193" s="332"/>
      <c r="KWC193" s="321"/>
      <c r="KWD193" s="321"/>
      <c r="KWE193" s="331"/>
      <c r="KWF193" s="308"/>
      <c r="KWG193" s="301"/>
      <c r="KWH193" s="301"/>
      <c r="KWI193" s="302"/>
      <c r="KWJ193" s="309"/>
      <c r="KWK193" s="329"/>
      <c r="KWL193" s="311"/>
      <c r="KWM193" s="312"/>
      <c r="KWN193" s="326"/>
      <c r="KWO193" s="332"/>
      <c r="KWP193" s="321"/>
      <c r="KWQ193" s="321"/>
      <c r="KWR193" s="331"/>
      <c r="KWS193" s="308"/>
      <c r="KWT193" s="301"/>
      <c r="KWU193" s="301"/>
      <c r="KWV193" s="302"/>
      <c r="KWW193" s="309"/>
      <c r="KWX193" s="329"/>
      <c r="KWY193" s="311"/>
      <c r="KWZ193" s="312"/>
      <c r="KXA193" s="326"/>
      <c r="KXB193" s="332"/>
      <c r="KXC193" s="321"/>
      <c r="KXD193" s="321"/>
      <c r="KXE193" s="331"/>
      <c r="KXF193" s="308"/>
      <c r="KXG193" s="301"/>
      <c r="KXH193" s="301"/>
      <c r="KXI193" s="302"/>
      <c r="KXJ193" s="309"/>
      <c r="KXK193" s="329"/>
      <c r="KXL193" s="311"/>
      <c r="KXM193" s="312"/>
      <c r="KXN193" s="326"/>
      <c r="KXO193" s="332"/>
      <c r="KXP193" s="321"/>
      <c r="KXQ193" s="321"/>
      <c r="KXR193" s="331"/>
      <c r="KXS193" s="308"/>
      <c r="KXT193" s="301"/>
      <c r="KXU193" s="301"/>
      <c r="KXV193" s="302"/>
      <c r="KXW193" s="309"/>
      <c r="KXX193" s="329"/>
      <c r="KXY193" s="311"/>
      <c r="KXZ193" s="312"/>
      <c r="KYA193" s="326"/>
      <c r="KYB193" s="332"/>
      <c r="KYC193" s="321"/>
      <c r="KYD193" s="321"/>
      <c r="KYE193" s="331"/>
      <c r="KYF193" s="308"/>
      <c r="KYG193" s="301"/>
      <c r="KYH193" s="301"/>
      <c r="KYI193" s="302"/>
      <c r="KYJ193" s="309"/>
      <c r="KYK193" s="329"/>
      <c r="KYL193" s="311"/>
      <c r="KYM193" s="312"/>
      <c r="KYN193" s="326"/>
      <c r="KYO193" s="332"/>
      <c r="KYP193" s="321"/>
      <c r="KYQ193" s="321"/>
      <c r="KYR193" s="331"/>
      <c r="KYS193" s="308"/>
      <c r="KYT193" s="301"/>
      <c r="KYU193" s="301"/>
      <c r="KYV193" s="302"/>
      <c r="KYW193" s="309"/>
      <c r="KYX193" s="329"/>
      <c r="KYY193" s="311"/>
      <c r="KYZ193" s="312"/>
      <c r="KZA193" s="326"/>
      <c r="KZB193" s="332"/>
      <c r="KZC193" s="321"/>
      <c r="KZD193" s="321"/>
      <c r="KZE193" s="331"/>
      <c r="KZF193" s="308"/>
      <c r="KZG193" s="301"/>
      <c r="KZH193" s="301"/>
      <c r="KZI193" s="302"/>
      <c r="KZJ193" s="309"/>
      <c r="KZK193" s="329"/>
      <c r="KZL193" s="311"/>
      <c r="KZM193" s="312"/>
      <c r="KZN193" s="326"/>
      <c r="KZO193" s="332"/>
      <c r="KZP193" s="321"/>
      <c r="KZQ193" s="321"/>
      <c r="KZR193" s="331"/>
      <c r="KZS193" s="308"/>
      <c r="KZT193" s="301"/>
      <c r="KZU193" s="301"/>
      <c r="KZV193" s="302"/>
      <c r="KZW193" s="309"/>
      <c r="KZX193" s="329"/>
      <c r="KZY193" s="311"/>
      <c r="KZZ193" s="312"/>
      <c r="LAA193" s="326"/>
      <c r="LAB193" s="332"/>
      <c r="LAC193" s="321"/>
      <c r="LAD193" s="321"/>
      <c r="LAE193" s="331"/>
      <c r="LAF193" s="308"/>
      <c r="LAG193" s="301"/>
      <c r="LAH193" s="301"/>
      <c r="LAI193" s="302"/>
      <c r="LAJ193" s="309"/>
      <c r="LAK193" s="329"/>
      <c r="LAL193" s="311"/>
      <c r="LAM193" s="312"/>
      <c r="LAN193" s="326"/>
      <c r="LAO193" s="332"/>
      <c r="LAP193" s="321"/>
      <c r="LAQ193" s="321"/>
      <c r="LAR193" s="331"/>
      <c r="LAS193" s="308"/>
      <c r="LAT193" s="301"/>
      <c r="LAU193" s="301"/>
      <c r="LAV193" s="302"/>
      <c r="LAW193" s="309"/>
      <c r="LAX193" s="329"/>
      <c r="LAY193" s="311"/>
      <c r="LAZ193" s="312"/>
      <c r="LBA193" s="326"/>
      <c r="LBB193" s="332"/>
      <c r="LBC193" s="321"/>
      <c r="LBD193" s="321"/>
      <c r="LBE193" s="331"/>
      <c r="LBF193" s="308"/>
      <c r="LBG193" s="301"/>
      <c r="LBH193" s="301"/>
      <c r="LBI193" s="302"/>
      <c r="LBJ193" s="309"/>
      <c r="LBK193" s="329"/>
      <c r="LBL193" s="311"/>
      <c r="LBM193" s="312"/>
      <c r="LBN193" s="326"/>
      <c r="LBO193" s="332"/>
      <c r="LBP193" s="321"/>
      <c r="LBQ193" s="321"/>
      <c r="LBR193" s="331"/>
      <c r="LBS193" s="308"/>
      <c r="LBT193" s="301"/>
      <c r="LBU193" s="301"/>
      <c r="LBV193" s="302"/>
      <c r="LBW193" s="309"/>
      <c r="LBX193" s="329"/>
      <c r="LBY193" s="311"/>
      <c r="LBZ193" s="312"/>
      <c r="LCA193" s="326"/>
      <c r="LCB193" s="332"/>
      <c r="LCC193" s="321"/>
      <c r="LCD193" s="321"/>
      <c r="LCE193" s="331"/>
      <c r="LCF193" s="308"/>
      <c r="LCG193" s="301"/>
      <c r="LCH193" s="301"/>
      <c r="LCI193" s="302"/>
      <c r="LCJ193" s="309"/>
      <c r="LCK193" s="329"/>
      <c r="LCL193" s="311"/>
      <c r="LCM193" s="312"/>
      <c r="LCN193" s="326"/>
      <c r="LCO193" s="332"/>
      <c r="LCP193" s="321"/>
      <c r="LCQ193" s="321"/>
      <c r="LCR193" s="331"/>
      <c r="LCS193" s="308"/>
      <c r="LCT193" s="301"/>
      <c r="LCU193" s="301"/>
      <c r="LCV193" s="302"/>
      <c r="LCW193" s="309"/>
      <c r="LCX193" s="329"/>
      <c r="LCY193" s="311"/>
      <c r="LCZ193" s="312"/>
      <c r="LDA193" s="326"/>
      <c r="LDB193" s="332"/>
      <c r="LDC193" s="321"/>
      <c r="LDD193" s="321"/>
      <c r="LDE193" s="331"/>
      <c r="LDF193" s="308"/>
      <c r="LDG193" s="301"/>
      <c r="LDH193" s="301"/>
      <c r="LDI193" s="302"/>
      <c r="LDJ193" s="309"/>
      <c r="LDK193" s="329"/>
      <c r="LDL193" s="311"/>
      <c r="LDM193" s="312"/>
      <c r="LDN193" s="326"/>
      <c r="LDO193" s="332"/>
      <c r="LDP193" s="321"/>
      <c r="LDQ193" s="321"/>
      <c r="LDR193" s="331"/>
      <c r="LDS193" s="308"/>
      <c r="LDT193" s="301"/>
      <c r="LDU193" s="301"/>
      <c r="LDV193" s="302"/>
      <c r="LDW193" s="309"/>
      <c r="LDX193" s="329"/>
      <c r="LDY193" s="311"/>
      <c r="LDZ193" s="312"/>
      <c r="LEA193" s="326"/>
      <c r="LEB193" s="332"/>
      <c r="LEC193" s="321"/>
      <c r="LED193" s="321"/>
      <c r="LEE193" s="331"/>
      <c r="LEF193" s="308"/>
      <c r="LEG193" s="301"/>
      <c r="LEH193" s="301"/>
      <c r="LEI193" s="302"/>
      <c r="LEJ193" s="309"/>
      <c r="LEK193" s="329"/>
      <c r="LEL193" s="311"/>
      <c r="LEM193" s="312"/>
      <c r="LEN193" s="326"/>
      <c r="LEO193" s="332"/>
      <c r="LEP193" s="321"/>
      <c r="LEQ193" s="321"/>
      <c r="LER193" s="331"/>
      <c r="LES193" s="308"/>
      <c r="LET193" s="301"/>
      <c r="LEU193" s="301"/>
      <c r="LEV193" s="302"/>
      <c r="LEW193" s="309"/>
      <c r="LEX193" s="329"/>
      <c r="LEY193" s="311"/>
      <c r="LEZ193" s="312"/>
      <c r="LFA193" s="326"/>
      <c r="LFB193" s="332"/>
      <c r="LFC193" s="321"/>
      <c r="LFD193" s="321"/>
      <c r="LFE193" s="331"/>
      <c r="LFF193" s="308"/>
      <c r="LFG193" s="301"/>
      <c r="LFH193" s="301"/>
      <c r="LFI193" s="302"/>
      <c r="LFJ193" s="309"/>
      <c r="LFK193" s="329"/>
      <c r="LFL193" s="311"/>
      <c r="LFM193" s="312"/>
      <c r="LFN193" s="326"/>
      <c r="LFO193" s="332"/>
      <c r="LFP193" s="321"/>
      <c r="LFQ193" s="321"/>
      <c r="LFR193" s="331"/>
      <c r="LFS193" s="308"/>
      <c r="LFT193" s="301"/>
      <c r="LFU193" s="301"/>
      <c r="LFV193" s="302"/>
      <c r="LFW193" s="309"/>
      <c r="LFX193" s="329"/>
      <c r="LFY193" s="311"/>
      <c r="LFZ193" s="312"/>
      <c r="LGA193" s="326"/>
      <c r="LGB193" s="332"/>
      <c r="LGC193" s="321"/>
      <c r="LGD193" s="321"/>
      <c r="LGE193" s="331"/>
      <c r="LGF193" s="308"/>
      <c r="LGG193" s="301"/>
      <c r="LGH193" s="301"/>
      <c r="LGI193" s="302"/>
      <c r="LGJ193" s="309"/>
      <c r="LGK193" s="329"/>
      <c r="LGL193" s="311"/>
      <c r="LGM193" s="312"/>
      <c r="LGN193" s="326"/>
      <c r="LGO193" s="332"/>
      <c r="LGP193" s="321"/>
      <c r="LGQ193" s="321"/>
      <c r="LGR193" s="331"/>
      <c r="LGS193" s="308"/>
      <c r="LGT193" s="301"/>
      <c r="LGU193" s="301"/>
      <c r="LGV193" s="302"/>
      <c r="LGW193" s="309"/>
      <c r="LGX193" s="329"/>
      <c r="LGY193" s="311"/>
      <c r="LGZ193" s="312"/>
      <c r="LHA193" s="326"/>
      <c r="LHB193" s="332"/>
      <c r="LHC193" s="321"/>
      <c r="LHD193" s="321"/>
      <c r="LHE193" s="331"/>
      <c r="LHF193" s="308"/>
      <c r="LHG193" s="301"/>
      <c r="LHH193" s="301"/>
      <c r="LHI193" s="302"/>
      <c r="LHJ193" s="309"/>
      <c r="LHK193" s="329"/>
      <c r="LHL193" s="311"/>
      <c r="LHM193" s="312"/>
      <c r="LHN193" s="326"/>
      <c r="LHO193" s="332"/>
      <c r="LHP193" s="321"/>
      <c r="LHQ193" s="321"/>
      <c r="LHR193" s="331"/>
      <c r="LHS193" s="308"/>
      <c r="LHT193" s="301"/>
      <c r="LHU193" s="301"/>
      <c r="LHV193" s="302"/>
      <c r="LHW193" s="309"/>
      <c r="LHX193" s="329"/>
      <c r="LHY193" s="311"/>
      <c r="LHZ193" s="312"/>
      <c r="LIA193" s="326"/>
      <c r="LIB193" s="332"/>
      <c r="LIC193" s="321"/>
      <c r="LID193" s="321"/>
      <c r="LIE193" s="331"/>
      <c r="LIF193" s="308"/>
      <c r="LIG193" s="301"/>
      <c r="LIH193" s="301"/>
      <c r="LII193" s="302"/>
      <c r="LIJ193" s="309"/>
      <c r="LIK193" s="329"/>
      <c r="LIL193" s="311"/>
      <c r="LIM193" s="312"/>
      <c r="LIN193" s="326"/>
      <c r="LIO193" s="332"/>
      <c r="LIP193" s="321"/>
      <c r="LIQ193" s="321"/>
      <c r="LIR193" s="331"/>
      <c r="LIS193" s="308"/>
      <c r="LIT193" s="301"/>
      <c r="LIU193" s="301"/>
      <c r="LIV193" s="302"/>
      <c r="LIW193" s="309"/>
      <c r="LIX193" s="329"/>
      <c r="LIY193" s="311"/>
      <c r="LIZ193" s="312"/>
      <c r="LJA193" s="326"/>
      <c r="LJB193" s="332"/>
      <c r="LJC193" s="321"/>
      <c r="LJD193" s="321"/>
      <c r="LJE193" s="331"/>
      <c r="LJF193" s="308"/>
      <c r="LJG193" s="301"/>
      <c r="LJH193" s="301"/>
      <c r="LJI193" s="302"/>
      <c r="LJJ193" s="309"/>
      <c r="LJK193" s="329"/>
      <c r="LJL193" s="311"/>
      <c r="LJM193" s="312"/>
      <c r="LJN193" s="326"/>
      <c r="LJO193" s="332"/>
      <c r="LJP193" s="321"/>
      <c r="LJQ193" s="321"/>
      <c r="LJR193" s="331"/>
      <c r="LJS193" s="308"/>
      <c r="LJT193" s="301"/>
      <c r="LJU193" s="301"/>
      <c r="LJV193" s="302"/>
      <c r="LJW193" s="309"/>
      <c r="LJX193" s="329"/>
      <c r="LJY193" s="311"/>
      <c r="LJZ193" s="312"/>
      <c r="LKA193" s="326"/>
      <c r="LKB193" s="332"/>
      <c r="LKC193" s="321"/>
      <c r="LKD193" s="321"/>
      <c r="LKE193" s="331"/>
      <c r="LKF193" s="308"/>
      <c r="LKG193" s="301"/>
      <c r="LKH193" s="301"/>
      <c r="LKI193" s="302"/>
      <c r="LKJ193" s="309"/>
      <c r="LKK193" s="329"/>
      <c r="LKL193" s="311"/>
      <c r="LKM193" s="312"/>
      <c r="LKN193" s="326"/>
      <c r="LKO193" s="332"/>
      <c r="LKP193" s="321"/>
      <c r="LKQ193" s="321"/>
      <c r="LKR193" s="331"/>
      <c r="LKS193" s="308"/>
      <c r="LKT193" s="301"/>
      <c r="LKU193" s="301"/>
      <c r="LKV193" s="302"/>
      <c r="LKW193" s="309"/>
      <c r="LKX193" s="329"/>
      <c r="LKY193" s="311"/>
      <c r="LKZ193" s="312"/>
      <c r="LLA193" s="326"/>
      <c r="LLB193" s="332"/>
      <c r="LLC193" s="321"/>
      <c r="LLD193" s="321"/>
      <c r="LLE193" s="331"/>
      <c r="LLF193" s="308"/>
      <c r="LLG193" s="301"/>
      <c r="LLH193" s="301"/>
      <c r="LLI193" s="302"/>
      <c r="LLJ193" s="309"/>
      <c r="LLK193" s="329"/>
      <c r="LLL193" s="311"/>
      <c r="LLM193" s="312"/>
      <c r="LLN193" s="326"/>
      <c r="LLO193" s="332"/>
      <c r="LLP193" s="321"/>
      <c r="LLQ193" s="321"/>
      <c r="LLR193" s="331"/>
      <c r="LLS193" s="308"/>
      <c r="LLT193" s="301"/>
      <c r="LLU193" s="301"/>
      <c r="LLV193" s="302"/>
      <c r="LLW193" s="309"/>
      <c r="LLX193" s="329"/>
      <c r="LLY193" s="311"/>
      <c r="LLZ193" s="312"/>
      <c r="LMA193" s="326"/>
      <c r="LMB193" s="332"/>
      <c r="LMC193" s="321"/>
      <c r="LMD193" s="321"/>
      <c r="LME193" s="331"/>
      <c r="LMF193" s="308"/>
      <c r="LMG193" s="301"/>
      <c r="LMH193" s="301"/>
      <c r="LMI193" s="302"/>
      <c r="LMJ193" s="309"/>
      <c r="LMK193" s="329"/>
      <c r="LML193" s="311"/>
      <c r="LMM193" s="312"/>
      <c r="LMN193" s="326"/>
      <c r="LMO193" s="332"/>
      <c r="LMP193" s="321"/>
      <c r="LMQ193" s="321"/>
      <c r="LMR193" s="331"/>
      <c r="LMS193" s="308"/>
      <c r="LMT193" s="301"/>
      <c r="LMU193" s="301"/>
      <c r="LMV193" s="302"/>
      <c r="LMW193" s="309"/>
      <c r="LMX193" s="329"/>
      <c r="LMY193" s="311"/>
      <c r="LMZ193" s="312"/>
      <c r="LNA193" s="326"/>
      <c r="LNB193" s="332"/>
      <c r="LNC193" s="321"/>
      <c r="LND193" s="321"/>
      <c r="LNE193" s="331"/>
      <c r="LNF193" s="308"/>
      <c r="LNG193" s="301"/>
      <c r="LNH193" s="301"/>
      <c r="LNI193" s="302"/>
      <c r="LNJ193" s="309"/>
      <c r="LNK193" s="329"/>
      <c r="LNL193" s="311"/>
      <c r="LNM193" s="312"/>
      <c r="LNN193" s="326"/>
      <c r="LNO193" s="332"/>
      <c r="LNP193" s="321"/>
      <c r="LNQ193" s="321"/>
      <c r="LNR193" s="331"/>
      <c r="LNS193" s="308"/>
      <c r="LNT193" s="301"/>
      <c r="LNU193" s="301"/>
      <c r="LNV193" s="302"/>
      <c r="LNW193" s="309"/>
      <c r="LNX193" s="329"/>
      <c r="LNY193" s="311"/>
      <c r="LNZ193" s="312"/>
      <c r="LOA193" s="326"/>
      <c r="LOB193" s="332"/>
      <c r="LOC193" s="321"/>
      <c r="LOD193" s="321"/>
      <c r="LOE193" s="331"/>
      <c r="LOF193" s="308"/>
      <c r="LOG193" s="301"/>
      <c r="LOH193" s="301"/>
      <c r="LOI193" s="302"/>
      <c r="LOJ193" s="309"/>
      <c r="LOK193" s="329"/>
      <c r="LOL193" s="311"/>
      <c r="LOM193" s="312"/>
      <c r="LON193" s="326"/>
      <c r="LOO193" s="332"/>
      <c r="LOP193" s="321"/>
      <c r="LOQ193" s="321"/>
      <c r="LOR193" s="331"/>
      <c r="LOS193" s="308"/>
      <c r="LOT193" s="301"/>
      <c r="LOU193" s="301"/>
      <c r="LOV193" s="302"/>
      <c r="LOW193" s="309"/>
      <c r="LOX193" s="329"/>
      <c r="LOY193" s="311"/>
      <c r="LOZ193" s="312"/>
      <c r="LPA193" s="326"/>
      <c r="LPB193" s="332"/>
      <c r="LPC193" s="321"/>
      <c r="LPD193" s="321"/>
      <c r="LPE193" s="331"/>
      <c r="LPF193" s="308"/>
      <c r="LPG193" s="301"/>
      <c r="LPH193" s="301"/>
      <c r="LPI193" s="302"/>
      <c r="LPJ193" s="309"/>
      <c r="LPK193" s="329"/>
      <c r="LPL193" s="311"/>
      <c r="LPM193" s="312"/>
      <c r="LPN193" s="326"/>
      <c r="LPO193" s="332"/>
      <c r="LPP193" s="321"/>
      <c r="LPQ193" s="321"/>
      <c r="LPR193" s="331"/>
      <c r="LPS193" s="308"/>
      <c r="LPT193" s="301"/>
      <c r="LPU193" s="301"/>
      <c r="LPV193" s="302"/>
      <c r="LPW193" s="309"/>
      <c r="LPX193" s="329"/>
      <c r="LPY193" s="311"/>
      <c r="LPZ193" s="312"/>
      <c r="LQA193" s="326"/>
      <c r="LQB193" s="332"/>
      <c r="LQC193" s="321"/>
      <c r="LQD193" s="321"/>
      <c r="LQE193" s="331"/>
      <c r="LQF193" s="308"/>
      <c r="LQG193" s="301"/>
      <c r="LQH193" s="301"/>
      <c r="LQI193" s="302"/>
      <c r="LQJ193" s="309"/>
      <c r="LQK193" s="329"/>
      <c r="LQL193" s="311"/>
      <c r="LQM193" s="312"/>
      <c r="LQN193" s="326"/>
      <c r="LQO193" s="332"/>
      <c r="LQP193" s="321"/>
      <c r="LQQ193" s="321"/>
      <c r="LQR193" s="331"/>
      <c r="LQS193" s="308"/>
      <c r="LQT193" s="301"/>
      <c r="LQU193" s="301"/>
      <c r="LQV193" s="302"/>
      <c r="LQW193" s="309"/>
      <c r="LQX193" s="329"/>
      <c r="LQY193" s="311"/>
      <c r="LQZ193" s="312"/>
      <c r="LRA193" s="326"/>
      <c r="LRB193" s="332"/>
      <c r="LRC193" s="321"/>
      <c r="LRD193" s="321"/>
      <c r="LRE193" s="331"/>
      <c r="LRF193" s="308"/>
      <c r="LRG193" s="301"/>
      <c r="LRH193" s="301"/>
      <c r="LRI193" s="302"/>
      <c r="LRJ193" s="309"/>
      <c r="LRK193" s="329"/>
      <c r="LRL193" s="311"/>
      <c r="LRM193" s="312"/>
      <c r="LRN193" s="326"/>
      <c r="LRO193" s="332"/>
      <c r="LRP193" s="321"/>
      <c r="LRQ193" s="321"/>
      <c r="LRR193" s="331"/>
      <c r="LRS193" s="308"/>
      <c r="LRT193" s="301"/>
      <c r="LRU193" s="301"/>
      <c r="LRV193" s="302"/>
      <c r="LRW193" s="309"/>
      <c r="LRX193" s="329"/>
      <c r="LRY193" s="311"/>
      <c r="LRZ193" s="312"/>
      <c r="LSA193" s="326"/>
      <c r="LSB193" s="332"/>
      <c r="LSC193" s="321"/>
      <c r="LSD193" s="321"/>
      <c r="LSE193" s="331"/>
      <c r="LSF193" s="308"/>
      <c r="LSG193" s="301"/>
      <c r="LSH193" s="301"/>
      <c r="LSI193" s="302"/>
      <c r="LSJ193" s="309"/>
      <c r="LSK193" s="329"/>
      <c r="LSL193" s="311"/>
      <c r="LSM193" s="312"/>
      <c r="LSN193" s="326"/>
      <c r="LSO193" s="332"/>
      <c r="LSP193" s="321"/>
      <c r="LSQ193" s="321"/>
      <c r="LSR193" s="331"/>
      <c r="LSS193" s="308"/>
      <c r="LST193" s="301"/>
      <c r="LSU193" s="301"/>
      <c r="LSV193" s="302"/>
      <c r="LSW193" s="309"/>
      <c r="LSX193" s="329"/>
      <c r="LSY193" s="311"/>
      <c r="LSZ193" s="312"/>
      <c r="LTA193" s="326"/>
      <c r="LTB193" s="332"/>
      <c r="LTC193" s="321"/>
      <c r="LTD193" s="321"/>
      <c r="LTE193" s="331"/>
      <c r="LTF193" s="308"/>
      <c r="LTG193" s="301"/>
      <c r="LTH193" s="301"/>
      <c r="LTI193" s="302"/>
      <c r="LTJ193" s="309"/>
      <c r="LTK193" s="329"/>
      <c r="LTL193" s="311"/>
      <c r="LTM193" s="312"/>
      <c r="LTN193" s="326"/>
      <c r="LTO193" s="332"/>
      <c r="LTP193" s="321"/>
      <c r="LTQ193" s="321"/>
      <c r="LTR193" s="331"/>
      <c r="LTS193" s="308"/>
      <c r="LTT193" s="301"/>
      <c r="LTU193" s="301"/>
      <c r="LTV193" s="302"/>
      <c r="LTW193" s="309"/>
      <c r="LTX193" s="329"/>
      <c r="LTY193" s="311"/>
      <c r="LTZ193" s="312"/>
      <c r="LUA193" s="326"/>
      <c r="LUB193" s="332"/>
      <c r="LUC193" s="321"/>
      <c r="LUD193" s="321"/>
      <c r="LUE193" s="331"/>
      <c r="LUF193" s="308"/>
      <c r="LUG193" s="301"/>
      <c r="LUH193" s="301"/>
      <c r="LUI193" s="302"/>
      <c r="LUJ193" s="309"/>
      <c r="LUK193" s="329"/>
      <c r="LUL193" s="311"/>
      <c r="LUM193" s="312"/>
      <c r="LUN193" s="326"/>
      <c r="LUO193" s="332"/>
      <c r="LUP193" s="321"/>
      <c r="LUQ193" s="321"/>
      <c r="LUR193" s="331"/>
      <c r="LUS193" s="308"/>
      <c r="LUT193" s="301"/>
      <c r="LUU193" s="301"/>
      <c r="LUV193" s="302"/>
      <c r="LUW193" s="309"/>
      <c r="LUX193" s="329"/>
      <c r="LUY193" s="311"/>
      <c r="LUZ193" s="312"/>
      <c r="LVA193" s="326"/>
      <c r="LVB193" s="332"/>
      <c r="LVC193" s="321"/>
      <c r="LVD193" s="321"/>
      <c r="LVE193" s="331"/>
      <c r="LVF193" s="308"/>
      <c r="LVG193" s="301"/>
      <c r="LVH193" s="301"/>
      <c r="LVI193" s="302"/>
      <c r="LVJ193" s="309"/>
      <c r="LVK193" s="329"/>
      <c r="LVL193" s="311"/>
      <c r="LVM193" s="312"/>
      <c r="LVN193" s="326"/>
      <c r="LVO193" s="332"/>
      <c r="LVP193" s="321"/>
      <c r="LVQ193" s="321"/>
      <c r="LVR193" s="331"/>
      <c r="LVS193" s="308"/>
      <c r="LVT193" s="301"/>
      <c r="LVU193" s="301"/>
      <c r="LVV193" s="302"/>
      <c r="LVW193" s="309"/>
      <c r="LVX193" s="329"/>
      <c r="LVY193" s="311"/>
      <c r="LVZ193" s="312"/>
      <c r="LWA193" s="326"/>
      <c r="LWB193" s="332"/>
      <c r="LWC193" s="321"/>
      <c r="LWD193" s="321"/>
      <c r="LWE193" s="331"/>
      <c r="LWF193" s="308"/>
      <c r="LWG193" s="301"/>
      <c r="LWH193" s="301"/>
      <c r="LWI193" s="302"/>
      <c r="LWJ193" s="309"/>
      <c r="LWK193" s="329"/>
      <c r="LWL193" s="311"/>
      <c r="LWM193" s="312"/>
      <c r="LWN193" s="326"/>
      <c r="LWO193" s="332"/>
      <c r="LWP193" s="321"/>
      <c r="LWQ193" s="321"/>
      <c r="LWR193" s="331"/>
      <c r="LWS193" s="308"/>
      <c r="LWT193" s="301"/>
      <c r="LWU193" s="301"/>
      <c r="LWV193" s="302"/>
      <c r="LWW193" s="309"/>
      <c r="LWX193" s="329"/>
      <c r="LWY193" s="311"/>
      <c r="LWZ193" s="312"/>
      <c r="LXA193" s="326"/>
      <c r="LXB193" s="332"/>
      <c r="LXC193" s="321"/>
      <c r="LXD193" s="321"/>
      <c r="LXE193" s="331"/>
      <c r="LXF193" s="308"/>
      <c r="LXG193" s="301"/>
      <c r="LXH193" s="301"/>
      <c r="LXI193" s="302"/>
      <c r="LXJ193" s="309"/>
      <c r="LXK193" s="329"/>
      <c r="LXL193" s="311"/>
      <c r="LXM193" s="312"/>
      <c r="LXN193" s="326"/>
      <c r="LXO193" s="332"/>
      <c r="LXP193" s="321"/>
      <c r="LXQ193" s="321"/>
      <c r="LXR193" s="331"/>
      <c r="LXS193" s="308"/>
      <c r="LXT193" s="301"/>
      <c r="LXU193" s="301"/>
      <c r="LXV193" s="302"/>
      <c r="LXW193" s="309"/>
      <c r="LXX193" s="329"/>
      <c r="LXY193" s="311"/>
      <c r="LXZ193" s="312"/>
      <c r="LYA193" s="326"/>
      <c r="LYB193" s="332"/>
      <c r="LYC193" s="321"/>
      <c r="LYD193" s="321"/>
      <c r="LYE193" s="331"/>
      <c r="LYF193" s="308"/>
      <c r="LYG193" s="301"/>
      <c r="LYH193" s="301"/>
      <c r="LYI193" s="302"/>
      <c r="LYJ193" s="309"/>
      <c r="LYK193" s="329"/>
      <c r="LYL193" s="311"/>
      <c r="LYM193" s="312"/>
      <c r="LYN193" s="326"/>
      <c r="LYO193" s="332"/>
      <c r="LYP193" s="321"/>
      <c r="LYQ193" s="321"/>
      <c r="LYR193" s="331"/>
      <c r="LYS193" s="308"/>
      <c r="LYT193" s="301"/>
      <c r="LYU193" s="301"/>
      <c r="LYV193" s="302"/>
      <c r="LYW193" s="309"/>
      <c r="LYX193" s="329"/>
      <c r="LYY193" s="311"/>
      <c r="LYZ193" s="312"/>
      <c r="LZA193" s="326"/>
      <c r="LZB193" s="332"/>
      <c r="LZC193" s="321"/>
      <c r="LZD193" s="321"/>
      <c r="LZE193" s="331"/>
      <c r="LZF193" s="308"/>
      <c r="LZG193" s="301"/>
      <c r="LZH193" s="301"/>
      <c r="LZI193" s="302"/>
      <c r="LZJ193" s="309"/>
      <c r="LZK193" s="329"/>
      <c r="LZL193" s="311"/>
      <c r="LZM193" s="312"/>
      <c r="LZN193" s="326"/>
      <c r="LZO193" s="332"/>
      <c r="LZP193" s="321"/>
      <c r="LZQ193" s="321"/>
      <c r="LZR193" s="331"/>
      <c r="LZS193" s="308"/>
      <c r="LZT193" s="301"/>
      <c r="LZU193" s="301"/>
      <c r="LZV193" s="302"/>
      <c r="LZW193" s="309"/>
      <c r="LZX193" s="329"/>
      <c r="LZY193" s="311"/>
      <c r="LZZ193" s="312"/>
      <c r="MAA193" s="326"/>
      <c r="MAB193" s="332"/>
      <c r="MAC193" s="321"/>
      <c r="MAD193" s="321"/>
      <c r="MAE193" s="331"/>
      <c r="MAF193" s="308"/>
      <c r="MAG193" s="301"/>
      <c r="MAH193" s="301"/>
      <c r="MAI193" s="302"/>
      <c r="MAJ193" s="309"/>
      <c r="MAK193" s="329"/>
      <c r="MAL193" s="311"/>
      <c r="MAM193" s="312"/>
      <c r="MAN193" s="326"/>
      <c r="MAO193" s="332"/>
      <c r="MAP193" s="321"/>
      <c r="MAQ193" s="321"/>
      <c r="MAR193" s="331"/>
      <c r="MAS193" s="308"/>
      <c r="MAT193" s="301"/>
      <c r="MAU193" s="301"/>
      <c r="MAV193" s="302"/>
      <c r="MAW193" s="309"/>
      <c r="MAX193" s="329"/>
      <c r="MAY193" s="311"/>
      <c r="MAZ193" s="312"/>
      <c r="MBA193" s="326"/>
      <c r="MBB193" s="332"/>
      <c r="MBC193" s="321"/>
      <c r="MBD193" s="321"/>
      <c r="MBE193" s="331"/>
      <c r="MBF193" s="308"/>
      <c r="MBG193" s="301"/>
      <c r="MBH193" s="301"/>
      <c r="MBI193" s="302"/>
      <c r="MBJ193" s="309"/>
      <c r="MBK193" s="329"/>
      <c r="MBL193" s="311"/>
      <c r="MBM193" s="312"/>
      <c r="MBN193" s="326"/>
      <c r="MBO193" s="332"/>
      <c r="MBP193" s="321"/>
      <c r="MBQ193" s="321"/>
      <c r="MBR193" s="331"/>
      <c r="MBS193" s="308"/>
      <c r="MBT193" s="301"/>
      <c r="MBU193" s="301"/>
      <c r="MBV193" s="302"/>
      <c r="MBW193" s="309"/>
      <c r="MBX193" s="329"/>
      <c r="MBY193" s="311"/>
      <c r="MBZ193" s="312"/>
      <c r="MCA193" s="326"/>
      <c r="MCB193" s="332"/>
      <c r="MCC193" s="321"/>
      <c r="MCD193" s="321"/>
      <c r="MCE193" s="331"/>
      <c r="MCF193" s="308"/>
      <c r="MCG193" s="301"/>
      <c r="MCH193" s="301"/>
      <c r="MCI193" s="302"/>
      <c r="MCJ193" s="309"/>
      <c r="MCK193" s="329"/>
      <c r="MCL193" s="311"/>
      <c r="MCM193" s="312"/>
      <c r="MCN193" s="326"/>
      <c r="MCO193" s="332"/>
      <c r="MCP193" s="321"/>
      <c r="MCQ193" s="321"/>
      <c r="MCR193" s="331"/>
      <c r="MCS193" s="308"/>
      <c r="MCT193" s="301"/>
      <c r="MCU193" s="301"/>
      <c r="MCV193" s="302"/>
      <c r="MCW193" s="309"/>
      <c r="MCX193" s="329"/>
      <c r="MCY193" s="311"/>
      <c r="MCZ193" s="312"/>
      <c r="MDA193" s="326"/>
      <c r="MDB193" s="332"/>
      <c r="MDC193" s="321"/>
      <c r="MDD193" s="321"/>
      <c r="MDE193" s="331"/>
      <c r="MDF193" s="308"/>
      <c r="MDG193" s="301"/>
      <c r="MDH193" s="301"/>
      <c r="MDI193" s="302"/>
      <c r="MDJ193" s="309"/>
      <c r="MDK193" s="329"/>
      <c r="MDL193" s="311"/>
      <c r="MDM193" s="312"/>
      <c r="MDN193" s="326"/>
      <c r="MDO193" s="332"/>
      <c r="MDP193" s="321"/>
      <c r="MDQ193" s="321"/>
      <c r="MDR193" s="331"/>
      <c r="MDS193" s="308"/>
      <c r="MDT193" s="301"/>
      <c r="MDU193" s="301"/>
      <c r="MDV193" s="302"/>
      <c r="MDW193" s="309"/>
      <c r="MDX193" s="329"/>
      <c r="MDY193" s="311"/>
      <c r="MDZ193" s="312"/>
      <c r="MEA193" s="326"/>
      <c r="MEB193" s="332"/>
      <c r="MEC193" s="321"/>
      <c r="MED193" s="321"/>
      <c r="MEE193" s="331"/>
      <c r="MEF193" s="308"/>
      <c r="MEG193" s="301"/>
      <c r="MEH193" s="301"/>
      <c r="MEI193" s="302"/>
      <c r="MEJ193" s="309"/>
      <c r="MEK193" s="329"/>
      <c r="MEL193" s="311"/>
      <c r="MEM193" s="312"/>
      <c r="MEN193" s="326"/>
      <c r="MEO193" s="332"/>
      <c r="MEP193" s="321"/>
      <c r="MEQ193" s="321"/>
      <c r="MER193" s="331"/>
      <c r="MES193" s="308"/>
      <c r="MET193" s="301"/>
      <c r="MEU193" s="301"/>
      <c r="MEV193" s="302"/>
      <c r="MEW193" s="309"/>
      <c r="MEX193" s="329"/>
      <c r="MEY193" s="311"/>
      <c r="MEZ193" s="312"/>
      <c r="MFA193" s="326"/>
      <c r="MFB193" s="332"/>
      <c r="MFC193" s="321"/>
      <c r="MFD193" s="321"/>
      <c r="MFE193" s="331"/>
      <c r="MFF193" s="308"/>
      <c r="MFG193" s="301"/>
      <c r="MFH193" s="301"/>
      <c r="MFI193" s="302"/>
      <c r="MFJ193" s="309"/>
      <c r="MFK193" s="329"/>
      <c r="MFL193" s="311"/>
      <c r="MFM193" s="312"/>
      <c r="MFN193" s="326"/>
      <c r="MFO193" s="332"/>
      <c r="MFP193" s="321"/>
      <c r="MFQ193" s="321"/>
      <c r="MFR193" s="331"/>
      <c r="MFS193" s="308"/>
      <c r="MFT193" s="301"/>
      <c r="MFU193" s="301"/>
      <c r="MFV193" s="302"/>
      <c r="MFW193" s="309"/>
      <c r="MFX193" s="329"/>
      <c r="MFY193" s="311"/>
      <c r="MFZ193" s="312"/>
      <c r="MGA193" s="326"/>
      <c r="MGB193" s="332"/>
      <c r="MGC193" s="321"/>
      <c r="MGD193" s="321"/>
      <c r="MGE193" s="331"/>
      <c r="MGF193" s="308"/>
      <c r="MGG193" s="301"/>
      <c r="MGH193" s="301"/>
      <c r="MGI193" s="302"/>
      <c r="MGJ193" s="309"/>
      <c r="MGK193" s="329"/>
      <c r="MGL193" s="311"/>
      <c r="MGM193" s="312"/>
      <c r="MGN193" s="326"/>
      <c r="MGO193" s="332"/>
      <c r="MGP193" s="321"/>
      <c r="MGQ193" s="321"/>
      <c r="MGR193" s="331"/>
      <c r="MGS193" s="308"/>
      <c r="MGT193" s="301"/>
      <c r="MGU193" s="301"/>
      <c r="MGV193" s="302"/>
      <c r="MGW193" s="309"/>
      <c r="MGX193" s="329"/>
      <c r="MGY193" s="311"/>
      <c r="MGZ193" s="312"/>
      <c r="MHA193" s="326"/>
      <c r="MHB193" s="332"/>
      <c r="MHC193" s="321"/>
      <c r="MHD193" s="321"/>
      <c r="MHE193" s="331"/>
      <c r="MHF193" s="308"/>
      <c r="MHG193" s="301"/>
      <c r="MHH193" s="301"/>
      <c r="MHI193" s="302"/>
      <c r="MHJ193" s="309"/>
      <c r="MHK193" s="329"/>
      <c r="MHL193" s="311"/>
      <c r="MHM193" s="312"/>
      <c r="MHN193" s="326"/>
      <c r="MHO193" s="332"/>
      <c r="MHP193" s="321"/>
      <c r="MHQ193" s="321"/>
      <c r="MHR193" s="331"/>
      <c r="MHS193" s="308"/>
      <c r="MHT193" s="301"/>
      <c r="MHU193" s="301"/>
      <c r="MHV193" s="302"/>
      <c r="MHW193" s="309"/>
      <c r="MHX193" s="329"/>
      <c r="MHY193" s="311"/>
      <c r="MHZ193" s="312"/>
      <c r="MIA193" s="326"/>
      <c r="MIB193" s="332"/>
      <c r="MIC193" s="321"/>
      <c r="MID193" s="321"/>
      <c r="MIE193" s="331"/>
      <c r="MIF193" s="308"/>
      <c r="MIG193" s="301"/>
      <c r="MIH193" s="301"/>
      <c r="MII193" s="302"/>
      <c r="MIJ193" s="309"/>
      <c r="MIK193" s="329"/>
      <c r="MIL193" s="311"/>
      <c r="MIM193" s="312"/>
      <c r="MIN193" s="326"/>
      <c r="MIO193" s="332"/>
      <c r="MIP193" s="321"/>
      <c r="MIQ193" s="321"/>
      <c r="MIR193" s="331"/>
      <c r="MIS193" s="308"/>
      <c r="MIT193" s="301"/>
      <c r="MIU193" s="301"/>
      <c r="MIV193" s="302"/>
      <c r="MIW193" s="309"/>
      <c r="MIX193" s="329"/>
      <c r="MIY193" s="311"/>
      <c r="MIZ193" s="312"/>
      <c r="MJA193" s="326"/>
      <c r="MJB193" s="332"/>
      <c r="MJC193" s="321"/>
      <c r="MJD193" s="321"/>
      <c r="MJE193" s="331"/>
      <c r="MJF193" s="308"/>
      <c r="MJG193" s="301"/>
      <c r="MJH193" s="301"/>
      <c r="MJI193" s="302"/>
      <c r="MJJ193" s="309"/>
      <c r="MJK193" s="329"/>
      <c r="MJL193" s="311"/>
      <c r="MJM193" s="312"/>
      <c r="MJN193" s="326"/>
      <c r="MJO193" s="332"/>
      <c r="MJP193" s="321"/>
      <c r="MJQ193" s="321"/>
      <c r="MJR193" s="331"/>
      <c r="MJS193" s="308"/>
      <c r="MJT193" s="301"/>
      <c r="MJU193" s="301"/>
      <c r="MJV193" s="302"/>
      <c r="MJW193" s="309"/>
      <c r="MJX193" s="329"/>
      <c r="MJY193" s="311"/>
      <c r="MJZ193" s="312"/>
      <c r="MKA193" s="326"/>
      <c r="MKB193" s="332"/>
      <c r="MKC193" s="321"/>
      <c r="MKD193" s="321"/>
      <c r="MKE193" s="331"/>
      <c r="MKF193" s="308"/>
      <c r="MKG193" s="301"/>
      <c r="MKH193" s="301"/>
      <c r="MKI193" s="302"/>
      <c r="MKJ193" s="309"/>
      <c r="MKK193" s="329"/>
      <c r="MKL193" s="311"/>
      <c r="MKM193" s="312"/>
      <c r="MKN193" s="326"/>
      <c r="MKO193" s="332"/>
      <c r="MKP193" s="321"/>
      <c r="MKQ193" s="321"/>
      <c r="MKR193" s="331"/>
      <c r="MKS193" s="308"/>
      <c r="MKT193" s="301"/>
      <c r="MKU193" s="301"/>
      <c r="MKV193" s="302"/>
      <c r="MKW193" s="309"/>
      <c r="MKX193" s="329"/>
      <c r="MKY193" s="311"/>
      <c r="MKZ193" s="312"/>
      <c r="MLA193" s="326"/>
      <c r="MLB193" s="332"/>
      <c r="MLC193" s="321"/>
      <c r="MLD193" s="321"/>
      <c r="MLE193" s="331"/>
      <c r="MLF193" s="308"/>
      <c r="MLG193" s="301"/>
      <c r="MLH193" s="301"/>
      <c r="MLI193" s="302"/>
      <c r="MLJ193" s="309"/>
      <c r="MLK193" s="329"/>
      <c r="MLL193" s="311"/>
      <c r="MLM193" s="312"/>
      <c r="MLN193" s="326"/>
      <c r="MLO193" s="332"/>
      <c r="MLP193" s="321"/>
      <c r="MLQ193" s="321"/>
      <c r="MLR193" s="331"/>
      <c r="MLS193" s="308"/>
      <c r="MLT193" s="301"/>
      <c r="MLU193" s="301"/>
      <c r="MLV193" s="302"/>
      <c r="MLW193" s="309"/>
      <c r="MLX193" s="329"/>
      <c r="MLY193" s="311"/>
      <c r="MLZ193" s="312"/>
      <c r="MMA193" s="326"/>
      <c r="MMB193" s="332"/>
      <c r="MMC193" s="321"/>
      <c r="MMD193" s="321"/>
      <c r="MME193" s="331"/>
      <c r="MMF193" s="308"/>
      <c r="MMG193" s="301"/>
      <c r="MMH193" s="301"/>
      <c r="MMI193" s="302"/>
      <c r="MMJ193" s="309"/>
      <c r="MMK193" s="329"/>
      <c r="MML193" s="311"/>
      <c r="MMM193" s="312"/>
      <c r="MMN193" s="326"/>
      <c r="MMO193" s="332"/>
      <c r="MMP193" s="321"/>
      <c r="MMQ193" s="321"/>
      <c r="MMR193" s="331"/>
      <c r="MMS193" s="308"/>
      <c r="MMT193" s="301"/>
      <c r="MMU193" s="301"/>
      <c r="MMV193" s="302"/>
      <c r="MMW193" s="309"/>
      <c r="MMX193" s="329"/>
      <c r="MMY193" s="311"/>
      <c r="MMZ193" s="312"/>
      <c r="MNA193" s="326"/>
      <c r="MNB193" s="332"/>
      <c r="MNC193" s="321"/>
      <c r="MND193" s="321"/>
      <c r="MNE193" s="331"/>
      <c r="MNF193" s="308"/>
      <c r="MNG193" s="301"/>
      <c r="MNH193" s="301"/>
      <c r="MNI193" s="302"/>
      <c r="MNJ193" s="309"/>
      <c r="MNK193" s="329"/>
      <c r="MNL193" s="311"/>
      <c r="MNM193" s="312"/>
      <c r="MNN193" s="326"/>
      <c r="MNO193" s="332"/>
      <c r="MNP193" s="321"/>
      <c r="MNQ193" s="321"/>
      <c r="MNR193" s="331"/>
      <c r="MNS193" s="308"/>
      <c r="MNT193" s="301"/>
      <c r="MNU193" s="301"/>
      <c r="MNV193" s="302"/>
      <c r="MNW193" s="309"/>
      <c r="MNX193" s="329"/>
      <c r="MNY193" s="311"/>
      <c r="MNZ193" s="312"/>
      <c r="MOA193" s="326"/>
      <c r="MOB193" s="332"/>
      <c r="MOC193" s="321"/>
      <c r="MOD193" s="321"/>
      <c r="MOE193" s="331"/>
      <c r="MOF193" s="308"/>
      <c r="MOG193" s="301"/>
      <c r="MOH193" s="301"/>
      <c r="MOI193" s="302"/>
      <c r="MOJ193" s="309"/>
      <c r="MOK193" s="329"/>
      <c r="MOL193" s="311"/>
      <c r="MOM193" s="312"/>
      <c r="MON193" s="326"/>
      <c r="MOO193" s="332"/>
      <c r="MOP193" s="321"/>
      <c r="MOQ193" s="321"/>
      <c r="MOR193" s="331"/>
      <c r="MOS193" s="308"/>
      <c r="MOT193" s="301"/>
      <c r="MOU193" s="301"/>
      <c r="MOV193" s="302"/>
      <c r="MOW193" s="309"/>
      <c r="MOX193" s="329"/>
      <c r="MOY193" s="311"/>
      <c r="MOZ193" s="312"/>
      <c r="MPA193" s="326"/>
      <c r="MPB193" s="332"/>
      <c r="MPC193" s="321"/>
      <c r="MPD193" s="321"/>
      <c r="MPE193" s="331"/>
      <c r="MPF193" s="308"/>
      <c r="MPG193" s="301"/>
      <c r="MPH193" s="301"/>
      <c r="MPI193" s="302"/>
      <c r="MPJ193" s="309"/>
      <c r="MPK193" s="329"/>
      <c r="MPL193" s="311"/>
      <c r="MPM193" s="312"/>
      <c r="MPN193" s="326"/>
      <c r="MPO193" s="332"/>
      <c r="MPP193" s="321"/>
      <c r="MPQ193" s="321"/>
      <c r="MPR193" s="331"/>
      <c r="MPS193" s="308"/>
      <c r="MPT193" s="301"/>
      <c r="MPU193" s="301"/>
      <c r="MPV193" s="302"/>
      <c r="MPW193" s="309"/>
      <c r="MPX193" s="329"/>
      <c r="MPY193" s="311"/>
      <c r="MPZ193" s="312"/>
      <c r="MQA193" s="326"/>
      <c r="MQB193" s="332"/>
      <c r="MQC193" s="321"/>
      <c r="MQD193" s="321"/>
      <c r="MQE193" s="331"/>
      <c r="MQF193" s="308"/>
      <c r="MQG193" s="301"/>
      <c r="MQH193" s="301"/>
      <c r="MQI193" s="302"/>
      <c r="MQJ193" s="309"/>
      <c r="MQK193" s="329"/>
      <c r="MQL193" s="311"/>
      <c r="MQM193" s="312"/>
      <c r="MQN193" s="326"/>
      <c r="MQO193" s="332"/>
      <c r="MQP193" s="321"/>
      <c r="MQQ193" s="321"/>
      <c r="MQR193" s="331"/>
      <c r="MQS193" s="308"/>
      <c r="MQT193" s="301"/>
      <c r="MQU193" s="301"/>
      <c r="MQV193" s="302"/>
      <c r="MQW193" s="309"/>
      <c r="MQX193" s="329"/>
      <c r="MQY193" s="311"/>
      <c r="MQZ193" s="312"/>
      <c r="MRA193" s="326"/>
      <c r="MRB193" s="332"/>
      <c r="MRC193" s="321"/>
      <c r="MRD193" s="321"/>
      <c r="MRE193" s="331"/>
      <c r="MRF193" s="308"/>
      <c r="MRG193" s="301"/>
      <c r="MRH193" s="301"/>
      <c r="MRI193" s="302"/>
      <c r="MRJ193" s="309"/>
      <c r="MRK193" s="329"/>
      <c r="MRL193" s="311"/>
      <c r="MRM193" s="312"/>
      <c r="MRN193" s="326"/>
      <c r="MRO193" s="332"/>
      <c r="MRP193" s="321"/>
      <c r="MRQ193" s="321"/>
      <c r="MRR193" s="331"/>
      <c r="MRS193" s="308"/>
      <c r="MRT193" s="301"/>
      <c r="MRU193" s="301"/>
      <c r="MRV193" s="302"/>
      <c r="MRW193" s="309"/>
      <c r="MRX193" s="329"/>
      <c r="MRY193" s="311"/>
      <c r="MRZ193" s="312"/>
      <c r="MSA193" s="326"/>
      <c r="MSB193" s="332"/>
      <c r="MSC193" s="321"/>
      <c r="MSD193" s="321"/>
      <c r="MSE193" s="331"/>
      <c r="MSF193" s="308"/>
      <c r="MSG193" s="301"/>
      <c r="MSH193" s="301"/>
      <c r="MSI193" s="302"/>
      <c r="MSJ193" s="309"/>
      <c r="MSK193" s="329"/>
      <c r="MSL193" s="311"/>
      <c r="MSM193" s="312"/>
      <c r="MSN193" s="326"/>
      <c r="MSO193" s="332"/>
      <c r="MSP193" s="321"/>
      <c r="MSQ193" s="321"/>
      <c r="MSR193" s="331"/>
      <c r="MSS193" s="308"/>
      <c r="MST193" s="301"/>
      <c r="MSU193" s="301"/>
      <c r="MSV193" s="302"/>
      <c r="MSW193" s="309"/>
      <c r="MSX193" s="329"/>
      <c r="MSY193" s="311"/>
      <c r="MSZ193" s="312"/>
      <c r="MTA193" s="326"/>
      <c r="MTB193" s="332"/>
      <c r="MTC193" s="321"/>
      <c r="MTD193" s="321"/>
      <c r="MTE193" s="331"/>
      <c r="MTF193" s="308"/>
      <c r="MTG193" s="301"/>
      <c r="MTH193" s="301"/>
      <c r="MTI193" s="302"/>
      <c r="MTJ193" s="309"/>
      <c r="MTK193" s="329"/>
      <c r="MTL193" s="311"/>
      <c r="MTM193" s="312"/>
      <c r="MTN193" s="326"/>
      <c r="MTO193" s="332"/>
      <c r="MTP193" s="321"/>
      <c r="MTQ193" s="321"/>
      <c r="MTR193" s="331"/>
      <c r="MTS193" s="308"/>
      <c r="MTT193" s="301"/>
      <c r="MTU193" s="301"/>
      <c r="MTV193" s="302"/>
      <c r="MTW193" s="309"/>
      <c r="MTX193" s="329"/>
      <c r="MTY193" s="311"/>
      <c r="MTZ193" s="312"/>
      <c r="MUA193" s="326"/>
      <c r="MUB193" s="332"/>
      <c r="MUC193" s="321"/>
      <c r="MUD193" s="321"/>
      <c r="MUE193" s="331"/>
      <c r="MUF193" s="308"/>
      <c r="MUG193" s="301"/>
      <c r="MUH193" s="301"/>
      <c r="MUI193" s="302"/>
      <c r="MUJ193" s="309"/>
      <c r="MUK193" s="329"/>
      <c r="MUL193" s="311"/>
      <c r="MUM193" s="312"/>
      <c r="MUN193" s="326"/>
      <c r="MUO193" s="332"/>
      <c r="MUP193" s="321"/>
      <c r="MUQ193" s="321"/>
      <c r="MUR193" s="331"/>
      <c r="MUS193" s="308"/>
      <c r="MUT193" s="301"/>
      <c r="MUU193" s="301"/>
      <c r="MUV193" s="302"/>
      <c r="MUW193" s="309"/>
      <c r="MUX193" s="329"/>
      <c r="MUY193" s="311"/>
      <c r="MUZ193" s="312"/>
      <c r="MVA193" s="326"/>
      <c r="MVB193" s="332"/>
      <c r="MVC193" s="321"/>
      <c r="MVD193" s="321"/>
      <c r="MVE193" s="331"/>
      <c r="MVF193" s="308"/>
      <c r="MVG193" s="301"/>
      <c r="MVH193" s="301"/>
      <c r="MVI193" s="302"/>
      <c r="MVJ193" s="309"/>
      <c r="MVK193" s="329"/>
      <c r="MVL193" s="311"/>
      <c r="MVM193" s="312"/>
      <c r="MVN193" s="326"/>
      <c r="MVO193" s="332"/>
      <c r="MVP193" s="321"/>
      <c r="MVQ193" s="321"/>
      <c r="MVR193" s="331"/>
      <c r="MVS193" s="308"/>
      <c r="MVT193" s="301"/>
      <c r="MVU193" s="301"/>
      <c r="MVV193" s="302"/>
      <c r="MVW193" s="309"/>
      <c r="MVX193" s="329"/>
      <c r="MVY193" s="311"/>
      <c r="MVZ193" s="312"/>
      <c r="MWA193" s="326"/>
      <c r="MWB193" s="332"/>
      <c r="MWC193" s="321"/>
      <c r="MWD193" s="321"/>
      <c r="MWE193" s="331"/>
      <c r="MWF193" s="308"/>
      <c r="MWG193" s="301"/>
      <c r="MWH193" s="301"/>
      <c r="MWI193" s="302"/>
      <c r="MWJ193" s="309"/>
      <c r="MWK193" s="329"/>
      <c r="MWL193" s="311"/>
      <c r="MWM193" s="312"/>
      <c r="MWN193" s="326"/>
      <c r="MWO193" s="332"/>
      <c r="MWP193" s="321"/>
      <c r="MWQ193" s="321"/>
      <c r="MWR193" s="331"/>
      <c r="MWS193" s="308"/>
      <c r="MWT193" s="301"/>
      <c r="MWU193" s="301"/>
      <c r="MWV193" s="302"/>
      <c r="MWW193" s="309"/>
      <c r="MWX193" s="329"/>
      <c r="MWY193" s="311"/>
      <c r="MWZ193" s="312"/>
      <c r="MXA193" s="326"/>
      <c r="MXB193" s="332"/>
      <c r="MXC193" s="321"/>
      <c r="MXD193" s="321"/>
      <c r="MXE193" s="331"/>
      <c r="MXF193" s="308"/>
      <c r="MXG193" s="301"/>
      <c r="MXH193" s="301"/>
      <c r="MXI193" s="302"/>
      <c r="MXJ193" s="309"/>
      <c r="MXK193" s="329"/>
      <c r="MXL193" s="311"/>
      <c r="MXM193" s="312"/>
      <c r="MXN193" s="326"/>
      <c r="MXO193" s="332"/>
      <c r="MXP193" s="321"/>
      <c r="MXQ193" s="321"/>
      <c r="MXR193" s="331"/>
      <c r="MXS193" s="308"/>
      <c r="MXT193" s="301"/>
      <c r="MXU193" s="301"/>
      <c r="MXV193" s="302"/>
      <c r="MXW193" s="309"/>
      <c r="MXX193" s="329"/>
      <c r="MXY193" s="311"/>
      <c r="MXZ193" s="312"/>
      <c r="MYA193" s="326"/>
      <c r="MYB193" s="332"/>
      <c r="MYC193" s="321"/>
      <c r="MYD193" s="321"/>
      <c r="MYE193" s="331"/>
      <c r="MYF193" s="308"/>
      <c r="MYG193" s="301"/>
      <c r="MYH193" s="301"/>
      <c r="MYI193" s="302"/>
      <c r="MYJ193" s="309"/>
      <c r="MYK193" s="329"/>
      <c r="MYL193" s="311"/>
      <c r="MYM193" s="312"/>
      <c r="MYN193" s="326"/>
      <c r="MYO193" s="332"/>
      <c r="MYP193" s="321"/>
      <c r="MYQ193" s="321"/>
      <c r="MYR193" s="331"/>
      <c r="MYS193" s="308"/>
      <c r="MYT193" s="301"/>
      <c r="MYU193" s="301"/>
      <c r="MYV193" s="302"/>
      <c r="MYW193" s="309"/>
      <c r="MYX193" s="329"/>
      <c r="MYY193" s="311"/>
      <c r="MYZ193" s="312"/>
      <c r="MZA193" s="326"/>
      <c r="MZB193" s="332"/>
      <c r="MZC193" s="321"/>
      <c r="MZD193" s="321"/>
      <c r="MZE193" s="331"/>
      <c r="MZF193" s="308"/>
      <c r="MZG193" s="301"/>
      <c r="MZH193" s="301"/>
      <c r="MZI193" s="302"/>
      <c r="MZJ193" s="309"/>
      <c r="MZK193" s="329"/>
      <c r="MZL193" s="311"/>
      <c r="MZM193" s="312"/>
      <c r="MZN193" s="326"/>
      <c r="MZO193" s="332"/>
      <c r="MZP193" s="321"/>
      <c r="MZQ193" s="321"/>
      <c r="MZR193" s="331"/>
      <c r="MZS193" s="308"/>
      <c r="MZT193" s="301"/>
      <c r="MZU193" s="301"/>
      <c r="MZV193" s="302"/>
      <c r="MZW193" s="309"/>
      <c r="MZX193" s="329"/>
      <c r="MZY193" s="311"/>
      <c r="MZZ193" s="312"/>
      <c r="NAA193" s="326"/>
      <c r="NAB193" s="332"/>
      <c r="NAC193" s="321"/>
      <c r="NAD193" s="321"/>
      <c r="NAE193" s="331"/>
      <c r="NAF193" s="308"/>
      <c r="NAG193" s="301"/>
      <c r="NAH193" s="301"/>
      <c r="NAI193" s="302"/>
      <c r="NAJ193" s="309"/>
      <c r="NAK193" s="329"/>
      <c r="NAL193" s="311"/>
      <c r="NAM193" s="312"/>
      <c r="NAN193" s="326"/>
      <c r="NAO193" s="332"/>
      <c r="NAP193" s="321"/>
      <c r="NAQ193" s="321"/>
      <c r="NAR193" s="331"/>
      <c r="NAS193" s="308"/>
      <c r="NAT193" s="301"/>
      <c r="NAU193" s="301"/>
      <c r="NAV193" s="302"/>
      <c r="NAW193" s="309"/>
      <c r="NAX193" s="329"/>
      <c r="NAY193" s="311"/>
      <c r="NAZ193" s="312"/>
      <c r="NBA193" s="326"/>
      <c r="NBB193" s="332"/>
      <c r="NBC193" s="321"/>
      <c r="NBD193" s="321"/>
      <c r="NBE193" s="331"/>
      <c r="NBF193" s="308"/>
      <c r="NBG193" s="301"/>
      <c r="NBH193" s="301"/>
      <c r="NBI193" s="302"/>
      <c r="NBJ193" s="309"/>
      <c r="NBK193" s="329"/>
      <c r="NBL193" s="311"/>
      <c r="NBM193" s="312"/>
      <c r="NBN193" s="326"/>
      <c r="NBO193" s="332"/>
      <c r="NBP193" s="321"/>
      <c r="NBQ193" s="321"/>
      <c r="NBR193" s="331"/>
      <c r="NBS193" s="308"/>
      <c r="NBT193" s="301"/>
      <c r="NBU193" s="301"/>
      <c r="NBV193" s="302"/>
      <c r="NBW193" s="309"/>
      <c r="NBX193" s="329"/>
      <c r="NBY193" s="311"/>
      <c r="NBZ193" s="312"/>
      <c r="NCA193" s="326"/>
      <c r="NCB193" s="332"/>
      <c r="NCC193" s="321"/>
      <c r="NCD193" s="321"/>
      <c r="NCE193" s="331"/>
      <c r="NCF193" s="308"/>
      <c r="NCG193" s="301"/>
      <c r="NCH193" s="301"/>
      <c r="NCI193" s="302"/>
      <c r="NCJ193" s="309"/>
      <c r="NCK193" s="329"/>
      <c r="NCL193" s="311"/>
      <c r="NCM193" s="312"/>
      <c r="NCN193" s="326"/>
      <c r="NCO193" s="332"/>
      <c r="NCP193" s="321"/>
      <c r="NCQ193" s="321"/>
      <c r="NCR193" s="331"/>
      <c r="NCS193" s="308"/>
      <c r="NCT193" s="301"/>
      <c r="NCU193" s="301"/>
      <c r="NCV193" s="302"/>
      <c r="NCW193" s="309"/>
      <c r="NCX193" s="329"/>
      <c r="NCY193" s="311"/>
      <c r="NCZ193" s="312"/>
      <c r="NDA193" s="326"/>
      <c r="NDB193" s="332"/>
      <c r="NDC193" s="321"/>
      <c r="NDD193" s="321"/>
      <c r="NDE193" s="331"/>
      <c r="NDF193" s="308"/>
      <c r="NDG193" s="301"/>
      <c r="NDH193" s="301"/>
      <c r="NDI193" s="302"/>
      <c r="NDJ193" s="309"/>
      <c r="NDK193" s="329"/>
      <c r="NDL193" s="311"/>
      <c r="NDM193" s="312"/>
      <c r="NDN193" s="326"/>
      <c r="NDO193" s="332"/>
      <c r="NDP193" s="321"/>
      <c r="NDQ193" s="321"/>
      <c r="NDR193" s="331"/>
      <c r="NDS193" s="308"/>
      <c r="NDT193" s="301"/>
      <c r="NDU193" s="301"/>
      <c r="NDV193" s="302"/>
      <c r="NDW193" s="309"/>
      <c r="NDX193" s="329"/>
      <c r="NDY193" s="311"/>
      <c r="NDZ193" s="312"/>
      <c r="NEA193" s="326"/>
      <c r="NEB193" s="332"/>
      <c r="NEC193" s="321"/>
      <c r="NED193" s="321"/>
      <c r="NEE193" s="331"/>
      <c r="NEF193" s="308"/>
      <c r="NEG193" s="301"/>
      <c r="NEH193" s="301"/>
      <c r="NEI193" s="302"/>
      <c r="NEJ193" s="309"/>
      <c r="NEK193" s="329"/>
      <c r="NEL193" s="311"/>
      <c r="NEM193" s="312"/>
      <c r="NEN193" s="326"/>
      <c r="NEO193" s="332"/>
      <c r="NEP193" s="321"/>
      <c r="NEQ193" s="321"/>
      <c r="NER193" s="331"/>
      <c r="NES193" s="308"/>
      <c r="NET193" s="301"/>
      <c r="NEU193" s="301"/>
      <c r="NEV193" s="302"/>
      <c r="NEW193" s="309"/>
      <c r="NEX193" s="329"/>
      <c r="NEY193" s="311"/>
      <c r="NEZ193" s="312"/>
      <c r="NFA193" s="326"/>
      <c r="NFB193" s="332"/>
      <c r="NFC193" s="321"/>
      <c r="NFD193" s="321"/>
      <c r="NFE193" s="331"/>
      <c r="NFF193" s="308"/>
      <c r="NFG193" s="301"/>
      <c r="NFH193" s="301"/>
      <c r="NFI193" s="302"/>
      <c r="NFJ193" s="309"/>
      <c r="NFK193" s="329"/>
      <c r="NFL193" s="311"/>
      <c r="NFM193" s="312"/>
      <c r="NFN193" s="326"/>
      <c r="NFO193" s="332"/>
      <c r="NFP193" s="321"/>
      <c r="NFQ193" s="321"/>
      <c r="NFR193" s="331"/>
      <c r="NFS193" s="308"/>
      <c r="NFT193" s="301"/>
      <c r="NFU193" s="301"/>
      <c r="NFV193" s="302"/>
      <c r="NFW193" s="309"/>
      <c r="NFX193" s="329"/>
      <c r="NFY193" s="311"/>
      <c r="NFZ193" s="312"/>
      <c r="NGA193" s="326"/>
      <c r="NGB193" s="332"/>
      <c r="NGC193" s="321"/>
      <c r="NGD193" s="321"/>
      <c r="NGE193" s="331"/>
      <c r="NGF193" s="308"/>
      <c r="NGG193" s="301"/>
      <c r="NGH193" s="301"/>
      <c r="NGI193" s="302"/>
      <c r="NGJ193" s="309"/>
      <c r="NGK193" s="329"/>
      <c r="NGL193" s="311"/>
      <c r="NGM193" s="312"/>
      <c r="NGN193" s="326"/>
      <c r="NGO193" s="332"/>
      <c r="NGP193" s="321"/>
      <c r="NGQ193" s="321"/>
      <c r="NGR193" s="331"/>
      <c r="NGS193" s="308"/>
      <c r="NGT193" s="301"/>
      <c r="NGU193" s="301"/>
      <c r="NGV193" s="302"/>
      <c r="NGW193" s="309"/>
      <c r="NGX193" s="329"/>
      <c r="NGY193" s="311"/>
      <c r="NGZ193" s="312"/>
      <c r="NHA193" s="326"/>
      <c r="NHB193" s="332"/>
      <c r="NHC193" s="321"/>
      <c r="NHD193" s="321"/>
      <c r="NHE193" s="331"/>
      <c r="NHF193" s="308"/>
      <c r="NHG193" s="301"/>
      <c r="NHH193" s="301"/>
      <c r="NHI193" s="302"/>
      <c r="NHJ193" s="309"/>
      <c r="NHK193" s="329"/>
      <c r="NHL193" s="311"/>
      <c r="NHM193" s="312"/>
      <c r="NHN193" s="326"/>
      <c r="NHO193" s="332"/>
      <c r="NHP193" s="321"/>
      <c r="NHQ193" s="321"/>
      <c r="NHR193" s="331"/>
      <c r="NHS193" s="308"/>
      <c r="NHT193" s="301"/>
      <c r="NHU193" s="301"/>
      <c r="NHV193" s="302"/>
      <c r="NHW193" s="309"/>
      <c r="NHX193" s="329"/>
      <c r="NHY193" s="311"/>
      <c r="NHZ193" s="312"/>
      <c r="NIA193" s="326"/>
      <c r="NIB193" s="332"/>
      <c r="NIC193" s="321"/>
      <c r="NID193" s="321"/>
      <c r="NIE193" s="331"/>
      <c r="NIF193" s="308"/>
      <c r="NIG193" s="301"/>
      <c r="NIH193" s="301"/>
      <c r="NII193" s="302"/>
      <c r="NIJ193" s="309"/>
      <c r="NIK193" s="329"/>
      <c r="NIL193" s="311"/>
      <c r="NIM193" s="312"/>
      <c r="NIN193" s="326"/>
      <c r="NIO193" s="332"/>
      <c r="NIP193" s="321"/>
      <c r="NIQ193" s="321"/>
      <c r="NIR193" s="331"/>
      <c r="NIS193" s="308"/>
      <c r="NIT193" s="301"/>
      <c r="NIU193" s="301"/>
      <c r="NIV193" s="302"/>
      <c r="NIW193" s="309"/>
      <c r="NIX193" s="329"/>
      <c r="NIY193" s="311"/>
      <c r="NIZ193" s="312"/>
      <c r="NJA193" s="326"/>
      <c r="NJB193" s="332"/>
      <c r="NJC193" s="321"/>
      <c r="NJD193" s="321"/>
      <c r="NJE193" s="331"/>
      <c r="NJF193" s="308"/>
      <c r="NJG193" s="301"/>
      <c r="NJH193" s="301"/>
      <c r="NJI193" s="302"/>
      <c r="NJJ193" s="309"/>
      <c r="NJK193" s="329"/>
      <c r="NJL193" s="311"/>
      <c r="NJM193" s="312"/>
      <c r="NJN193" s="326"/>
      <c r="NJO193" s="332"/>
      <c r="NJP193" s="321"/>
      <c r="NJQ193" s="321"/>
      <c r="NJR193" s="331"/>
      <c r="NJS193" s="308"/>
      <c r="NJT193" s="301"/>
      <c r="NJU193" s="301"/>
      <c r="NJV193" s="302"/>
      <c r="NJW193" s="309"/>
      <c r="NJX193" s="329"/>
      <c r="NJY193" s="311"/>
      <c r="NJZ193" s="312"/>
      <c r="NKA193" s="326"/>
      <c r="NKB193" s="332"/>
      <c r="NKC193" s="321"/>
      <c r="NKD193" s="321"/>
      <c r="NKE193" s="331"/>
      <c r="NKF193" s="308"/>
      <c r="NKG193" s="301"/>
      <c r="NKH193" s="301"/>
      <c r="NKI193" s="302"/>
      <c r="NKJ193" s="309"/>
      <c r="NKK193" s="329"/>
      <c r="NKL193" s="311"/>
      <c r="NKM193" s="312"/>
      <c r="NKN193" s="326"/>
      <c r="NKO193" s="332"/>
      <c r="NKP193" s="321"/>
      <c r="NKQ193" s="321"/>
      <c r="NKR193" s="331"/>
      <c r="NKS193" s="308"/>
      <c r="NKT193" s="301"/>
      <c r="NKU193" s="301"/>
      <c r="NKV193" s="302"/>
      <c r="NKW193" s="309"/>
      <c r="NKX193" s="329"/>
      <c r="NKY193" s="311"/>
      <c r="NKZ193" s="312"/>
      <c r="NLA193" s="326"/>
      <c r="NLB193" s="332"/>
      <c r="NLC193" s="321"/>
      <c r="NLD193" s="321"/>
      <c r="NLE193" s="331"/>
      <c r="NLF193" s="308"/>
      <c r="NLG193" s="301"/>
      <c r="NLH193" s="301"/>
      <c r="NLI193" s="302"/>
      <c r="NLJ193" s="309"/>
      <c r="NLK193" s="329"/>
      <c r="NLL193" s="311"/>
      <c r="NLM193" s="312"/>
      <c r="NLN193" s="326"/>
      <c r="NLO193" s="332"/>
      <c r="NLP193" s="321"/>
      <c r="NLQ193" s="321"/>
      <c r="NLR193" s="331"/>
      <c r="NLS193" s="308"/>
      <c r="NLT193" s="301"/>
      <c r="NLU193" s="301"/>
      <c r="NLV193" s="302"/>
      <c r="NLW193" s="309"/>
      <c r="NLX193" s="329"/>
      <c r="NLY193" s="311"/>
      <c r="NLZ193" s="312"/>
      <c r="NMA193" s="326"/>
      <c r="NMB193" s="332"/>
      <c r="NMC193" s="321"/>
      <c r="NMD193" s="321"/>
      <c r="NME193" s="331"/>
      <c r="NMF193" s="308"/>
      <c r="NMG193" s="301"/>
      <c r="NMH193" s="301"/>
      <c r="NMI193" s="302"/>
      <c r="NMJ193" s="309"/>
      <c r="NMK193" s="329"/>
      <c r="NML193" s="311"/>
      <c r="NMM193" s="312"/>
      <c r="NMN193" s="326"/>
      <c r="NMO193" s="332"/>
      <c r="NMP193" s="321"/>
      <c r="NMQ193" s="321"/>
      <c r="NMR193" s="331"/>
      <c r="NMS193" s="308"/>
      <c r="NMT193" s="301"/>
      <c r="NMU193" s="301"/>
      <c r="NMV193" s="302"/>
      <c r="NMW193" s="309"/>
      <c r="NMX193" s="329"/>
      <c r="NMY193" s="311"/>
      <c r="NMZ193" s="312"/>
      <c r="NNA193" s="326"/>
      <c r="NNB193" s="332"/>
      <c r="NNC193" s="321"/>
      <c r="NND193" s="321"/>
      <c r="NNE193" s="331"/>
      <c r="NNF193" s="308"/>
      <c r="NNG193" s="301"/>
      <c r="NNH193" s="301"/>
      <c r="NNI193" s="302"/>
      <c r="NNJ193" s="309"/>
      <c r="NNK193" s="329"/>
      <c r="NNL193" s="311"/>
      <c r="NNM193" s="312"/>
      <c r="NNN193" s="326"/>
      <c r="NNO193" s="332"/>
      <c r="NNP193" s="321"/>
      <c r="NNQ193" s="321"/>
      <c r="NNR193" s="331"/>
      <c r="NNS193" s="308"/>
      <c r="NNT193" s="301"/>
      <c r="NNU193" s="301"/>
      <c r="NNV193" s="302"/>
      <c r="NNW193" s="309"/>
      <c r="NNX193" s="329"/>
      <c r="NNY193" s="311"/>
      <c r="NNZ193" s="312"/>
      <c r="NOA193" s="326"/>
      <c r="NOB193" s="332"/>
      <c r="NOC193" s="321"/>
      <c r="NOD193" s="321"/>
      <c r="NOE193" s="331"/>
      <c r="NOF193" s="308"/>
      <c r="NOG193" s="301"/>
      <c r="NOH193" s="301"/>
      <c r="NOI193" s="302"/>
      <c r="NOJ193" s="309"/>
      <c r="NOK193" s="329"/>
      <c r="NOL193" s="311"/>
      <c r="NOM193" s="312"/>
      <c r="NON193" s="326"/>
      <c r="NOO193" s="332"/>
      <c r="NOP193" s="321"/>
      <c r="NOQ193" s="321"/>
      <c r="NOR193" s="331"/>
      <c r="NOS193" s="308"/>
      <c r="NOT193" s="301"/>
      <c r="NOU193" s="301"/>
      <c r="NOV193" s="302"/>
      <c r="NOW193" s="309"/>
      <c r="NOX193" s="329"/>
      <c r="NOY193" s="311"/>
      <c r="NOZ193" s="312"/>
      <c r="NPA193" s="326"/>
      <c r="NPB193" s="332"/>
      <c r="NPC193" s="321"/>
      <c r="NPD193" s="321"/>
      <c r="NPE193" s="331"/>
      <c r="NPF193" s="308"/>
      <c r="NPG193" s="301"/>
      <c r="NPH193" s="301"/>
      <c r="NPI193" s="302"/>
      <c r="NPJ193" s="309"/>
      <c r="NPK193" s="329"/>
      <c r="NPL193" s="311"/>
      <c r="NPM193" s="312"/>
      <c r="NPN193" s="326"/>
      <c r="NPO193" s="332"/>
      <c r="NPP193" s="321"/>
      <c r="NPQ193" s="321"/>
      <c r="NPR193" s="331"/>
      <c r="NPS193" s="308"/>
      <c r="NPT193" s="301"/>
      <c r="NPU193" s="301"/>
      <c r="NPV193" s="302"/>
      <c r="NPW193" s="309"/>
      <c r="NPX193" s="329"/>
      <c r="NPY193" s="311"/>
      <c r="NPZ193" s="312"/>
      <c r="NQA193" s="326"/>
      <c r="NQB193" s="332"/>
      <c r="NQC193" s="321"/>
      <c r="NQD193" s="321"/>
      <c r="NQE193" s="331"/>
      <c r="NQF193" s="308"/>
      <c r="NQG193" s="301"/>
      <c r="NQH193" s="301"/>
      <c r="NQI193" s="302"/>
      <c r="NQJ193" s="309"/>
      <c r="NQK193" s="329"/>
      <c r="NQL193" s="311"/>
      <c r="NQM193" s="312"/>
      <c r="NQN193" s="326"/>
      <c r="NQO193" s="332"/>
      <c r="NQP193" s="321"/>
      <c r="NQQ193" s="321"/>
      <c r="NQR193" s="331"/>
      <c r="NQS193" s="308"/>
      <c r="NQT193" s="301"/>
      <c r="NQU193" s="301"/>
      <c r="NQV193" s="302"/>
      <c r="NQW193" s="309"/>
      <c r="NQX193" s="329"/>
      <c r="NQY193" s="311"/>
      <c r="NQZ193" s="312"/>
      <c r="NRA193" s="326"/>
      <c r="NRB193" s="332"/>
      <c r="NRC193" s="321"/>
      <c r="NRD193" s="321"/>
      <c r="NRE193" s="331"/>
      <c r="NRF193" s="308"/>
      <c r="NRG193" s="301"/>
      <c r="NRH193" s="301"/>
      <c r="NRI193" s="302"/>
      <c r="NRJ193" s="309"/>
      <c r="NRK193" s="329"/>
      <c r="NRL193" s="311"/>
      <c r="NRM193" s="312"/>
      <c r="NRN193" s="326"/>
      <c r="NRO193" s="332"/>
      <c r="NRP193" s="321"/>
      <c r="NRQ193" s="321"/>
      <c r="NRR193" s="331"/>
      <c r="NRS193" s="308"/>
      <c r="NRT193" s="301"/>
      <c r="NRU193" s="301"/>
      <c r="NRV193" s="302"/>
      <c r="NRW193" s="309"/>
      <c r="NRX193" s="329"/>
      <c r="NRY193" s="311"/>
      <c r="NRZ193" s="312"/>
      <c r="NSA193" s="326"/>
      <c r="NSB193" s="332"/>
      <c r="NSC193" s="321"/>
      <c r="NSD193" s="321"/>
      <c r="NSE193" s="331"/>
      <c r="NSF193" s="308"/>
      <c r="NSG193" s="301"/>
      <c r="NSH193" s="301"/>
      <c r="NSI193" s="302"/>
      <c r="NSJ193" s="309"/>
      <c r="NSK193" s="329"/>
      <c r="NSL193" s="311"/>
      <c r="NSM193" s="312"/>
      <c r="NSN193" s="326"/>
      <c r="NSO193" s="332"/>
      <c r="NSP193" s="321"/>
      <c r="NSQ193" s="321"/>
      <c r="NSR193" s="331"/>
      <c r="NSS193" s="308"/>
      <c r="NST193" s="301"/>
      <c r="NSU193" s="301"/>
      <c r="NSV193" s="302"/>
      <c r="NSW193" s="309"/>
      <c r="NSX193" s="329"/>
      <c r="NSY193" s="311"/>
      <c r="NSZ193" s="312"/>
      <c r="NTA193" s="326"/>
      <c r="NTB193" s="332"/>
      <c r="NTC193" s="321"/>
      <c r="NTD193" s="321"/>
      <c r="NTE193" s="331"/>
      <c r="NTF193" s="308"/>
      <c r="NTG193" s="301"/>
      <c r="NTH193" s="301"/>
      <c r="NTI193" s="302"/>
      <c r="NTJ193" s="309"/>
      <c r="NTK193" s="329"/>
      <c r="NTL193" s="311"/>
      <c r="NTM193" s="312"/>
      <c r="NTN193" s="326"/>
      <c r="NTO193" s="332"/>
      <c r="NTP193" s="321"/>
      <c r="NTQ193" s="321"/>
      <c r="NTR193" s="331"/>
      <c r="NTS193" s="308"/>
      <c r="NTT193" s="301"/>
      <c r="NTU193" s="301"/>
      <c r="NTV193" s="302"/>
      <c r="NTW193" s="309"/>
      <c r="NTX193" s="329"/>
      <c r="NTY193" s="311"/>
      <c r="NTZ193" s="312"/>
      <c r="NUA193" s="326"/>
      <c r="NUB193" s="332"/>
      <c r="NUC193" s="321"/>
      <c r="NUD193" s="321"/>
      <c r="NUE193" s="331"/>
      <c r="NUF193" s="308"/>
      <c r="NUG193" s="301"/>
      <c r="NUH193" s="301"/>
      <c r="NUI193" s="302"/>
      <c r="NUJ193" s="309"/>
      <c r="NUK193" s="329"/>
      <c r="NUL193" s="311"/>
      <c r="NUM193" s="312"/>
      <c r="NUN193" s="326"/>
      <c r="NUO193" s="332"/>
      <c r="NUP193" s="321"/>
      <c r="NUQ193" s="321"/>
      <c r="NUR193" s="331"/>
      <c r="NUS193" s="308"/>
      <c r="NUT193" s="301"/>
      <c r="NUU193" s="301"/>
      <c r="NUV193" s="302"/>
      <c r="NUW193" s="309"/>
      <c r="NUX193" s="329"/>
      <c r="NUY193" s="311"/>
      <c r="NUZ193" s="312"/>
      <c r="NVA193" s="326"/>
      <c r="NVB193" s="332"/>
      <c r="NVC193" s="321"/>
      <c r="NVD193" s="321"/>
      <c r="NVE193" s="331"/>
      <c r="NVF193" s="308"/>
      <c r="NVG193" s="301"/>
      <c r="NVH193" s="301"/>
      <c r="NVI193" s="302"/>
      <c r="NVJ193" s="309"/>
      <c r="NVK193" s="329"/>
      <c r="NVL193" s="311"/>
      <c r="NVM193" s="312"/>
      <c r="NVN193" s="326"/>
      <c r="NVO193" s="332"/>
      <c r="NVP193" s="321"/>
      <c r="NVQ193" s="321"/>
      <c r="NVR193" s="331"/>
      <c r="NVS193" s="308"/>
      <c r="NVT193" s="301"/>
      <c r="NVU193" s="301"/>
      <c r="NVV193" s="302"/>
      <c r="NVW193" s="309"/>
      <c r="NVX193" s="329"/>
      <c r="NVY193" s="311"/>
      <c r="NVZ193" s="312"/>
      <c r="NWA193" s="326"/>
      <c r="NWB193" s="332"/>
      <c r="NWC193" s="321"/>
      <c r="NWD193" s="321"/>
      <c r="NWE193" s="331"/>
      <c r="NWF193" s="308"/>
      <c r="NWG193" s="301"/>
      <c r="NWH193" s="301"/>
      <c r="NWI193" s="302"/>
      <c r="NWJ193" s="309"/>
      <c r="NWK193" s="329"/>
      <c r="NWL193" s="311"/>
      <c r="NWM193" s="312"/>
      <c r="NWN193" s="326"/>
      <c r="NWO193" s="332"/>
      <c r="NWP193" s="321"/>
      <c r="NWQ193" s="321"/>
      <c r="NWR193" s="331"/>
      <c r="NWS193" s="308"/>
      <c r="NWT193" s="301"/>
      <c r="NWU193" s="301"/>
      <c r="NWV193" s="302"/>
      <c r="NWW193" s="309"/>
      <c r="NWX193" s="329"/>
      <c r="NWY193" s="311"/>
      <c r="NWZ193" s="312"/>
      <c r="NXA193" s="326"/>
      <c r="NXB193" s="332"/>
      <c r="NXC193" s="321"/>
      <c r="NXD193" s="321"/>
      <c r="NXE193" s="331"/>
      <c r="NXF193" s="308"/>
      <c r="NXG193" s="301"/>
      <c r="NXH193" s="301"/>
      <c r="NXI193" s="302"/>
      <c r="NXJ193" s="309"/>
      <c r="NXK193" s="329"/>
      <c r="NXL193" s="311"/>
      <c r="NXM193" s="312"/>
      <c r="NXN193" s="326"/>
      <c r="NXO193" s="332"/>
      <c r="NXP193" s="321"/>
      <c r="NXQ193" s="321"/>
      <c r="NXR193" s="331"/>
      <c r="NXS193" s="308"/>
      <c r="NXT193" s="301"/>
      <c r="NXU193" s="301"/>
      <c r="NXV193" s="302"/>
      <c r="NXW193" s="309"/>
      <c r="NXX193" s="329"/>
      <c r="NXY193" s="311"/>
      <c r="NXZ193" s="312"/>
      <c r="NYA193" s="326"/>
      <c r="NYB193" s="332"/>
      <c r="NYC193" s="321"/>
      <c r="NYD193" s="321"/>
      <c r="NYE193" s="331"/>
      <c r="NYF193" s="308"/>
      <c r="NYG193" s="301"/>
      <c r="NYH193" s="301"/>
      <c r="NYI193" s="302"/>
      <c r="NYJ193" s="309"/>
      <c r="NYK193" s="329"/>
      <c r="NYL193" s="311"/>
      <c r="NYM193" s="312"/>
      <c r="NYN193" s="326"/>
      <c r="NYO193" s="332"/>
      <c r="NYP193" s="321"/>
      <c r="NYQ193" s="321"/>
      <c r="NYR193" s="331"/>
      <c r="NYS193" s="308"/>
      <c r="NYT193" s="301"/>
      <c r="NYU193" s="301"/>
      <c r="NYV193" s="302"/>
      <c r="NYW193" s="309"/>
      <c r="NYX193" s="329"/>
      <c r="NYY193" s="311"/>
      <c r="NYZ193" s="312"/>
      <c r="NZA193" s="326"/>
      <c r="NZB193" s="332"/>
      <c r="NZC193" s="321"/>
      <c r="NZD193" s="321"/>
      <c r="NZE193" s="331"/>
      <c r="NZF193" s="308"/>
      <c r="NZG193" s="301"/>
      <c r="NZH193" s="301"/>
      <c r="NZI193" s="302"/>
      <c r="NZJ193" s="309"/>
      <c r="NZK193" s="329"/>
      <c r="NZL193" s="311"/>
      <c r="NZM193" s="312"/>
      <c r="NZN193" s="326"/>
      <c r="NZO193" s="332"/>
      <c r="NZP193" s="321"/>
      <c r="NZQ193" s="321"/>
      <c r="NZR193" s="331"/>
      <c r="NZS193" s="308"/>
      <c r="NZT193" s="301"/>
      <c r="NZU193" s="301"/>
      <c r="NZV193" s="302"/>
      <c r="NZW193" s="309"/>
      <c r="NZX193" s="329"/>
      <c r="NZY193" s="311"/>
      <c r="NZZ193" s="312"/>
      <c r="OAA193" s="326"/>
      <c r="OAB193" s="332"/>
      <c r="OAC193" s="321"/>
      <c r="OAD193" s="321"/>
      <c r="OAE193" s="331"/>
      <c r="OAF193" s="308"/>
      <c r="OAG193" s="301"/>
      <c r="OAH193" s="301"/>
      <c r="OAI193" s="302"/>
      <c r="OAJ193" s="309"/>
      <c r="OAK193" s="329"/>
      <c r="OAL193" s="311"/>
      <c r="OAM193" s="312"/>
      <c r="OAN193" s="326"/>
      <c r="OAO193" s="332"/>
      <c r="OAP193" s="321"/>
      <c r="OAQ193" s="321"/>
      <c r="OAR193" s="331"/>
      <c r="OAS193" s="308"/>
      <c r="OAT193" s="301"/>
      <c r="OAU193" s="301"/>
      <c r="OAV193" s="302"/>
      <c r="OAW193" s="309"/>
      <c r="OAX193" s="329"/>
      <c r="OAY193" s="311"/>
      <c r="OAZ193" s="312"/>
      <c r="OBA193" s="326"/>
      <c r="OBB193" s="332"/>
      <c r="OBC193" s="321"/>
      <c r="OBD193" s="321"/>
      <c r="OBE193" s="331"/>
      <c r="OBF193" s="308"/>
      <c r="OBG193" s="301"/>
      <c r="OBH193" s="301"/>
      <c r="OBI193" s="302"/>
      <c r="OBJ193" s="309"/>
      <c r="OBK193" s="329"/>
      <c r="OBL193" s="311"/>
      <c r="OBM193" s="312"/>
      <c r="OBN193" s="326"/>
      <c r="OBO193" s="332"/>
      <c r="OBP193" s="321"/>
      <c r="OBQ193" s="321"/>
      <c r="OBR193" s="331"/>
      <c r="OBS193" s="308"/>
      <c r="OBT193" s="301"/>
      <c r="OBU193" s="301"/>
      <c r="OBV193" s="302"/>
      <c r="OBW193" s="309"/>
      <c r="OBX193" s="329"/>
      <c r="OBY193" s="311"/>
      <c r="OBZ193" s="312"/>
      <c r="OCA193" s="326"/>
      <c r="OCB193" s="332"/>
      <c r="OCC193" s="321"/>
      <c r="OCD193" s="321"/>
      <c r="OCE193" s="331"/>
      <c r="OCF193" s="308"/>
      <c r="OCG193" s="301"/>
      <c r="OCH193" s="301"/>
      <c r="OCI193" s="302"/>
      <c r="OCJ193" s="309"/>
      <c r="OCK193" s="329"/>
      <c r="OCL193" s="311"/>
      <c r="OCM193" s="312"/>
      <c r="OCN193" s="326"/>
      <c r="OCO193" s="332"/>
      <c r="OCP193" s="321"/>
      <c r="OCQ193" s="321"/>
      <c r="OCR193" s="331"/>
      <c r="OCS193" s="308"/>
      <c r="OCT193" s="301"/>
      <c r="OCU193" s="301"/>
      <c r="OCV193" s="302"/>
      <c r="OCW193" s="309"/>
      <c r="OCX193" s="329"/>
      <c r="OCY193" s="311"/>
      <c r="OCZ193" s="312"/>
      <c r="ODA193" s="326"/>
      <c r="ODB193" s="332"/>
      <c r="ODC193" s="321"/>
      <c r="ODD193" s="321"/>
      <c r="ODE193" s="331"/>
      <c r="ODF193" s="308"/>
      <c r="ODG193" s="301"/>
      <c r="ODH193" s="301"/>
      <c r="ODI193" s="302"/>
      <c r="ODJ193" s="309"/>
      <c r="ODK193" s="329"/>
      <c r="ODL193" s="311"/>
      <c r="ODM193" s="312"/>
      <c r="ODN193" s="326"/>
      <c r="ODO193" s="332"/>
      <c r="ODP193" s="321"/>
      <c r="ODQ193" s="321"/>
      <c r="ODR193" s="331"/>
      <c r="ODS193" s="308"/>
      <c r="ODT193" s="301"/>
      <c r="ODU193" s="301"/>
      <c r="ODV193" s="302"/>
      <c r="ODW193" s="309"/>
      <c r="ODX193" s="329"/>
      <c r="ODY193" s="311"/>
      <c r="ODZ193" s="312"/>
      <c r="OEA193" s="326"/>
      <c r="OEB193" s="332"/>
      <c r="OEC193" s="321"/>
      <c r="OED193" s="321"/>
      <c r="OEE193" s="331"/>
      <c r="OEF193" s="308"/>
      <c r="OEG193" s="301"/>
      <c r="OEH193" s="301"/>
      <c r="OEI193" s="302"/>
      <c r="OEJ193" s="309"/>
      <c r="OEK193" s="329"/>
      <c r="OEL193" s="311"/>
      <c r="OEM193" s="312"/>
      <c r="OEN193" s="326"/>
      <c r="OEO193" s="332"/>
      <c r="OEP193" s="321"/>
      <c r="OEQ193" s="321"/>
      <c r="OER193" s="331"/>
      <c r="OES193" s="308"/>
      <c r="OET193" s="301"/>
      <c r="OEU193" s="301"/>
      <c r="OEV193" s="302"/>
      <c r="OEW193" s="309"/>
      <c r="OEX193" s="329"/>
      <c r="OEY193" s="311"/>
      <c r="OEZ193" s="312"/>
      <c r="OFA193" s="326"/>
      <c r="OFB193" s="332"/>
      <c r="OFC193" s="321"/>
      <c r="OFD193" s="321"/>
      <c r="OFE193" s="331"/>
      <c r="OFF193" s="308"/>
      <c r="OFG193" s="301"/>
      <c r="OFH193" s="301"/>
      <c r="OFI193" s="302"/>
      <c r="OFJ193" s="309"/>
      <c r="OFK193" s="329"/>
      <c r="OFL193" s="311"/>
      <c r="OFM193" s="312"/>
      <c r="OFN193" s="326"/>
      <c r="OFO193" s="332"/>
      <c r="OFP193" s="321"/>
      <c r="OFQ193" s="321"/>
      <c r="OFR193" s="331"/>
      <c r="OFS193" s="308"/>
      <c r="OFT193" s="301"/>
      <c r="OFU193" s="301"/>
      <c r="OFV193" s="302"/>
      <c r="OFW193" s="309"/>
      <c r="OFX193" s="329"/>
      <c r="OFY193" s="311"/>
      <c r="OFZ193" s="312"/>
      <c r="OGA193" s="326"/>
      <c r="OGB193" s="332"/>
      <c r="OGC193" s="321"/>
      <c r="OGD193" s="321"/>
      <c r="OGE193" s="331"/>
      <c r="OGF193" s="308"/>
      <c r="OGG193" s="301"/>
      <c r="OGH193" s="301"/>
      <c r="OGI193" s="302"/>
      <c r="OGJ193" s="309"/>
      <c r="OGK193" s="329"/>
      <c r="OGL193" s="311"/>
      <c r="OGM193" s="312"/>
      <c r="OGN193" s="326"/>
      <c r="OGO193" s="332"/>
      <c r="OGP193" s="321"/>
      <c r="OGQ193" s="321"/>
      <c r="OGR193" s="331"/>
      <c r="OGS193" s="308"/>
      <c r="OGT193" s="301"/>
      <c r="OGU193" s="301"/>
      <c r="OGV193" s="302"/>
      <c r="OGW193" s="309"/>
      <c r="OGX193" s="329"/>
      <c r="OGY193" s="311"/>
      <c r="OGZ193" s="312"/>
      <c r="OHA193" s="326"/>
      <c r="OHB193" s="332"/>
      <c r="OHC193" s="321"/>
      <c r="OHD193" s="321"/>
      <c r="OHE193" s="331"/>
      <c r="OHF193" s="308"/>
      <c r="OHG193" s="301"/>
      <c r="OHH193" s="301"/>
      <c r="OHI193" s="302"/>
      <c r="OHJ193" s="309"/>
      <c r="OHK193" s="329"/>
      <c r="OHL193" s="311"/>
      <c r="OHM193" s="312"/>
      <c r="OHN193" s="326"/>
      <c r="OHO193" s="332"/>
      <c r="OHP193" s="321"/>
      <c r="OHQ193" s="321"/>
      <c r="OHR193" s="331"/>
      <c r="OHS193" s="308"/>
      <c r="OHT193" s="301"/>
      <c r="OHU193" s="301"/>
      <c r="OHV193" s="302"/>
      <c r="OHW193" s="309"/>
      <c r="OHX193" s="329"/>
      <c r="OHY193" s="311"/>
      <c r="OHZ193" s="312"/>
      <c r="OIA193" s="326"/>
      <c r="OIB193" s="332"/>
      <c r="OIC193" s="321"/>
      <c r="OID193" s="321"/>
      <c r="OIE193" s="331"/>
      <c r="OIF193" s="308"/>
      <c r="OIG193" s="301"/>
      <c r="OIH193" s="301"/>
      <c r="OII193" s="302"/>
      <c r="OIJ193" s="309"/>
      <c r="OIK193" s="329"/>
      <c r="OIL193" s="311"/>
      <c r="OIM193" s="312"/>
      <c r="OIN193" s="326"/>
      <c r="OIO193" s="332"/>
      <c r="OIP193" s="321"/>
      <c r="OIQ193" s="321"/>
      <c r="OIR193" s="331"/>
      <c r="OIS193" s="308"/>
      <c r="OIT193" s="301"/>
      <c r="OIU193" s="301"/>
      <c r="OIV193" s="302"/>
      <c r="OIW193" s="309"/>
      <c r="OIX193" s="329"/>
      <c r="OIY193" s="311"/>
      <c r="OIZ193" s="312"/>
      <c r="OJA193" s="326"/>
      <c r="OJB193" s="332"/>
      <c r="OJC193" s="321"/>
      <c r="OJD193" s="321"/>
      <c r="OJE193" s="331"/>
      <c r="OJF193" s="308"/>
      <c r="OJG193" s="301"/>
      <c r="OJH193" s="301"/>
      <c r="OJI193" s="302"/>
      <c r="OJJ193" s="309"/>
      <c r="OJK193" s="329"/>
      <c r="OJL193" s="311"/>
      <c r="OJM193" s="312"/>
      <c r="OJN193" s="326"/>
      <c r="OJO193" s="332"/>
      <c r="OJP193" s="321"/>
      <c r="OJQ193" s="321"/>
      <c r="OJR193" s="331"/>
      <c r="OJS193" s="308"/>
      <c r="OJT193" s="301"/>
      <c r="OJU193" s="301"/>
      <c r="OJV193" s="302"/>
      <c r="OJW193" s="309"/>
      <c r="OJX193" s="329"/>
      <c r="OJY193" s="311"/>
      <c r="OJZ193" s="312"/>
      <c r="OKA193" s="326"/>
      <c r="OKB193" s="332"/>
      <c r="OKC193" s="321"/>
      <c r="OKD193" s="321"/>
      <c r="OKE193" s="331"/>
      <c r="OKF193" s="308"/>
      <c r="OKG193" s="301"/>
      <c r="OKH193" s="301"/>
      <c r="OKI193" s="302"/>
      <c r="OKJ193" s="309"/>
      <c r="OKK193" s="329"/>
      <c r="OKL193" s="311"/>
      <c r="OKM193" s="312"/>
      <c r="OKN193" s="326"/>
      <c r="OKO193" s="332"/>
      <c r="OKP193" s="321"/>
      <c r="OKQ193" s="321"/>
      <c r="OKR193" s="331"/>
      <c r="OKS193" s="308"/>
      <c r="OKT193" s="301"/>
      <c r="OKU193" s="301"/>
      <c r="OKV193" s="302"/>
      <c r="OKW193" s="309"/>
      <c r="OKX193" s="329"/>
      <c r="OKY193" s="311"/>
      <c r="OKZ193" s="312"/>
      <c r="OLA193" s="326"/>
      <c r="OLB193" s="332"/>
      <c r="OLC193" s="321"/>
      <c r="OLD193" s="321"/>
      <c r="OLE193" s="331"/>
      <c r="OLF193" s="308"/>
      <c r="OLG193" s="301"/>
      <c r="OLH193" s="301"/>
      <c r="OLI193" s="302"/>
      <c r="OLJ193" s="309"/>
      <c r="OLK193" s="329"/>
      <c r="OLL193" s="311"/>
      <c r="OLM193" s="312"/>
      <c r="OLN193" s="326"/>
      <c r="OLO193" s="332"/>
      <c r="OLP193" s="321"/>
      <c r="OLQ193" s="321"/>
      <c r="OLR193" s="331"/>
      <c r="OLS193" s="308"/>
      <c r="OLT193" s="301"/>
      <c r="OLU193" s="301"/>
      <c r="OLV193" s="302"/>
      <c r="OLW193" s="309"/>
      <c r="OLX193" s="329"/>
      <c r="OLY193" s="311"/>
      <c r="OLZ193" s="312"/>
      <c r="OMA193" s="326"/>
      <c r="OMB193" s="332"/>
      <c r="OMC193" s="321"/>
      <c r="OMD193" s="321"/>
      <c r="OME193" s="331"/>
      <c r="OMF193" s="308"/>
      <c r="OMG193" s="301"/>
      <c r="OMH193" s="301"/>
      <c r="OMI193" s="302"/>
      <c r="OMJ193" s="309"/>
      <c r="OMK193" s="329"/>
      <c r="OML193" s="311"/>
      <c r="OMM193" s="312"/>
      <c r="OMN193" s="326"/>
      <c r="OMO193" s="332"/>
      <c r="OMP193" s="321"/>
      <c r="OMQ193" s="321"/>
      <c r="OMR193" s="331"/>
      <c r="OMS193" s="308"/>
      <c r="OMT193" s="301"/>
      <c r="OMU193" s="301"/>
      <c r="OMV193" s="302"/>
      <c r="OMW193" s="309"/>
      <c r="OMX193" s="329"/>
      <c r="OMY193" s="311"/>
      <c r="OMZ193" s="312"/>
      <c r="ONA193" s="326"/>
      <c r="ONB193" s="332"/>
      <c r="ONC193" s="321"/>
      <c r="OND193" s="321"/>
      <c r="ONE193" s="331"/>
      <c r="ONF193" s="308"/>
      <c r="ONG193" s="301"/>
      <c r="ONH193" s="301"/>
      <c r="ONI193" s="302"/>
      <c r="ONJ193" s="309"/>
      <c r="ONK193" s="329"/>
      <c r="ONL193" s="311"/>
      <c r="ONM193" s="312"/>
      <c r="ONN193" s="326"/>
      <c r="ONO193" s="332"/>
      <c r="ONP193" s="321"/>
      <c r="ONQ193" s="321"/>
      <c r="ONR193" s="331"/>
      <c r="ONS193" s="308"/>
      <c r="ONT193" s="301"/>
      <c r="ONU193" s="301"/>
      <c r="ONV193" s="302"/>
      <c r="ONW193" s="309"/>
      <c r="ONX193" s="329"/>
      <c r="ONY193" s="311"/>
      <c r="ONZ193" s="312"/>
      <c r="OOA193" s="326"/>
      <c r="OOB193" s="332"/>
      <c r="OOC193" s="321"/>
      <c r="OOD193" s="321"/>
      <c r="OOE193" s="331"/>
      <c r="OOF193" s="308"/>
      <c r="OOG193" s="301"/>
      <c r="OOH193" s="301"/>
      <c r="OOI193" s="302"/>
      <c r="OOJ193" s="309"/>
      <c r="OOK193" s="329"/>
      <c r="OOL193" s="311"/>
      <c r="OOM193" s="312"/>
      <c r="OON193" s="326"/>
      <c r="OOO193" s="332"/>
      <c r="OOP193" s="321"/>
      <c r="OOQ193" s="321"/>
      <c r="OOR193" s="331"/>
      <c r="OOS193" s="308"/>
      <c r="OOT193" s="301"/>
      <c r="OOU193" s="301"/>
      <c r="OOV193" s="302"/>
      <c r="OOW193" s="309"/>
      <c r="OOX193" s="329"/>
      <c r="OOY193" s="311"/>
      <c r="OOZ193" s="312"/>
      <c r="OPA193" s="326"/>
      <c r="OPB193" s="332"/>
      <c r="OPC193" s="321"/>
      <c r="OPD193" s="321"/>
      <c r="OPE193" s="331"/>
      <c r="OPF193" s="308"/>
      <c r="OPG193" s="301"/>
      <c r="OPH193" s="301"/>
      <c r="OPI193" s="302"/>
      <c r="OPJ193" s="309"/>
      <c r="OPK193" s="329"/>
      <c r="OPL193" s="311"/>
      <c r="OPM193" s="312"/>
      <c r="OPN193" s="326"/>
      <c r="OPO193" s="332"/>
      <c r="OPP193" s="321"/>
      <c r="OPQ193" s="321"/>
      <c r="OPR193" s="331"/>
      <c r="OPS193" s="308"/>
      <c r="OPT193" s="301"/>
      <c r="OPU193" s="301"/>
      <c r="OPV193" s="302"/>
      <c r="OPW193" s="309"/>
      <c r="OPX193" s="329"/>
      <c r="OPY193" s="311"/>
      <c r="OPZ193" s="312"/>
      <c r="OQA193" s="326"/>
      <c r="OQB193" s="332"/>
      <c r="OQC193" s="321"/>
      <c r="OQD193" s="321"/>
      <c r="OQE193" s="331"/>
      <c r="OQF193" s="308"/>
      <c r="OQG193" s="301"/>
      <c r="OQH193" s="301"/>
      <c r="OQI193" s="302"/>
      <c r="OQJ193" s="309"/>
      <c r="OQK193" s="329"/>
      <c r="OQL193" s="311"/>
      <c r="OQM193" s="312"/>
      <c r="OQN193" s="326"/>
      <c r="OQO193" s="332"/>
      <c r="OQP193" s="321"/>
      <c r="OQQ193" s="321"/>
      <c r="OQR193" s="331"/>
      <c r="OQS193" s="308"/>
      <c r="OQT193" s="301"/>
      <c r="OQU193" s="301"/>
      <c r="OQV193" s="302"/>
      <c r="OQW193" s="309"/>
      <c r="OQX193" s="329"/>
      <c r="OQY193" s="311"/>
      <c r="OQZ193" s="312"/>
      <c r="ORA193" s="326"/>
      <c r="ORB193" s="332"/>
      <c r="ORC193" s="321"/>
      <c r="ORD193" s="321"/>
      <c r="ORE193" s="331"/>
      <c r="ORF193" s="308"/>
      <c r="ORG193" s="301"/>
      <c r="ORH193" s="301"/>
      <c r="ORI193" s="302"/>
      <c r="ORJ193" s="309"/>
      <c r="ORK193" s="329"/>
      <c r="ORL193" s="311"/>
      <c r="ORM193" s="312"/>
      <c r="ORN193" s="326"/>
      <c r="ORO193" s="332"/>
      <c r="ORP193" s="321"/>
      <c r="ORQ193" s="321"/>
      <c r="ORR193" s="331"/>
      <c r="ORS193" s="308"/>
      <c r="ORT193" s="301"/>
      <c r="ORU193" s="301"/>
      <c r="ORV193" s="302"/>
      <c r="ORW193" s="309"/>
      <c r="ORX193" s="329"/>
      <c r="ORY193" s="311"/>
      <c r="ORZ193" s="312"/>
      <c r="OSA193" s="326"/>
      <c r="OSB193" s="332"/>
      <c r="OSC193" s="321"/>
      <c r="OSD193" s="321"/>
      <c r="OSE193" s="331"/>
      <c r="OSF193" s="308"/>
      <c r="OSG193" s="301"/>
      <c r="OSH193" s="301"/>
      <c r="OSI193" s="302"/>
      <c r="OSJ193" s="309"/>
      <c r="OSK193" s="329"/>
      <c r="OSL193" s="311"/>
      <c r="OSM193" s="312"/>
      <c r="OSN193" s="326"/>
      <c r="OSO193" s="332"/>
      <c r="OSP193" s="321"/>
      <c r="OSQ193" s="321"/>
      <c r="OSR193" s="331"/>
      <c r="OSS193" s="308"/>
      <c r="OST193" s="301"/>
      <c r="OSU193" s="301"/>
      <c r="OSV193" s="302"/>
      <c r="OSW193" s="309"/>
      <c r="OSX193" s="329"/>
      <c r="OSY193" s="311"/>
      <c r="OSZ193" s="312"/>
      <c r="OTA193" s="326"/>
      <c r="OTB193" s="332"/>
      <c r="OTC193" s="321"/>
      <c r="OTD193" s="321"/>
      <c r="OTE193" s="331"/>
      <c r="OTF193" s="308"/>
      <c r="OTG193" s="301"/>
      <c r="OTH193" s="301"/>
      <c r="OTI193" s="302"/>
      <c r="OTJ193" s="309"/>
      <c r="OTK193" s="329"/>
      <c r="OTL193" s="311"/>
      <c r="OTM193" s="312"/>
      <c r="OTN193" s="326"/>
      <c r="OTO193" s="332"/>
      <c r="OTP193" s="321"/>
      <c r="OTQ193" s="321"/>
      <c r="OTR193" s="331"/>
      <c r="OTS193" s="308"/>
      <c r="OTT193" s="301"/>
      <c r="OTU193" s="301"/>
      <c r="OTV193" s="302"/>
      <c r="OTW193" s="309"/>
      <c r="OTX193" s="329"/>
      <c r="OTY193" s="311"/>
      <c r="OTZ193" s="312"/>
      <c r="OUA193" s="326"/>
      <c r="OUB193" s="332"/>
      <c r="OUC193" s="321"/>
      <c r="OUD193" s="321"/>
      <c r="OUE193" s="331"/>
      <c r="OUF193" s="308"/>
      <c r="OUG193" s="301"/>
      <c r="OUH193" s="301"/>
      <c r="OUI193" s="302"/>
      <c r="OUJ193" s="309"/>
      <c r="OUK193" s="329"/>
      <c r="OUL193" s="311"/>
      <c r="OUM193" s="312"/>
      <c r="OUN193" s="326"/>
      <c r="OUO193" s="332"/>
      <c r="OUP193" s="321"/>
      <c r="OUQ193" s="321"/>
      <c r="OUR193" s="331"/>
      <c r="OUS193" s="308"/>
      <c r="OUT193" s="301"/>
      <c r="OUU193" s="301"/>
      <c r="OUV193" s="302"/>
      <c r="OUW193" s="309"/>
      <c r="OUX193" s="329"/>
      <c r="OUY193" s="311"/>
      <c r="OUZ193" s="312"/>
      <c r="OVA193" s="326"/>
      <c r="OVB193" s="332"/>
      <c r="OVC193" s="321"/>
      <c r="OVD193" s="321"/>
      <c r="OVE193" s="331"/>
      <c r="OVF193" s="308"/>
      <c r="OVG193" s="301"/>
      <c r="OVH193" s="301"/>
      <c r="OVI193" s="302"/>
      <c r="OVJ193" s="309"/>
      <c r="OVK193" s="329"/>
      <c r="OVL193" s="311"/>
      <c r="OVM193" s="312"/>
      <c r="OVN193" s="326"/>
      <c r="OVO193" s="332"/>
      <c r="OVP193" s="321"/>
      <c r="OVQ193" s="321"/>
      <c r="OVR193" s="331"/>
      <c r="OVS193" s="308"/>
      <c r="OVT193" s="301"/>
      <c r="OVU193" s="301"/>
      <c r="OVV193" s="302"/>
      <c r="OVW193" s="309"/>
      <c r="OVX193" s="329"/>
      <c r="OVY193" s="311"/>
      <c r="OVZ193" s="312"/>
      <c r="OWA193" s="326"/>
      <c r="OWB193" s="332"/>
      <c r="OWC193" s="321"/>
      <c r="OWD193" s="321"/>
      <c r="OWE193" s="331"/>
      <c r="OWF193" s="308"/>
      <c r="OWG193" s="301"/>
      <c r="OWH193" s="301"/>
      <c r="OWI193" s="302"/>
      <c r="OWJ193" s="309"/>
      <c r="OWK193" s="329"/>
      <c r="OWL193" s="311"/>
      <c r="OWM193" s="312"/>
      <c r="OWN193" s="326"/>
      <c r="OWO193" s="332"/>
      <c r="OWP193" s="321"/>
      <c r="OWQ193" s="321"/>
      <c r="OWR193" s="331"/>
      <c r="OWS193" s="308"/>
      <c r="OWT193" s="301"/>
      <c r="OWU193" s="301"/>
      <c r="OWV193" s="302"/>
      <c r="OWW193" s="309"/>
      <c r="OWX193" s="329"/>
      <c r="OWY193" s="311"/>
      <c r="OWZ193" s="312"/>
      <c r="OXA193" s="326"/>
      <c r="OXB193" s="332"/>
      <c r="OXC193" s="321"/>
      <c r="OXD193" s="321"/>
      <c r="OXE193" s="331"/>
      <c r="OXF193" s="308"/>
      <c r="OXG193" s="301"/>
      <c r="OXH193" s="301"/>
      <c r="OXI193" s="302"/>
      <c r="OXJ193" s="309"/>
      <c r="OXK193" s="329"/>
      <c r="OXL193" s="311"/>
      <c r="OXM193" s="312"/>
      <c r="OXN193" s="326"/>
      <c r="OXO193" s="332"/>
      <c r="OXP193" s="321"/>
      <c r="OXQ193" s="321"/>
      <c r="OXR193" s="331"/>
      <c r="OXS193" s="308"/>
      <c r="OXT193" s="301"/>
      <c r="OXU193" s="301"/>
      <c r="OXV193" s="302"/>
      <c r="OXW193" s="309"/>
      <c r="OXX193" s="329"/>
      <c r="OXY193" s="311"/>
      <c r="OXZ193" s="312"/>
      <c r="OYA193" s="326"/>
      <c r="OYB193" s="332"/>
      <c r="OYC193" s="321"/>
      <c r="OYD193" s="321"/>
      <c r="OYE193" s="331"/>
      <c r="OYF193" s="308"/>
      <c r="OYG193" s="301"/>
      <c r="OYH193" s="301"/>
      <c r="OYI193" s="302"/>
      <c r="OYJ193" s="309"/>
      <c r="OYK193" s="329"/>
      <c r="OYL193" s="311"/>
      <c r="OYM193" s="312"/>
      <c r="OYN193" s="326"/>
      <c r="OYO193" s="332"/>
      <c r="OYP193" s="321"/>
      <c r="OYQ193" s="321"/>
      <c r="OYR193" s="331"/>
      <c r="OYS193" s="308"/>
      <c r="OYT193" s="301"/>
      <c r="OYU193" s="301"/>
      <c r="OYV193" s="302"/>
      <c r="OYW193" s="309"/>
      <c r="OYX193" s="329"/>
      <c r="OYY193" s="311"/>
      <c r="OYZ193" s="312"/>
      <c r="OZA193" s="326"/>
      <c r="OZB193" s="332"/>
      <c r="OZC193" s="321"/>
      <c r="OZD193" s="321"/>
      <c r="OZE193" s="331"/>
      <c r="OZF193" s="308"/>
      <c r="OZG193" s="301"/>
      <c r="OZH193" s="301"/>
      <c r="OZI193" s="302"/>
      <c r="OZJ193" s="309"/>
      <c r="OZK193" s="329"/>
      <c r="OZL193" s="311"/>
      <c r="OZM193" s="312"/>
      <c r="OZN193" s="326"/>
      <c r="OZO193" s="332"/>
      <c r="OZP193" s="321"/>
      <c r="OZQ193" s="321"/>
      <c r="OZR193" s="331"/>
      <c r="OZS193" s="308"/>
      <c r="OZT193" s="301"/>
      <c r="OZU193" s="301"/>
      <c r="OZV193" s="302"/>
      <c r="OZW193" s="309"/>
      <c r="OZX193" s="329"/>
      <c r="OZY193" s="311"/>
      <c r="OZZ193" s="312"/>
      <c r="PAA193" s="326"/>
      <c r="PAB193" s="332"/>
      <c r="PAC193" s="321"/>
      <c r="PAD193" s="321"/>
      <c r="PAE193" s="331"/>
      <c r="PAF193" s="308"/>
      <c r="PAG193" s="301"/>
      <c r="PAH193" s="301"/>
      <c r="PAI193" s="302"/>
      <c r="PAJ193" s="309"/>
      <c r="PAK193" s="329"/>
      <c r="PAL193" s="311"/>
      <c r="PAM193" s="312"/>
      <c r="PAN193" s="326"/>
      <c r="PAO193" s="332"/>
      <c r="PAP193" s="321"/>
      <c r="PAQ193" s="321"/>
      <c r="PAR193" s="331"/>
      <c r="PAS193" s="308"/>
      <c r="PAT193" s="301"/>
      <c r="PAU193" s="301"/>
      <c r="PAV193" s="302"/>
      <c r="PAW193" s="309"/>
      <c r="PAX193" s="329"/>
      <c r="PAY193" s="311"/>
      <c r="PAZ193" s="312"/>
      <c r="PBA193" s="326"/>
      <c r="PBB193" s="332"/>
      <c r="PBC193" s="321"/>
      <c r="PBD193" s="321"/>
      <c r="PBE193" s="331"/>
      <c r="PBF193" s="308"/>
      <c r="PBG193" s="301"/>
      <c r="PBH193" s="301"/>
      <c r="PBI193" s="302"/>
      <c r="PBJ193" s="309"/>
      <c r="PBK193" s="329"/>
      <c r="PBL193" s="311"/>
      <c r="PBM193" s="312"/>
      <c r="PBN193" s="326"/>
      <c r="PBO193" s="332"/>
      <c r="PBP193" s="321"/>
      <c r="PBQ193" s="321"/>
      <c r="PBR193" s="331"/>
      <c r="PBS193" s="308"/>
      <c r="PBT193" s="301"/>
      <c r="PBU193" s="301"/>
      <c r="PBV193" s="302"/>
      <c r="PBW193" s="309"/>
      <c r="PBX193" s="329"/>
      <c r="PBY193" s="311"/>
      <c r="PBZ193" s="312"/>
      <c r="PCA193" s="326"/>
      <c r="PCB193" s="332"/>
      <c r="PCC193" s="321"/>
      <c r="PCD193" s="321"/>
      <c r="PCE193" s="331"/>
      <c r="PCF193" s="308"/>
      <c r="PCG193" s="301"/>
      <c r="PCH193" s="301"/>
      <c r="PCI193" s="302"/>
      <c r="PCJ193" s="309"/>
      <c r="PCK193" s="329"/>
      <c r="PCL193" s="311"/>
      <c r="PCM193" s="312"/>
      <c r="PCN193" s="326"/>
      <c r="PCO193" s="332"/>
      <c r="PCP193" s="321"/>
      <c r="PCQ193" s="321"/>
      <c r="PCR193" s="331"/>
      <c r="PCS193" s="308"/>
      <c r="PCT193" s="301"/>
      <c r="PCU193" s="301"/>
      <c r="PCV193" s="302"/>
      <c r="PCW193" s="309"/>
      <c r="PCX193" s="329"/>
      <c r="PCY193" s="311"/>
      <c r="PCZ193" s="312"/>
      <c r="PDA193" s="326"/>
      <c r="PDB193" s="332"/>
      <c r="PDC193" s="321"/>
      <c r="PDD193" s="321"/>
      <c r="PDE193" s="331"/>
      <c r="PDF193" s="308"/>
      <c r="PDG193" s="301"/>
      <c r="PDH193" s="301"/>
      <c r="PDI193" s="302"/>
      <c r="PDJ193" s="309"/>
      <c r="PDK193" s="329"/>
      <c r="PDL193" s="311"/>
      <c r="PDM193" s="312"/>
      <c r="PDN193" s="326"/>
      <c r="PDO193" s="332"/>
      <c r="PDP193" s="321"/>
      <c r="PDQ193" s="321"/>
      <c r="PDR193" s="331"/>
      <c r="PDS193" s="308"/>
      <c r="PDT193" s="301"/>
      <c r="PDU193" s="301"/>
      <c r="PDV193" s="302"/>
      <c r="PDW193" s="309"/>
      <c r="PDX193" s="329"/>
      <c r="PDY193" s="311"/>
      <c r="PDZ193" s="312"/>
      <c r="PEA193" s="326"/>
      <c r="PEB193" s="332"/>
      <c r="PEC193" s="321"/>
      <c r="PED193" s="321"/>
      <c r="PEE193" s="331"/>
      <c r="PEF193" s="308"/>
      <c r="PEG193" s="301"/>
      <c r="PEH193" s="301"/>
      <c r="PEI193" s="302"/>
      <c r="PEJ193" s="309"/>
      <c r="PEK193" s="329"/>
      <c r="PEL193" s="311"/>
      <c r="PEM193" s="312"/>
      <c r="PEN193" s="326"/>
      <c r="PEO193" s="332"/>
      <c r="PEP193" s="321"/>
      <c r="PEQ193" s="321"/>
      <c r="PER193" s="331"/>
      <c r="PES193" s="308"/>
      <c r="PET193" s="301"/>
      <c r="PEU193" s="301"/>
      <c r="PEV193" s="302"/>
      <c r="PEW193" s="309"/>
      <c r="PEX193" s="329"/>
      <c r="PEY193" s="311"/>
      <c r="PEZ193" s="312"/>
      <c r="PFA193" s="326"/>
      <c r="PFB193" s="332"/>
      <c r="PFC193" s="321"/>
      <c r="PFD193" s="321"/>
      <c r="PFE193" s="331"/>
      <c r="PFF193" s="308"/>
      <c r="PFG193" s="301"/>
      <c r="PFH193" s="301"/>
      <c r="PFI193" s="302"/>
      <c r="PFJ193" s="309"/>
      <c r="PFK193" s="329"/>
      <c r="PFL193" s="311"/>
      <c r="PFM193" s="312"/>
      <c r="PFN193" s="326"/>
      <c r="PFO193" s="332"/>
      <c r="PFP193" s="321"/>
      <c r="PFQ193" s="321"/>
      <c r="PFR193" s="331"/>
      <c r="PFS193" s="308"/>
      <c r="PFT193" s="301"/>
      <c r="PFU193" s="301"/>
      <c r="PFV193" s="302"/>
      <c r="PFW193" s="309"/>
      <c r="PFX193" s="329"/>
      <c r="PFY193" s="311"/>
      <c r="PFZ193" s="312"/>
      <c r="PGA193" s="326"/>
      <c r="PGB193" s="332"/>
      <c r="PGC193" s="321"/>
      <c r="PGD193" s="321"/>
      <c r="PGE193" s="331"/>
      <c r="PGF193" s="308"/>
      <c r="PGG193" s="301"/>
      <c r="PGH193" s="301"/>
      <c r="PGI193" s="302"/>
      <c r="PGJ193" s="309"/>
      <c r="PGK193" s="329"/>
      <c r="PGL193" s="311"/>
      <c r="PGM193" s="312"/>
      <c r="PGN193" s="326"/>
      <c r="PGO193" s="332"/>
      <c r="PGP193" s="321"/>
      <c r="PGQ193" s="321"/>
      <c r="PGR193" s="331"/>
      <c r="PGS193" s="308"/>
      <c r="PGT193" s="301"/>
      <c r="PGU193" s="301"/>
      <c r="PGV193" s="302"/>
      <c r="PGW193" s="309"/>
      <c r="PGX193" s="329"/>
      <c r="PGY193" s="311"/>
      <c r="PGZ193" s="312"/>
      <c r="PHA193" s="326"/>
      <c r="PHB193" s="332"/>
      <c r="PHC193" s="321"/>
      <c r="PHD193" s="321"/>
      <c r="PHE193" s="331"/>
      <c r="PHF193" s="308"/>
      <c r="PHG193" s="301"/>
      <c r="PHH193" s="301"/>
      <c r="PHI193" s="302"/>
      <c r="PHJ193" s="309"/>
      <c r="PHK193" s="329"/>
      <c r="PHL193" s="311"/>
      <c r="PHM193" s="312"/>
      <c r="PHN193" s="326"/>
      <c r="PHO193" s="332"/>
      <c r="PHP193" s="321"/>
      <c r="PHQ193" s="321"/>
      <c r="PHR193" s="331"/>
      <c r="PHS193" s="308"/>
      <c r="PHT193" s="301"/>
      <c r="PHU193" s="301"/>
      <c r="PHV193" s="302"/>
      <c r="PHW193" s="309"/>
      <c r="PHX193" s="329"/>
      <c r="PHY193" s="311"/>
      <c r="PHZ193" s="312"/>
      <c r="PIA193" s="326"/>
      <c r="PIB193" s="332"/>
      <c r="PIC193" s="321"/>
      <c r="PID193" s="321"/>
      <c r="PIE193" s="331"/>
      <c r="PIF193" s="308"/>
      <c r="PIG193" s="301"/>
      <c r="PIH193" s="301"/>
      <c r="PII193" s="302"/>
      <c r="PIJ193" s="309"/>
      <c r="PIK193" s="329"/>
      <c r="PIL193" s="311"/>
      <c r="PIM193" s="312"/>
      <c r="PIN193" s="326"/>
      <c r="PIO193" s="332"/>
      <c r="PIP193" s="321"/>
      <c r="PIQ193" s="321"/>
      <c r="PIR193" s="331"/>
      <c r="PIS193" s="308"/>
      <c r="PIT193" s="301"/>
      <c r="PIU193" s="301"/>
      <c r="PIV193" s="302"/>
      <c r="PIW193" s="309"/>
      <c r="PIX193" s="329"/>
      <c r="PIY193" s="311"/>
      <c r="PIZ193" s="312"/>
      <c r="PJA193" s="326"/>
      <c r="PJB193" s="332"/>
      <c r="PJC193" s="321"/>
      <c r="PJD193" s="321"/>
      <c r="PJE193" s="331"/>
      <c r="PJF193" s="308"/>
      <c r="PJG193" s="301"/>
      <c r="PJH193" s="301"/>
      <c r="PJI193" s="302"/>
      <c r="PJJ193" s="309"/>
      <c r="PJK193" s="329"/>
      <c r="PJL193" s="311"/>
      <c r="PJM193" s="312"/>
      <c r="PJN193" s="326"/>
      <c r="PJO193" s="332"/>
      <c r="PJP193" s="321"/>
      <c r="PJQ193" s="321"/>
      <c r="PJR193" s="331"/>
      <c r="PJS193" s="308"/>
      <c r="PJT193" s="301"/>
      <c r="PJU193" s="301"/>
      <c r="PJV193" s="302"/>
      <c r="PJW193" s="309"/>
      <c r="PJX193" s="329"/>
      <c r="PJY193" s="311"/>
      <c r="PJZ193" s="312"/>
      <c r="PKA193" s="326"/>
      <c r="PKB193" s="332"/>
      <c r="PKC193" s="321"/>
      <c r="PKD193" s="321"/>
      <c r="PKE193" s="331"/>
      <c r="PKF193" s="308"/>
      <c r="PKG193" s="301"/>
      <c r="PKH193" s="301"/>
      <c r="PKI193" s="302"/>
      <c r="PKJ193" s="309"/>
      <c r="PKK193" s="329"/>
      <c r="PKL193" s="311"/>
      <c r="PKM193" s="312"/>
      <c r="PKN193" s="326"/>
      <c r="PKO193" s="332"/>
      <c r="PKP193" s="321"/>
      <c r="PKQ193" s="321"/>
      <c r="PKR193" s="331"/>
      <c r="PKS193" s="308"/>
      <c r="PKT193" s="301"/>
      <c r="PKU193" s="301"/>
      <c r="PKV193" s="302"/>
      <c r="PKW193" s="309"/>
      <c r="PKX193" s="329"/>
      <c r="PKY193" s="311"/>
      <c r="PKZ193" s="312"/>
      <c r="PLA193" s="326"/>
      <c r="PLB193" s="332"/>
      <c r="PLC193" s="321"/>
      <c r="PLD193" s="321"/>
      <c r="PLE193" s="331"/>
      <c r="PLF193" s="308"/>
      <c r="PLG193" s="301"/>
      <c r="PLH193" s="301"/>
      <c r="PLI193" s="302"/>
      <c r="PLJ193" s="309"/>
      <c r="PLK193" s="329"/>
      <c r="PLL193" s="311"/>
      <c r="PLM193" s="312"/>
      <c r="PLN193" s="326"/>
      <c r="PLO193" s="332"/>
      <c r="PLP193" s="321"/>
      <c r="PLQ193" s="321"/>
      <c r="PLR193" s="331"/>
      <c r="PLS193" s="308"/>
      <c r="PLT193" s="301"/>
      <c r="PLU193" s="301"/>
      <c r="PLV193" s="302"/>
      <c r="PLW193" s="309"/>
      <c r="PLX193" s="329"/>
      <c r="PLY193" s="311"/>
      <c r="PLZ193" s="312"/>
      <c r="PMA193" s="326"/>
      <c r="PMB193" s="332"/>
      <c r="PMC193" s="321"/>
      <c r="PMD193" s="321"/>
      <c r="PME193" s="331"/>
      <c r="PMF193" s="308"/>
      <c r="PMG193" s="301"/>
      <c r="PMH193" s="301"/>
      <c r="PMI193" s="302"/>
      <c r="PMJ193" s="309"/>
      <c r="PMK193" s="329"/>
      <c r="PML193" s="311"/>
      <c r="PMM193" s="312"/>
      <c r="PMN193" s="326"/>
      <c r="PMO193" s="332"/>
      <c r="PMP193" s="321"/>
      <c r="PMQ193" s="321"/>
      <c r="PMR193" s="331"/>
      <c r="PMS193" s="308"/>
      <c r="PMT193" s="301"/>
      <c r="PMU193" s="301"/>
      <c r="PMV193" s="302"/>
      <c r="PMW193" s="309"/>
      <c r="PMX193" s="329"/>
      <c r="PMY193" s="311"/>
      <c r="PMZ193" s="312"/>
      <c r="PNA193" s="326"/>
      <c r="PNB193" s="332"/>
      <c r="PNC193" s="321"/>
      <c r="PND193" s="321"/>
      <c r="PNE193" s="331"/>
      <c r="PNF193" s="308"/>
      <c r="PNG193" s="301"/>
      <c r="PNH193" s="301"/>
      <c r="PNI193" s="302"/>
      <c r="PNJ193" s="309"/>
      <c r="PNK193" s="329"/>
      <c r="PNL193" s="311"/>
      <c r="PNM193" s="312"/>
      <c r="PNN193" s="326"/>
      <c r="PNO193" s="332"/>
      <c r="PNP193" s="321"/>
      <c r="PNQ193" s="321"/>
      <c r="PNR193" s="331"/>
      <c r="PNS193" s="308"/>
      <c r="PNT193" s="301"/>
      <c r="PNU193" s="301"/>
      <c r="PNV193" s="302"/>
      <c r="PNW193" s="309"/>
      <c r="PNX193" s="329"/>
      <c r="PNY193" s="311"/>
      <c r="PNZ193" s="312"/>
      <c r="POA193" s="326"/>
      <c r="POB193" s="332"/>
      <c r="POC193" s="321"/>
      <c r="POD193" s="321"/>
      <c r="POE193" s="331"/>
      <c r="POF193" s="308"/>
      <c r="POG193" s="301"/>
      <c r="POH193" s="301"/>
      <c r="POI193" s="302"/>
      <c r="POJ193" s="309"/>
      <c r="POK193" s="329"/>
      <c r="POL193" s="311"/>
      <c r="POM193" s="312"/>
      <c r="PON193" s="326"/>
      <c r="POO193" s="332"/>
      <c r="POP193" s="321"/>
      <c r="POQ193" s="321"/>
      <c r="POR193" s="331"/>
      <c r="POS193" s="308"/>
      <c r="POT193" s="301"/>
      <c r="POU193" s="301"/>
      <c r="POV193" s="302"/>
      <c r="POW193" s="309"/>
      <c r="POX193" s="329"/>
      <c r="POY193" s="311"/>
      <c r="POZ193" s="312"/>
      <c r="PPA193" s="326"/>
      <c r="PPB193" s="332"/>
      <c r="PPC193" s="321"/>
      <c r="PPD193" s="321"/>
      <c r="PPE193" s="331"/>
      <c r="PPF193" s="308"/>
      <c r="PPG193" s="301"/>
      <c r="PPH193" s="301"/>
      <c r="PPI193" s="302"/>
      <c r="PPJ193" s="309"/>
      <c r="PPK193" s="329"/>
      <c r="PPL193" s="311"/>
      <c r="PPM193" s="312"/>
      <c r="PPN193" s="326"/>
      <c r="PPO193" s="332"/>
      <c r="PPP193" s="321"/>
      <c r="PPQ193" s="321"/>
      <c r="PPR193" s="331"/>
      <c r="PPS193" s="308"/>
      <c r="PPT193" s="301"/>
      <c r="PPU193" s="301"/>
      <c r="PPV193" s="302"/>
      <c r="PPW193" s="309"/>
      <c r="PPX193" s="329"/>
      <c r="PPY193" s="311"/>
      <c r="PPZ193" s="312"/>
      <c r="PQA193" s="326"/>
      <c r="PQB193" s="332"/>
      <c r="PQC193" s="321"/>
      <c r="PQD193" s="321"/>
      <c r="PQE193" s="331"/>
      <c r="PQF193" s="308"/>
      <c r="PQG193" s="301"/>
      <c r="PQH193" s="301"/>
      <c r="PQI193" s="302"/>
      <c r="PQJ193" s="309"/>
      <c r="PQK193" s="329"/>
      <c r="PQL193" s="311"/>
      <c r="PQM193" s="312"/>
      <c r="PQN193" s="326"/>
      <c r="PQO193" s="332"/>
      <c r="PQP193" s="321"/>
      <c r="PQQ193" s="321"/>
      <c r="PQR193" s="331"/>
      <c r="PQS193" s="308"/>
      <c r="PQT193" s="301"/>
      <c r="PQU193" s="301"/>
      <c r="PQV193" s="302"/>
      <c r="PQW193" s="309"/>
      <c r="PQX193" s="329"/>
      <c r="PQY193" s="311"/>
      <c r="PQZ193" s="312"/>
      <c r="PRA193" s="326"/>
      <c r="PRB193" s="332"/>
      <c r="PRC193" s="321"/>
      <c r="PRD193" s="321"/>
      <c r="PRE193" s="331"/>
      <c r="PRF193" s="308"/>
      <c r="PRG193" s="301"/>
      <c r="PRH193" s="301"/>
      <c r="PRI193" s="302"/>
      <c r="PRJ193" s="309"/>
      <c r="PRK193" s="329"/>
      <c r="PRL193" s="311"/>
      <c r="PRM193" s="312"/>
      <c r="PRN193" s="326"/>
      <c r="PRO193" s="332"/>
      <c r="PRP193" s="321"/>
      <c r="PRQ193" s="321"/>
      <c r="PRR193" s="331"/>
      <c r="PRS193" s="308"/>
      <c r="PRT193" s="301"/>
      <c r="PRU193" s="301"/>
      <c r="PRV193" s="302"/>
      <c r="PRW193" s="309"/>
      <c r="PRX193" s="329"/>
      <c r="PRY193" s="311"/>
      <c r="PRZ193" s="312"/>
      <c r="PSA193" s="326"/>
      <c r="PSB193" s="332"/>
      <c r="PSC193" s="321"/>
      <c r="PSD193" s="321"/>
      <c r="PSE193" s="331"/>
      <c r="PSF193" s="308"/>
      <c r="PSG193" s="301"/>
      <c r="PSH193" s="301"/>
      <c r="PSI193" s="302"/>
      <c r="PSJ193" s="309"/>
      <c r="PSK193" s="329"/>
      <c r="PSL193" s="311"/>
      <c r="PSM193" s="312"/>
      <c r="PSN193" s="326"/>
      <c r="PSO193" s="332"/>
      <c r="PSP193" s="321"/>
      <c r="PSQ193" s="321"/>
      <c r="PSR193" s="331"/>
      <c r="PSS193" s="308"/>
      <c r="PST193" s="301"/>
      <c r="PSU193" s="301"/>
      <c r="PSV193" s="302"/>
      <c r="PSW193" s="309"/>
      <c r="PSX193" s="329"/>
      <c r="PSY193" s="311"/>
      <c r="PSZ193" s="312"/>
      <c r="PTA193" s="326"/>
      <c r="PTB193" s="332"/>
      <c r="PTC193" s="321"/>
      <c r="PTD193" s="321"/>
      <c r="PTE193" s="331"/>
      <c r="PTF193" s="308"/>
      <c r="PTG193" s="301"/>
      <c r="PTH193" s="301"/>
      <c r="PTI193" s="302"/>
      <c r="PTJ193" s="309"/>
      <c r="PTK193" s="329"/>
      <c r="PTL193" s="311"/>
      <c r="PTM193" s="312"/>
      <c r="PTN193" s="326"/>
      <c r="PTO193" s="332"/>
      <c r="PTP193" s="321"/>
      <c r="PTQ193" s="321"/>
      <c r="PTR193" s="331"/>
      <c r="PTS193" s="308"/>
      <c r="PTT193" s="301"/>
      <c r="PTU193" s="301"/>
      <c r="PTV193" s="302"/>
      <c r="PTW193" s="309"/>
      <c r="PTX193" s="329"/>
      <c r="PTY193" s="311"/>
      <c r="PTZ193" s="312"/>
      <c r="PUA193" s="326"/>
      <c r="PUB193" s="332"/>
      <c r="PUC193" s="321"/>
      <c r="PUD193" s="321"/>
      <c r="PUE193" s="331"/>
      <c r="PUF193" s="308"/>
      <c r="PUG193" s="301"/>
      <c r="PUH193" s="301"/>
      <c r="PUI193" s="302"/>
      <c r="PUJ193" s="309"/>
      <c r="PUK193" s="329"/>
      <c r="PUL193" s="311"/>
      <c r="PUM193" s="312"/>
      <c r="PUN193" s="326"/>
      <c r="PUO193" s="332"/>
      <c r="PUP193" s="321"/>
      <c r="PUQ193" s="321"/>
      <c r="PUR193" s="331"/>
      <c r="PUS193" s="308"/>
      <c r="PUT193" s="301"/>
      <c r="PUU193" s="301"/>
      <c r="PUV193" s="302"/>
      <c r="PUW193" s="309"/>
      <c r="PUX193" s="329"/>
      <c r="PUY193" s="311"/>
      <c r="PUZ193" s="312"/>
      <c r="PVA193" s="326"/>
      <c r="PVB193" s="332"/>
      <c r="PVC193" s="321"/>
      <c r="PVD193" s="321"/>
      <c r="PVE193" s="331"/>
      <c r="PVF193" s="308"/>
      <c r="PVG193" s="301"/>
      <c r="PVH193" s="301"/>
      <c r="PVI193" s="302"/>
      <c r="PVJ193" s="309"/>
      <c r="PVK193" s="329"/>
      <c r="PVL193" s="311"/>
      <c r="PVM193" s="312"/>
      <c r="PVN193" s="326"/>
      <c r="PVO193" s="332"/>
      <c r="PVP193" s="321"/>
      <c r="PVQ193" s="321"/>
      <c r="PVR193" s="331"/>
      <c r="PVS193" s="308"/>
      <c r="PVT193" s="301"/>
      <c r="PVU193" s="301"/>
      <c r="PVV193" s="302"/>
      <c r="PVW193" s="309"/>
      <c r="PVX193" s="329"/>
      <c r="PVY193" s="311"/>
      <c r="PVZ193" s="312"/>
      <c r="PWA193" s="326"/>
      <c r="PWB193" s="332"/>
      <c r="PWC193" s="321"/>
      <c r="PWD193" s="321"/>
      <c r="PWE193" s="331"/>
      <c r="PWF193" s="308"/>
      <c r="PWG193" s="301"/>
      <c r="PWH193" s="301"/>
      <c r="PWI193" s="302"/>
      <c r="PWJ193" s="309"/>
      <c r="PWK193" s="329"/>
      <c r="PWL193" s="311"/>
      <c r="PWM193" s="312"/>
      <c r="PWN193" s="326"/>
      <c r="PWO193" s="332"/>
      <c r="PWP193" s="321"/>
      <c r="PWQ193" s="321"/>
      <c r="PWR193" s="331"/>
      <c r="PWS193" s="308"/>
      <c r="PWT193" s="301"/>
      <c r="PWU193" s="301"/>
      <c r="PWV193" s="302"/>
      <c r="PWW193" s="309"/>
      <c r="PWX193" s="329"/>
      <c r="PWY193" s="311"/>
      <c r="PWZ193" s="312"/>
      <c r="PXA193" s="326"/>
      <c r="PXB193" s="332"/>
      <c r="PXC193" s="321"/>
      <c r="PXD193" s="321"/>
      <c r="PXE193" s="331"/>
      <c r="PXF193" s="308"/>
      <c r="PXG193" s="301"/>
      <c r="PXH193" s="301"/>
      <c r="PXI193" s="302"/>
      <c r="PXJ193" s="309"/>
      <c r="PXK193" s="329"/>
      <c r="PXL193" s="311"/>
      <c r="PXM193" s="312"/>
      <c r="PXN193" s="326"/>
      <c r="PXO193" s="332"/>
      <c r="PXP193" s="321"/>
      <c r="PXQ193" s="321"/>
      <c r="PXR193" s="331"/>
      <c r="PXS193" s="308"/>
      <c r="PXT193" s="301"/>
      <c r="PXU193" s="301"/>
      <c r="PXV193" s="302"/>
      <c r="PXW193" s="309"/>
      <c r="PXX193" s="329"/>
      <c r="PXY193" s="311"/>
      <c r="PXZ193" s="312"/>
      <c r="PYA193" s="326"/>
      <c r="PYB193" s="332"/>
      <c r="PYC193" s="321"/>
      <c r="PYD193" s="321"/>
      <c r="PYE193" s="331"/>
      <c r="PYF193" s="308"/>
      <c r="PYG193" s="301"/>
      <c r="PYH193" s="301"/>
      <c r="PYI193" s="302"/>
      <c r="PYJ193" s="309"/>
      <c r="PYK193" s="329"/>
      <c r="PYL193" s="311"/>
      <c r="PYM193" s="312"/>
      <c r="PYN193" s="326"/>
      <c r="PYO193" s="332"/>
      <c r="PYP193" s="321"/>
      <c r="PYQ193" s="321"/>
      <c r="PYR193" s="331"/>
      <c r="PYS193" s="308"/>
      <c r="PYT193" s="301"/>
      <c r="PYU193" s="301"/>
      <c r="PYV193" s="302"/>
      <c r="PYW193" s="309"/>
      <c r="PYX193" s="329"/>
      <c r="PYY193" s="311"/>
      <c r="PYZ193" s="312"/>
      <c r="PZA193" s="326"/>
      <c r="PZB193" s="332"/>
      <c r="PZC193" s="321"/>
      <c r="PZD193" s="321"/>
      <c r="PZE193" s="331"/>
      <c r="PZF193" s="308"/>
      <c r="PZG193" s="301"/>
      <c r="PZH193" s="301"/>
      <c r="PZI193" s="302"/>
      <c r="PZJ193" s="309"/>
      <c r="PZK193" s="329"/>
      <c r="PZL193" s="311"/>
      <c r="PZM193" s="312"/>
      <c r="PZN193" s="326"/>
      <c r="PZO193" s="332"/>
      <c r="PZP193" s="321"/>
      <c r="PZQ193" s="321"/>
      <c r="PZR193" s="331"/>
      <c r="PZS193" s="308"/>
      <c r="PZT193" s="301"/>
      <c r="PZU193" s="301"/>
      <c r="PZV193" s="302"/>
      <c r="PZW193" s="309"/>
      <c r="PZX193" s="329"/>
      <c r="PZY193" s="311"/>
      <c r="PZZ193" s="312"/>
      <c r="QAA193" s="326"/>
      <c r="QAB193" s="332"/>
      <c r="QAC193" s="321"/>
      <c r="QAD193" s="321"/>
      <c r="QAE193" s="331"/>
      <c r="QAF193" s="308"/>
      <c r="QAG193" s="301"/>
      <c r="QAH193" s="301"/>
      <c r="QAI193" s="302"/>
      <c r="QAJ193" s="309"/>
      <c r="QAK193" s="329"/>
      <c r="QAL193" s="311"/>
      <c r="QAM193" s="312"/>
      <c r="QAN193" s="326"/>
      <c r="QAO193" s="332"/>
      <c r="QAP193" s="321"/>
      <c r="QAQ193" s="321"/>
      <c r="QAR193" s="331"/>
      <c r="QAS193" s="308"/>
      <c r="QAT193" s="301"/>
      <c r="QAU193" s="301"/>
      <c r="QAV193" s="302"/>
      <c r="QAW193" s="309"/>
      <c r="QAX193" s="329"/>
      <c r="QAY193" s="311"/>
      <c r="QAZ193" s="312"/>
      <c r="QBA193" s="326"/>
      <c r="QBB193" s="332"/>
      <c r="QBC193" s="321"/>
      <c r="QBD193" s="321"/>
      <c r="QBE193" s="331"/>
      <c r="QBF193" s="308"/>
      <c r="QBG193" s="301"/>
      <c r="QBH193" s="301"/>
      <c r="QBI193" s="302"/>
      <c r="QBJ193" s="309"/>
      <c r="QBK193" s="329"/>
      <c r="QBL193" s="311"/>
      <c r="QBM193" s="312"/>
      <c r="QBN193" s="326"/>
      <c r="QBO193" s="332"/>
      <c r="QBP193" s="321"/>
      <c r="QBQ193" s="321"/>
      <c r="QBR193" s="331"/>
      <c r="QBS193" s="308"/>
      <c r="QBT193" s="301"/>
      <c r="QBU193" s="301"/>
      <c r="QBV193" s="302"/>
      <c r="QBW193" s="309"/>
      <c r="QBX193" s="329"/>
      <c r="QBY193" s="311"/>
      <c r="QBZ193" s="312"/>
      <c r="QCA193" s="326"/>
      <c r="QCB193" s="332"/>
      <c r="QCC193" s="321"/>
      <c r="QCD193" s="321"/>
      <c r="QCE193" s="331"/>
      <c r="QCF193" s="308"/>
      <c r="QCG193" s="301"/>
      <c r="QCH193" s="301"/>
      <c r="QCI193" s="302"/>
      <c r="QCJ193" s="309"/>
      <c r="QCK193" s="329"/>
      <c r="QCL193" s="311"/>
      <c r="QCM193" s="312"/>
      <c r="QCN193" s="326"/>
      <c r="QCO193" s="332"/>
      <c r="QCP193" s="321"/>
      <c r="QCQ193" s="321"/>
      <c r="QCR193" s="331"/>
      <c r="QCS193" s="308"/>
      <c r="QCT193" s="301"/>
      <c r="QCU193" s="301"/>
      <c r="QCV193" s="302"/>
      <c r="QCW193" s="309"/>
      <c r="QCX193" s="329"/>
      <c r="QCY193" s="311"/>
      <c r="QCZ193" s="312"/>
      <c r="QDA193" s="326"/>
      <c r="QDB193" s="332"/>
      <c r="QDC193" s="321"/>
      <c r="QDD193" s="321"/>
      <c r="QDE193" s="331"/>
      <c r="QDF193" s="308"/>
      <c r="QDG193" s="301"/>
      <c r="QDH193" s="301"/>
      <c r="QDI193" s="302"/>
      <c r="QDJ193" s="309"/>
      <c r="QDK193" s="329"/>
      <c r="QDL193" s="311"/>
      <c r="QDM193" s="312"/>
      <c r="QDN193" s="326"/>
      <c r="QDO193" s="332"/>
      <c r="QDP193" s="321"/>
      <c r="QDQ193" s="321"/>
      <c r="QDR193" s="331"/>
      <c r="QDS193" s="308"/>
      <c r="QDT193" s="301"/>
      <c r="QDU193" s="301"/>
      <c r="QDV193" s="302"/>
      <c r="QDW193" s="309"/>
      <c r="QDX193" s="329"/>
      <c r="QDY193" s="311"/>
      <c r="QDZ193" s="312"/>
      <c r="QEA193" s="326"/>
      <c r="QEB193" s="332"/>
      <c r="QEC193" s="321"/>
      <c r="QED193" s="321"/>
      <c r="QEE193" s="331"/>
      <c r="QEF193" s="308"/>
      <c r="QEG193" s="301"/>
      <c r="QEH193" s="301"/>
      <c r="QEI193" s="302"/>
      <c r="QEJ193" s="309"/>
      <c r="QEK193" s="329"/>
      <c r="QEL193" s="311"/>
      <c r="QEM193" s="312"/>
      <c r="QEN193" s="326"/>
      <c r="QEO193" s="332"/>
      <c r="QEP193" s="321"/>
      <c r="QEQ193" s="321"/>
      <c r="QER193" s="331"/>
      <c r="QES193" s="308"/>
      <c r="QET193" s="301"/>
      <c r="QEU193" s="301"/>
      <c r="QEV193" s="302"/>
      <c r="QEW193" s="309"/>
      <c r="QEX193" s="329"/>
      <c r="QEY193" s="311"/>
      <c r="QEZ193" s="312"/>
      <c r="QFA193" s="326"/>
      <c r="QFB193" s="332"/>
      <c r="QFC193" s="321"/>
      <c r="QFD193" s="321"/>
      <c r="QFE193" s="331"/>
      <c r="QFF193" s="308"/>
      <c r="QFG193" s="301"/>
      <c r="QFH193" s="301"/>
      <c r="QFI193" s="302"/>
      <c r="QFJ193" s="309"/>
      <c r="QFK193" s="329"/>
      <c r="QFL193" s="311"/>
      <c r="QFM193" s="312"/>
      <c r="QFN193" s="326"/>
      <c r="QFO193" s="332"/>
      <c r="QFP193" s="321"/>
      <c r="QFQ193" s="321"/>
      <c r="QFR193" s="331"/>
      <c r="QFS193" s="308"/>
      <c r="QFT193" s="301"/>
      <c r="QFU193" s="301"/>
      <c r="QFV193" s="302"/>
      <c r="QFW193" s="309"/>
      <c r="QFX193" s="329"/>
      <c r="QFY193" s="311"/>
      <c r="QFZ193" s="312"/>
      <c r="QGA193" s="326"/>
      <c r="QGB193" s="332"/>
      <c r="QGC193" s="321"/>
      <c r="QGD193" s="321"/>
      <c r="QGE193" s="331"/>
      <c r="QGF193" s="308"/>
      <c r="QGG193" s="301"/>
      <c r="QGH193" s="301"/>
      <c r="QGI193" s="302"/>
      <c r="QGJ193" s="309"/>
      <c r="QGK193" s="329"/>
      <c r="QGL193" s="311"/>
      <c r="QGM193" s="312"/>
      <c r="QGN193" s="326"/>
      <c r="QGO193" s="332"/>
      <c r="QGP193" s="321"/>
      <c r="QGQ193" s="321"/>
      <c r="QGR193" s="331"/>
      <c r="QGS193" s="308"/>
      <c r="QGT193" s="301"/>
      <c r="QGU193" s="301"/>
      <c r="QGV193" s="302"/>
      <c r="QGW193" s="309"/>
      <c r="QGX193" s="329"/>
      <c r="QGY193" s="311"/>
      <c r="QGZ193" s="312"/>
      <c r="QHA193" s="326"/>
      <c r="QHB193" s="332"/>
      <c r="QHC193" s="321"/>
      <c r="QHD193" s="321"/>
      <c r="QHE193" s="331"/>
      <c r="QHF193" s="308"/>
      <c r="QHG193" s="301"/>
      <c r="QHH193" s="301"/>
      <c r="QHI193" s="302"/>
      <c r="QHJ193" s="309"/>
      <c r="QHK193" s="329"/>
      <c r="QHL193" s="311"/>
      <c r="QHM193" s="312"/>
      <c r="QHN193" s="326"/>
      <c r="QHO193" s="332"/>
      <c r="QHP193" s="321"/>
      <c r="QHQ193" s="321"/>
      <c r="QHR193" s="331"/>
      <c r="QHS193" s="308"/>
      <c r="QHT193" s="301"/>
      <c r="QHU193" s="301"/>
      <c r="QHV193" s="302"/>
      <c r="QHW193" s="309"/>
      <c r="QHX193" s="329"/>
      <c r="QHY193" s="311"/>
      <c r="QHZ193" s="312"/>
      <c r="QIA193" s="326"/>
      <c r="QIB193" s="332"/>
      <c r="QIC193" s="321"/>
      <c r="QID193" s="321"/>
      <c r="QIE193" s="331"/>
      <c r="QIF193" s="308"/>
      <c r="QIG193" s="301"/>
      <c r="QIH193" s="301"/>
      <c r="QII193" s="302"/>
      <c r="QIJ193" s="309"/>
      <c r="QIK193" s="329"/>
      <c r="QIL193" s="311"/>
      <c r="QIM193" s="312"/>
      <c r="QIN193" s="326"/>
      <c r="QIO193" s="332"/>
      <c r="QIP193" s="321"/>
      <c r="QIQ193" s="321"/>
      <c r="QIR193" s="331"/>
      <c r="QIS193" s="308"/>
      <c r="QIT193" s="301"/>
      <c r="QIU193" s="301"/>
      <c r="QIV193" s="302"/>
      <c r="QIW193" s="309"/>
      <c r="QIX193" s="329"/>
      <c r="QIY193" s="311"/>
      <c r="QIZ193" s="312"/>
      <c r="QJA193" s="326"/>
      <c r="QJB193" s="332"/>
      <c r="QJC193" s="321"/>
      <c r="QJD193" s="321"/>
      <c r="QJE193" s="331"/>
      <c r="QJF193" s="308"/>
      <c r="QJG193" s="301"/>
      <c r="QJH193" s="301"/>
      <c r="QJI193" s="302"/>
      <c r="QJJ193" s="309"/>
      <c r="QJK193" s="329"/>
      <c r="QJL193" s="311"/>
      <c r="QJM193" s="312"/>
      <c r="QJN193" s="326"/>
      <c r="QJO193" s="332"/>
      <c r="QJP193" s="321"/>
      <c r="QJQ193" s="321"/>
      <c r="QJR193" s="331"/>
      <c r="QJS193" s="308"/>
      <c r="QJT193" s="301"/>
      <c r="QJU193" s="301"/>
      <c r="QJV193" s="302"/>
      <c r="QJW193" s="309"/>
      <c r="QJX193" s="329"/>
      <c r="QJY193" s="311"/>
      <c r="QJZ193" s="312"/>
      <c r="QKA193" s="326"/>
      <c r="QKB193" s="332"/>
      <c r="QKC193" s="321"/>
      <c r="QKD193" s="321"/>
      <c r="QKE193" s="331"/>
      <c r="QKF193" s="308"/>
      <c r="QKG193" s="301"/>
      <c r="QKH193" s="301"/>
      <c r="QKI193" s="302"/>
      <c r="QKJ193" s="309"/>
      <c r="QKK193" s="329"/>
      <c r="QKL193" s="311"/>
      <c r="QKM193" s="312"/>
      <c r="QKN193" s="326"/>
      <c r="QKO193" s="332"/>
      <c r="QKP193" s="321"/>
      <c r="QKQ193" s="321"/>
      <c r="QKR193" s="331"/>
      <c r="QKS193" s="308"/>
      <c r="QKT193" s="301"/>
      <c r="QKU193" s="301"/>
      <c r="QKV193" s="302"/>
      <c r="QKW193" s="309"/>
      <c r="QKX193" s="329"/>
      <c r="QKY193" s="311"/>
      <c r="QKZ193" s="312"/>
      <c r="QLA193" s="326"/>
      <c r="QLB193" s="332"/>
      <c r="QLC193" s="321"/>
      <c r="QLD193" s="321"/>
      <c r="QLE193" s="331"/>
      <c r="QLF193" s="308"/>
      <c r="QLG193" s="301"/>
      <c r="QLH193" s="301"/>
      <c r="QLI193" s="302"/>
      <c r="QLJ193" s="309"/>
      <c r="QLK193" s="329"/>
      <c r="QLL193" s="311"/>
      <c r="QLM193" s="312"/>
      <c r="QLN193" s="326"/>
      <c r="QLO193" s="332"/>
      <c r="QLP193" s="321"/>
      <c r="QLQ193" s="321"/>
      <c r="QLR193" s="331"/>
      <c r="QLS193" s="308"/>
      <c r="QLT193" s="301"/>
      <c r="QLU193" s="301"/>
      <c r="QLV193" s="302"/>
      <c r="QLW193" s="309"/>
      <c r="QLX193" s="329"/>
      <c r="QLY193" s="311"/>
      <c r="QLZ193" s="312"/>
      <c r="QMA193" s="326"/>
      <c r="QMB193" s="332"/>
      <c r="QMC193" s="321"/>
      <c r="QMD193" s="321"/>
      <c r="QME193" s="331"/>
      <c r="QMF193" s="308"/>
      <c r="QMG193" s="301"/>
      <c r="QMH193" s="301"/>
      <c r="QMI193" s="302"/>
      <c r="QMJ193" s="309"/>
      <c r="QMK193" s="329"/>
      <c r="QML193" s="311"/>
      <c r="QMM193" s="312"/>
      <c r="QMN193" s="326"/>
      <c r="QMO193" s="332"/>
      <c r="QMP193" s="321"/>
      <c r="QMQ193" s="321"/>
      <c r="QMR193" s="331"/>
      <c r="QMS193" s="308"/>
      <c r="QMT193" s="301"/>
      <c r="QMU193" s="301"/>
      <c r="QMV193" s="302"/>
      <c r="QMW193" s="309"/>
      <c r="QMX193" s="329"/>
      <c r="QMY193" s="311"/>
      <c r="QMZ193" s="312"/>
      <c r="QNA193" s="326"/>
      <c r="QNB193" s="332"/>
      <c r="QNC193" s="321"/>
      <c r="QND193" s="321"/>
      <c r="QNE193" s="331"/>
      <c r="QNF193" s="308"/>
      <c r="QNG193" s="301"/>
      <c r="QNH193" s="301"/>
      <c r="QNI193" s="302"/>
      <c r="QNJ193" s="309"/>
      <c r="QNK193" s="329"/>
      <c r="QNL193" s="311"/>
      <c r="QNM193" s="312"/>
      <c r="QNN193" s="326"/>
      <c r="QNO193" s="332"/>
      <c r="QNP193" s="321"/>
      <c r="QNQ193" s="321"/>
      <c r="QNR193" s="331"/>
      <c r="QNS193" s="308"/>
      <c r="QNT193" s="301"/>
      <c r="QNU193" s="301"/>
      <c r="QNV193" s="302"/>
      <c r="QNW193" s="309"/>
      <c r="QNX193" s="329"/>
      <c r="QNY193" s="311"/>
      <c r="QNZ193" s="312"/>
      <c r="QOA193" s="326"/>
      <c r="QOB193" s="332"/>
      <c r="QOC193" s="321"/>
      <c r="QOD193" s="321"/>
      <c r="QOE193" s="331"/>
      <c r="QOF193" s="308"/>
      <c r="QOG193" s="301"/>
      <c r="QOH193" s="301"/>
      <c r="QOI193" s="302"/>
      <c r="QOJ193" s="309"/>
      <c r="QOK193" s="329"/>
      <c r="QOL193" s="311"/>
      <c r="QOM193" s="312"/>
      <c r="QON193" s="326"/>
      <c r="QOO193" s="332"/>
      <c r="QOP193" s="321"/>
      <c r="QOQ193" s="321"/>
      <c r="QOR193" s="331"/>
      <c r="QOS193" s="308"/>
      <c r="QOT193" s="301"/>
      <c r="QOU193" s="301"/>
      <c r="QOV193" s="302"/>
      <c r="QOW193" s="309"/>
      <c r="QOX193" s="329"/>
      <c r="QOY193" s="311"/>
      <c r="QOZ193" s="312"/>
      <c r="QPA193" s="326"/>
      <c r="QPB193" s="332"/>
      <c r="QPC193" s="321"/>
      <c r="QPD193" s="321"/>
      <c r="QPE193" s="331"/>
      <c r="QPF193" s="308"/>
      <c r="QPG193" s="301"/>
      <c r="QPH193" s="301"/>
      <c r="QPI193" s="302"/>
      <c r="QPJ193" s="309"/>
      <c r="QPK193" s="329"/>
      <c r="QPL193" s="311"/>
      <c r="QPM193" s="312"/>
      <c r="QPN193" s="326"/>
      <c r="QPO193" s="332"/>
      <c r="QPP193" s="321"/>
      <c r="QPQ193" s="321"/>
      <c r="QPR193" s="331"/>
      <c r="QPS193" s="308"/>
      <c r="QPT193" s="301"/>
      <c r="QPU193" s="301"/>
      <c r="QPV193" s="302"/>
      <c r="QPW193" s="309"/>
      <c r="QPX193" s="329"/>
      <c r="QPY193" s="311"/>
      <c r="QPZ193" s="312"/>
      <c r="QQA193" s="326"/>
      <c r="QQB193" s="332"/>
      <c r="QQC193" s="321"/>
      <c r="QQD193" s="321"/>
      <c r="QQE193" s="331"/>
      <c r="QQF193" s="308"/>
      <c r="QQG193" s="301"/>
      <c r="QQH193" s="301"/>
      <c r="QQI193" s="302"/>
      <c r="QQJ193" s="309"/>
      <c r="QQK193" s="329"/>
      <c r="QQL193" s="311"/>
      <c r="QQM193" s="312"/>
      <c r="QQN193" s="326"/>
      <c r="QQO193" s="332"/>
      <c r="QQP193" s="321"/>
      <c r="QQQ193" s="321"/>
      <c r="QQR193" s="331"/>
      <c r="QQS193" s="308"/>
      <c r="QQT193" s="301"/>
      <c r="QQU193" s="301"/>
      <c r="QQV193" s="302"/>
      <c r="QQW193" s="309"/>
      <c r="QQX193" s="329"/>
      <c r="QQY193" s="311"/>
      <c r="QQZ193" s="312"/>
      <c r="QRA193" s="326"/>
      <c r="QRB193" s="332"/>
      <c r="QRC193" s="321"/>
      <c r="QRD193" s="321"/>
      <c r="QRE193" s="331"/>
      <c r="QRF193" s="308"/>
      <c r="QRG193" s="301"/>
      <c r="QRH193" s="301"/>
      <c r="QRI193" s="302"/>
      <c r="QRJ193" s="309"/>
      <c r="QRK193" s="329"/>
      <c r="QRL193" s="311"/>
      <c r="QRM193" s="312"/>
      <c r="QRN193" s="326"/>
      <c r="QRO193" s="332"/>
      <c r="QRP193" s="321"/>
      <c r="QRQ193" s="321"/>
      <c r="QRR193" s="331"/>
      <c r="QRS193" s="308"/>
      <c r="QRT193" s="301"/>
      <c r="QRU193" s="301"/>
      <c r="QRV193" s="302"/>
      <c r="QRW193" s="309"/>
      <c r="QRX193" s="329"/>
      <c r="QRY193" s="311"/>
      <c r="QRZ193" s="312"/>
      <c r="QSA193" s="326"/>
      <c r="QSB193" s="332"/>
      <c r="QSC193" s="321"/>
      <c r="QSD193" s="321"/>
      <c r="QSE193" s="331"/>
      <c r="QSF193" s="308"/>
      <c r="QSG193" s="301"/>
      <c r="QSH193" s="301"/>
      <c r="QSI193" s="302"/>
      <c r="QSJ193" s="309"/>
      <c r="QSK193" s="329"/>
      <c r="QSL193" s="311"/>
      <c r="QSM193" s="312"/>
      <c r="QSN193" s="326"/>
      <c r="QSO193" s="332"/>
      <c r="QSP193" s="321"/>
      <c r="QSQ193" s="321"/>
      <c r="QSR193" s="331"/>
      <c r="QSS193" s="308"/>
      <c r="QST193" s="301"/>
      <c r="QSU193" s="301"/>
      <c r="QSV193" s="302"/>
      <c r="QSW193" s="309"/>
      <c r="QSX193" s="329"/>
      <c r="QSY193" s="311"/>
      <c r="QSZ193" s="312"/>
      <c r="QTA193" s="326"/>
      <c r="QTB193" s="332"/>
      <c r="QTC193" s="321"/>
      <c r="QTD193" s="321"/>
      <c r="QTE193" s="331"/>
      <c r="QTF193" s="308"/>
      <c r="QTG193" s="301"/>
      <c r="QTH193" s="301"/>
      <c r="QTI193" s="302"/>
      <c r="QTJ193" s="309"/>
      <c r="QTK193" s="329"/>
      <c r="QTL193" s="311"/>
      <c r="QTM193" s="312"/>
      <c r="QTN193" s="326"/>
      <c r="QTO193" s="332"/>
      <c r="QTP193" s="321"/>
      <c r="QTQ193" s="321"/>
      <c r="QTR193" s="331"/>
      <c r="QTS193" s="308"/>
      <c r="QTT193" s="301"/>
      <c r="QTU193" s="301"/>
      <c r="QTV193" s="302"/>
      <c r="QTW193" s="309"/>
      <c r="QTX193" s="329"/>
      <c r="QTY193" s="311"/>
      <c r="QTZ193" s="312"/>
      <c r="QUA193" s="326"/>
      <c r="QUB193" s="332"/>
      <c r="QUC193" s="321"/>
      <c r="QUD193" s="321"/>
      <c r="QUE193" s="331"/>
      <c r="QUF193" s="308"/>
      <c r="QUG193" s="301"/>
      <c r="QUH193" s="301"/>
      <c r="QUI193" s="302"/>
      <c r="QUJ193" s="309"/>
      <c r="QUK193" s="329"/>
      <c r="QUL193" s="311"/>
      <c r="QUM193" s="312"/>
      <c r="QUN193" s="326"/>
      <c r="QUO193" s="332"/>
      <c r="QUP193" s="321"/>
      <c r="QUQ193" s="321"/>
      <c r="QUR193" s="331"/>
      <c r="QUS193" s="308"/>
      <c r="QUT193" s="301"/>
      <c r="QUU193" s="301"/>
      <c r="QUV193" s="302"/>
      <c r="QUW193" s="309"/>
      <c r="QUX193" s="329"/>
      <c r="QUY193" s="311"/>
      <c r="QUZ193" s="312"/>
      <c r="QVA193" s="326"/>
      <c r="QVB193" s="332"/>
      <c r="QVC193" s="321"/>
      <c r="QVD193" s="321"/>
      <c r="QVE193" s="331"/>
      <c r="QVF193" s="308"/>
      <c r="QVG193" s="301"/>
      <c r="QVH193" s="301"/>
      <c r="QVI193" s="302"/>
      <c r="QVJ193" s="309"/>
      <c r="QVK193" s="329"/>
      <c r="QVL193" s="311"/>
      <c r="QVM193" s="312"/>
      <c r="QVN193" s="326"/>
      <c r="QVO193" s="332"/>
      <c r="QVP193" s="321"/>
      <c r="QVQ193" s="321"/>
      <c r="QVR193" s="331"/>
      <c r="QVS193" s="308"/>
      <c r="QVT193" s="301"/>
      <c r="QVU193" s="301"/>
      <c r="QVV193" s="302"/>
      <c r="QVW193" s="309"/>
      <c r="QVX193" s="329"/>
      <c r="QVY193" s="311"/>
      <c r="QVZ193" s="312"/>
      <c r="QWA193" s="326"/>
      <c r="QWB193" s="332"/>
      <c r="QWC193" s="321"/>
      <c r="QWD193" s="321"/>
      <c r="QWE193" s="331"/>
      <c r="QWF193" s="308"/>
      <c r="QWG193" s="301"/>
      <c r="QWH193" s="301"/>
      <c r="QWI193" s="302"/>
      <c r="QWJ193" s="309"/>
      <c r="QWK193" s="329"/>
      <c r="QWL193" s="311"/>
      <c r="QWM193" s="312"/>
      <c r="QWN193" s="326"/>
      <c r="QWO193" s="332"/>
      <c r="QWP193" s="321"/>
      <c r="QWQ193" s="321"/>
      <c r="QWR193" s="331"/>
      <c r="QWS193" s="308"/>
      <c r="QWT193" s="301"/>
      <c r="QWU193" s="301"/>
      <c r="QWV193" s="302"/>
      <c r="QWW193" s="309"/>
      <c r="QWX193" s="329"/>
      <c r="QWY193" s="311"/>
      <c r="QWZ193" s="312"/>
      <c r="QXA193" s="326"/>
      <c r="QXB193" s="332"/>
      <c r="QXC193" s="321"/>
      <c r="QXD193" s="321"/>
      <c r="QXE193" s="331"/>
      <c r="QXF193" s="308"/>
      <c r="QXG193" s="301"/>
      <c r="QXH193" s="301"/>
      <c r="QXI193" s="302"/>
      <c r="QXJ193" s="309"/>
      <c r="QXK193" s="329"/>
      <c r="QXL193" s="311"/>
      <c r="QXM193" s="312"/>
      <c r="QXN193" s="326"/>
      <c r="QXO193" s="332"/>
      <c r="QXP193" s="321"/>
      <c r="QXQ193" s="321"/>
      <c r="QXR193" s="331"/>
      <c r="QXS193" s="308"/>
      <c r="QXT193" s="301"/>
      <c r="QXU193" s="301"/>
      <c r="QXV193" s="302"/>
      <c r="QXW193" s="309"/>
      <c r="QXX193" s="329"/>
      <c r="QXY193" s="311"/>
      <c r="QXZ193" s="312"/>
      <c r="QYA193" s="326"/>
      <c r="QYB193" s="332"/>
      <c r="QYC193" s="321"/>
      <c r="QYD193" s="321"/>
      <c r="QYE193" s="331"/>
      <c r="QYF193" s="308"/>
      <c r="QYG193" s="301"/>
      <c r="QYH193" s="301"/>
      <c r="QYI193" s="302"/>
      <c r="QYJ193" s="309"/>
      <c r="QYK193" s="329"/>
      <c r="QYL193" s="311"/>
      <c r="QYM193" s="312"/>
      <c r="QYN193" s="326"/>
      <c r="QYO193" s="332"/>
      <c r="QYP193" s="321"/>
      <c r="QYQ193" s="321"/>
      <c r="QYR193" s="331"/>
      <c r="QYS193" s="308"/>
      <c r="QYT193" s="301"/>
      <c r="QYU193" s="301"/>
      <c r="QYV193" s="302"/>
      <c r="QYW193" s="309"/>
      <c r="QYX193" s="329"/>
      <c r="QYY193" s="311"/>
      <c r="QYZ193" s="312"/>
      <c r="QZA193" s="326"/>
      <c r="QZB193" s="332"/>
      <c r="QZC193" s="321"/>
      <c r="QZD193" s="321"/>
      <c r="QZE193" s="331"/>
      <c r="QZF193" s="308"/>
      <c r="QZG193" s="301"/>
      <c r="QZH193" s="301"/>
      <c r="QZI193" s="302"/>
      <c r="QZJ193" s="309"/>
      <c r="QZK193" s="329"/>
      <c r="QZL193" s="311"/>
      <c r="QZM193" s="312"/>
      <c r="QZN193" s="326"/>
      <c r="QZO193" s="332"/>
      <c r="QZP193" s="321"/>
      <c r="QZQ193" s="321"/>
      <c r="QZR193" s="331"/>
      <c r="QZS193" s="308"/>
      <c r="QZT193" s="301"/>
      <c r="QZU193" s="301"/>
      <c r="QZV193" s="302"/>
      <c r="QZW193" s="309"/>
      <c r="QZX193" s="329"/>
      <c r="QZY193" s="311"/>
      <c r="QZZ193" s="312"/>
      <c r="RAA193" s="326"/>
      <c r="RAB193" s="332"/>
      <c r="RAC193" s="321"/>
      <c r="RAD193" s="321"/>
      <c r="RAE193" s="331"/>
      <c r="RAF193" s="308"/>
      <c r="RAG193" s="301"/>
      <c r="RAH193" s="301"/>
      <c r="RAI193" s="302"/>
      <c r="RAJ193" s="309"/>
      <c r="RAK193" s="329"/>
      <c r="RAL193" s="311"/>
      <c r="RAM193" s="312"/>
      <c r="RAN193" s="326"/>
      <c r="RAO193" s="332"/>
      <c r="RAP193" s="321"/>
      <c r="RAQ193" s="321"/>
      <c r="RAR193" s="331"/>
      <c r="RAS193" s="308"/>
      <c r="RAT193" s="301"/>
      <c r="RAU193" s="301"/>
      <c r="RAV193" s="302"/>
      <c r="RAW193" s="309"/>
      <c r="RAX193" s="329"/>
      <c r="RAY193" s="311"/>
      <c r="RAZ193" s="312"/>
      <c r="RBA193" s="326"/>
      <c r="RBB193" s="332"/>
      <c r="RBC193" s="321"/>
      <c r="RBD193" s="321"/>
      <c r="RBE193" s="331"/>
      <c r="RBF193" s="308"/>
      <c r="RBG193" s="301"/>
      <c r="RBH193" s="301"/>
      <c r="RBI193" s="302"/>
      <c r="RBJ193" s="309"/>
      <c r="RBK193" s="329"/>
      <c r="RBL193" s="311"/>
      <c r="RBM193" s="312"/>
      <c r="RBN193" s="326"/>
      <c r="RBO193" s="332"/>
      <c r="RBP193" s="321"/>
      <c r="RBQ193" s="321"/>
      <c r="RBR193" s="331"/>
      <c r="RBS193" s="308"/>
      <c r="RBT193" s="301"/>
      <c r="RBU193" s="301"/>
      <c r="RBV193" s="302"/>
      <c r="RBW193" s="309"/>
      <c r="RBX193" s="329"/>
      <c r="RBY193" s="311"/>
      <c r="RBZ193" s="312"/>
      <c r="RCA193" s="326"/>
      <c r="RCB193" s="332"/>
      <c r="RCC193" s="321"/>
      <c r="RCD193" s="321"/>
      <c r="RCE193" s="331"/>
      <c r="RCF193" s="308"/>
      <c r="RCG193" s="301"/>
      <c r="RCH193" s="301"/>
      <c r="RCI193" s="302"/>
      <c r="RCJ193" s="309"/>
      <c r="RCK193" s="329"/>
      <c r="RCL193" s="311"/>
      <c r="RCM193" s="312"/>
      <c r="RCN193" s="326"/>
      <c r="RCO193" s="332"/>
      <c r="RCP193" s="321"/>
      <c r="RCQ193" s="321"/>
      <c r="RCR193" s="331"/>
      <c r="RCS193" s="308"/>
      <c r="RCT193" s="301"/>
      <c r="RCU193" s="301"/>
      <c r="RCV193" s="302"/>
      <c r="RCW193" s="309"/>
      <c r="RCX193" s="329"/>
      <c r="RCY193" s="311"/>
      <c r="RCZ193" s="312"/>
      <c r="RDA193" s="326"/>
      <c r="RDB193" s="332"/>
      <c r="RDC193" s="321"/>
      <c r="RDD193" s="321"/>
      <c r="RDE193" s="331"/>
      <c r="RDF193" s="308"/>
      <c r="RDG193" s="301"/>
      <c r="RDH193" s="301"/>
      <c r="RDI193" s="302"/>
      <c r="RDJ193" s="309"/>
      <c r="RDK193" s="329"/>
      <c r="RDL193" s="311"/>
      <c r="RDM193" s="312"/>
      <c r="RDN193" s="326"/>
      <c r="RDO193" s="332"/>
      <c r="RDP193" s="321"/>
      <c r="RDQ193" s="321"/>
      <c r="RDR193" s="331"/>
      <c r="RDS193" s="308"/>
      <c r="RDT193" s="301"/>
      <c r="RDU193" s="301"/>
      <c r="RDV193" s="302"/>
      <c r="RDW193" s="309"/>
      <c r="RDX193" s="329"/>
      <c r="RDY193" s="311"/>
      <c r="RDZ193" s="312"/>
      <c r="REA193" s="326"/>
      <c r="REB193" s="332"/>
      <c r="REC193" s="321"/>
      <c r="RED193" s="321"/>
      <c r="REE193" s="331"/>
      <c r="REF193" s="308"/>
      <c r="REG193" s="301"/>
      <c r="REH193" s="301"/>
      <c r="REI193" s="302"/>
      <c r="REJ193" s="309"/>
      <c r="REK193" s="329"/>
      <c r="REL193" s="311"/>
      <c r="REM193" s="312"/>
      <c r="REN193" s="326"/>
      <c r="REO193" s="332"/>
      <c r="REP193" s="321"/>
      <c r="REQ193" s="321"/>
      <c r="RER193" s="331"/>
      <c r="RES193" s="308"/>
      <c r="RET193" s="301"/>
      <c r="REU193" s="301"/>
      <c r="REV193" s="302"/>
      <c r="REW193" s="309"/>
      <c r="REX193" s="329"/>
      <c r="REY193" s="311"/>
      <c r="REZ193" s="312"/>
      <c r="RFA193" s="326"/>
      <c r="RFB193" s="332"/>
      <c r="RFC193" s="321"/>
      <c r="RFD193" s="321"/>
      <c r="RFE193" s="331"/>
      <c r="RFF193" s="308"/>
      <c r="RFG193" s="301"/>
      <c r="RFH193" s="301"/>
      <c r="RFI193" s="302"/>
      <c r="RFJ193" s="309"/>
      <c r="RFK193" s="329"/>
      <c r="RFL193" s="311"/>
      <c r="RFM193" s="312"/>
      <c r="RFN193" s="326"/>
      <c r="RFO193" s="332"/>
      <c r="RFP193" s="321"/>
      <c r="RFQ193" s="321"/>
      <c r="RFR193" s="331"/>
      <c r="RFS193" s="308"/>
      <c r="RFT193" s="301"/>
      <c r="RFU193" s="301"/>
      <c r="RFV193" s="302"/>
      <c r="RFW193" s="309"/>
      <c r="RFX193" s="329"/>
      <c r="RFY193" s="311"/>
      <c r="RFZ193" s="312"/>
      <c r="RGA193" s="326"/>
      <c r="RGB193" s="332"/>
      <c r="RGC193" s="321"/>
      <c r="RGD193" s="321"/>
      <c r="RGE193" s="331"/>
      <c r="RGF193" s="308"/>
      <c r="RGG193" s="301"/>
      <c r="RGH193" s="301"/>
      <c r="RGI193" s="302"/>
      <c r="RGJ193" s="309"/>
      <c r="RGK193" s="329"/>
      <c r="RGL193" s="311"/>
      <c r="RGM193" s="312"/>
      <c r="RGN193" s="326"/>
      <c r="RGO193" s="332"/>
      <c r="RGP193" s="321"/>
      <c r="RGQ193" s="321"/>
      <c r="RGR193" s="331"/>
      <c r="RGS193" s="308"/>
      <c r="RGT193" s="301"/>
      <c r="RGU193" s="301"/>
      <c r="RGV193" s="302"/>
      <c r="RGW193" s="309"/>
      <c r="RGX193" s="329"/>
      <c r="RGY193" s="311"/>
      <c r="RGZ193" s="312"/>
      <c r="RHA193" s="326"/>
      <c r="RHB193" s="332"/>
      <c r="RHC193" s="321"/>
      <c r="RHD193" s="321"/>
      <c r="RHE193" s="331"/>
      <c r="RHF193" s="308"/>
      <c r="RHG193" s="301"/>
      <c r="RHH193" s="301"/>
      <c r="RHI193" s="302"/>
      <c r="RHJ193" s="309"/>
      <c r="RHK193" s="329"/>
      <c r="RHL193" s="311"/>
      <c r="RHM193" s="312"/>
      <c r="RHN193" s="326"/>
      <c r="RHO193" s="332"/>
      <c r="RHP193" s="321"/>
      <c r="RHQ193" s="321"/>
      <c r="RHR193" s="331"/>
      <c r="RHS193" s="308"/>
      <c r="RHT193" s="301"/>
      <c r="RHU193" s="301"/>
      <c r="RHV193" s="302"/>
      <c r="RHW193" s="309"/>
      <c r="RHX193" s="329"/>
      <c r="RHY193" s="311"/>
      <c r="RHZ193" s="312"/>
      <c r="RIA193" s="326"/>
      <c r="RIB193" s="332"/>
      <c r="RIC193" s="321"/>
      <c r="RID193" s="321"/>
      <c r="RIE193" s="331"/>
      <c r="RIF193" s="308"/>
      <c r="RIG193" s="301"/>
      <c r="RIH193" s="301"/>
      <c r="RII193" s="302"/>
      <c r="RIJ193" s="309"/>
      <c r="RIK193" s="329"/>
      <c r="RIL193" s="311"/>
      <c r="RIM193" s="312"/>
      <c r="RIN193" s="326"/>
      <c r="RIO193" s="332"/>
      <c r="RIP193" s="321"/>
      <c r="RIQ193" s="321"/>
      <c r="RIR193" s="331"/>
      <c r="RIS193" s="308"/>
      <c r="RIT193" s="301"/>
      <c r="RIU193" s="301"/>
      <c r="RIV193" s="302"/>
      <c r="RIW193" s="309"/>
      <c r="RIX193" s="329"/>
      <c r="RIY193" s="311"/>
      <c r="RIZ193" s="312"/>
      <c r="RJA193" s="326"/>
      <c r="RJB193" s="332"/>
      <c r="RJC193" s="321"/>
      <c r="RJD193" s="321"/>
      <c r="RJE193" s="331"/>
      <c r="RJF193" s="308"/>
      <c r="RJG193" s="301"/>
      <c r="RJH193" s="301"/>
      <c r="RJI193" s="302"/>
      <c r="RJJ193" s="309"/>
      <c r="RJK193" s="329"/>
      <c r="RJL193" s="311"/>
      <c r="RJM193" s="312"/>
      <c r="RJN193" s="326"/>
      <c r="RJO193" s="332"/>
      <c r="RJP193" s="321"/>
      <c r="RJQ193" s="321"/>
      <c r="RJR193" s="331"/>
      <c r="RJS193" s="308"/>
      <c r="RJT193" s="301"/>
      <c r="RJU193" s="301"/>
      <c r="RJV193" s="302"/>
      <c r="RJW193" s="309"/>
      <c r="RJX193" s="329"/>
      <c r="RJY193" s="311"/>
      <c r="RJZ193" s="312"/>
      <c r="RKA193" s="326"/>
      <c r="RKB193" s="332"/>
      <c r="RKC193" s="321"/>
      <c r="RKD193" s="321"/>
      <c r="RKE193" s="331"/>
      <c r="RKF193" s="308"/>
      <c r="RKG193" s="301"/>
      <c r="RKH193" s="301"/>
      <c r="RKI193" s="302"/>
      <c r="RKJ193" s="309"/>
      <c r="RKK193" s="329"/>
      <c r="RKL193" s="311"/>
      <c r="RKM193" s="312"/>
      <c r="RKN193" s="326"/>
      <c r="RKO193" s="332"/>
      <c r="RKP193" s="321"/>
      <c r="RKQ193" s="321"/>
      <c r="RKR193" s="331"/>
      <c r="RKS193" s="308"/>
      <c r="RKT193" s="301"/>
      <c r="RKU193" s="301"/>
      <c r="RKV193" s="302"/>
      <c r="RKW193" s="309"/>
      <c r="RKX193" s="329"/>
      <c r="RKY193" s="311"/>
      <c r="RKZ193" s="312"/>
      <c r="RLA193" s="326"/>
      <c r="RLB193" s="332"/>
      <c r="RLC193" s="321"/>
      <c r="RLD193" s="321"/>
      <c r="RLE193" s="331"/>
      <c r="RLF193" s="308"/>
      <c r="RLG193" s="301"/>
      <c r="RLH193" s="301"/>
      <c r="RLI193" s="302"/>
      <c r="RLJ193" s="309"/>
      <c r="RLK193" s="329"/>
      <c r="RLL193" s="311"/>
      <c r="RLM193" s="312"/>
      <c r="RLN193" s="326"/>
      <c r="RLO193" s="332"/>
      <c r="RLP193" s="321"/>
      <c r="RLQ193" s="321"/>
      <c r="RLR193" s="331"/>
      <c r="RLS193" s="308"/>
      <c r="RLT193" s="301"/>
      <c r="RLU193" s="301"/>
      <c r="RLV193" s="302"/>
      <c r="RLW193" s="309"/>
      <c r="RLX193" s="329"/>
      <c r="RLY193" s="311"/>
      <c r="RLZ193" s="312"/>
      <c r="RMA193" s="326"/>
      <c r="RMB193" s="332"/>
      <c r="RMC193" s="321"/>
      <c r="RMD193" s="321"/>
      <c r="RME193" s="331"/>
      <c r="RMF193" s="308"/>
      <c r="RMG193" s="301"/>
      <c r="RMH193" s="301"/>
      <c r="RMI193" s="302"/>
      <c r="RMJ193" s="309"/>
      <c r="RMK193" s="329"/>
      <c r="RML193" s="311"/>
      <c r="RMM193" s="312"/>
      <c r="RMN193" s="326"/>
      <c r="RMO193" s="332"/>
      <c r="RMP193" s="321"/>
      <c r="RMQ193" s="321"/>
      <c r="RMR193" s="331"/>
      <c r="RMS193" s="308"/>
      <c r="RMT193" s="301"/>
      <c r="RMU193" s="301"/>
      <c r="RMV193" s="302"/>
      <c r="RMW193" s="309"/>
      <c r="RMX193" s="329"/>
      <c r="RMY193" s="311"/>
      <c r="RMZ193" s="312"/>
      <c r="RNA193" s="326"/>
      <c r="RNB193" s="332"/>
      <c r="RNC193" s="321"/>
      <c r="RND193" s="321"/>
      <c r="RNE193" s="331"/>
      <c r="RNF193" s="308"/>
      <c r="RNG193" s="301"/>
      <c r="RNH193" s="301"/>
      <c r="RNI193" s="302"/>
      <c r="RNJ193" s="309"/>
      <c r="RNK193" s="329"/>
      <c r="RNL193" s="311"/>
      <c r="RNM193" s="312"/>
      <c r="RNN193" s="326"/>
      <c r="RNO193" s="332"/>
      <c r="RNP193" s="321"/>
      <c r="RNQ193" s="321"/>
      <c r="RNR193" s="331"/>
      <c r="RNS193" s="308"/>
      <c r="RNT193" s="301"/>
      <c r="RNU193" s="301"/>
      <c r="RNV193" s="302"/>
      <c r="RNW193" s="309"/>
      <c r="RNX193" s="329"/>
      <c r="RNY193" s="311"/>
      <c r="RNZ193" s="312"/>
      <c r="ROA193" s="326"/>
      <c r="ROB193" s="332"/>
      <c r="ROC193" s="321"/>
      <c r="ROD193" s="321"/>
      <c r="ROE193" s="331"/>
      <c r="ROF193" s="308"/>
      <c r="ROG193" s="301"/>
      <c r="ROH193" s="301"/>
      <c r="ROI193" s="302"/>
      <c r="ROJ193" s="309"/>
      <c r="ROK193" s="329"/>
      <c r="ROL193" s="311"/>
      <c r="ROM193" s="312"/>
      <c r="RON193" s="326"/>
      <c r="ROO193" s="332"/>
      <c r="ROP193" s="321"/>
      <c r="ROQ193" s="321"/>
      <c r="ROR193" s="331"/>
      <c r="ROS193" s="308"/>
      <c r="ROT193" s="301"/>
      <c r="ROU193" s="301"/>
      <c r="ROV193" s="302"/>
      <c r="ROW193" s="309"/>
      <c r="ROX193" s="329"/>
      <c r="ROY193" s="311"/>
      <c r="ROZ193" s="312"/>
      <c r="RPA193" s="326"/>
      <c r="RPB193" s="332"/>
      <c r="RPC193" s="321"/>
      <c r="RPD193" s="321"/>
      <c r="RPE193" s="331"/>
      <c r="RPF193" s="308"/>
      <c r="RPG193" s="301"/>
      <c r="RPH193" s="301"/>
      <c r="RPI193" s="302"/>
      <c r="RPJ193" s="309"/>
      <c r="RPK193" s="329"/>
      <c r="RPL193" s="311"/>
      <c r="RPM193" s="312"/>
      <c r="RPN193" s="326"/>
      <c r="RPO193" s="332"/>
      <c r="RPP193" s="321"/>
      <c r="RPQ193" s="321"/>
      <c r="RPR193" s="331"/>
      <c r="RPS193" s="308"/>
      <c r="RPT193" s="301"/>
      <c r="RPU193" s="301"/>
      <c r="RPV193" s="302"/>
      <c r="RPW193" s="309"/>
      <c r="RPX193" s="329"/>
      <c r="RPY193" s="311"/>
      <c r="RPZ193" s="312"/>
      <c r="RQA193" s="326"/>
      <c r="RQB193" s="332"/>
      <c r="RQC193" s="321"/>
      <c r="RQD193" s="321"/>
      <c r="RQE193" s="331"/>
      <c r="RQF193" s="308"/>
      <c r="RQG193" s="301"/>
      <c r="RQH193" s="301"/>
      <c r="RQI193" s="302"/>
      <c r="RQJ193" s="309"/>
      <c r="RQK193" s="329"/>
      <c r="RQL193" s="311"/>
      <c r="RQM193" s="312"/>
      <c r="RQN193" s="326"/>
      <c r="RQO193" s="332"/>
      <c r="RQP193" s="321"/>
      <c r="RQQ193" s="321"/>
      <c r="RQR193" s="331"/>
      <c r="RQS193" s="308"/>
      <c r="RQT193" s="301"/>
      <c r="RQU193" s="301"/>
      <c r="RQV193" s="302"/>
      <c r="RQW193" s="309"/>
      <c r="RQX193" s="329"/>
      <c r="RQY193" s="311"/>
      <c r="RQZ193" s="312"/>
      <c r="RRA193" s="326"/>
      <c r="RRB193" s="332"/>
      <c r="RRC193" s="321"/>
      <c r="RRD193" s="321"/>
      <c r="RRE193" s="331"/>
      <c r="RRF193" s="308"/>
      <c r="RRG193" s="301"/>
      <c r="RRH193" s="301"/>
      <c r="RRI193" s="302"/>
      <c r="RRJ193" s="309"/>
      <c r="RRK193" s="329"/>
      <c r="RRL193" s="311"/>
      <c r="RRM193" s="312"/>
      <c r="RRN193" s="326"/>
      <c r="RRO193" s="332"/>
      <c r="RRP193" s="321"/>
      <c r="RRQ193" s="321"/>
      <c r="RRR193" s="331"/>
      <c r="RRS193" s="308"/>
      <c r="RRT193" s="301"/>
      <c r="RRU193" s="301"/>
      <c r="RRV193" s="302"/>
      <c r="RRW193" s="309"/>
      <c r="RRX193" s="329"/>
      <c r="RRY193" s="311"/>
      <c r="RRZ193" s="312"/>
      <c r="RSA193" s="326"/>
      <c r="RSB193" s="332"/>
      <c r="RSC193" s="321"/>
      <c r="RSD193" s="321"/>
      <c r="RSE193" s="331"/>
      <c r="RSF193" s="308"/>
      <c r="RSG193" s="301"/>
      <c r="RSH193" s="301"/>
      <c r="RSI193" s="302"/>
      <c r="RSJ193" s="309"/>
      <c r="RSK193" s="329"/>
      <c r="RSL193" s="311"/>
      <c r="RSM193" s="312"/>
      <c r="RSN193" s="326"/>
      <c r="RSO193" s="332"/>
      <c r="RSP193" s="321"/>
      <c r="RSQ193" s="321"/>
      <c r="RSR193" s="331"/>
      <c r="RSS193" s="308"/>
      <c r="RST193" s="301"/>
      <c r="RSU193" s="301"/>
      <c r="RSV193" s="302"/>
      <c r="RSW193" s="309"/>
      <c r="RSX193" s="329"/>
      <c r="RSY193" s="311"/>
      <c r="RSZ193" s="312"/>
      <c r="RTA193" s="326"/>
      <c r="RTB193" s="332"/>
      <c r="RTC193" s="321"/>
      <c r="RTD193" s="321"/>
      <c r="RTE193" s="331"/>
      <c r="RTF193" s="308"/>
      <c r="RTG193" s="301"/>
      <c r="RTH193" s="301"/>
      <c r="RTI193" s="302"/>
      <c r="RTJ193" s="309"/>
      <c r="RTK193" s="329"/>
      <c r="RTL193" s="311"/>
      <c r="RTM193" s="312"/>
      <c r="RTN193" s="326"/>
      <c r="RTO193" s="332"/>
      <c r="RTP193" s="321"/>
      <c r="RTQ193" s="321"/>
      <c r="RTR193" s="331"/>
      <c r="RTS193" s="308"/>
      <c r="RTT193" s="301"/>
      <c r="RTU193" s="301"/>
      <c r="RTV193" s="302"/>
      <c r="RTW193" s="309"/>
      <c r="RTX193" s="329"/>
      <c r="RTY193" s="311"/>
      <c r="RTZ193" s="312"/>
      <c r="RUA193" s="326"/>
      <c r="RUB193" s="332"/>
      <c r="RUC193" s="321"/>
      <c r="RUD193" s="321"/>
      <c r="RUE193" s="331"/>
      <c r="RUF193" s="308"/>
      <c r="RUG193" s="301"/>
      <c r="RUH193" s="301"/>
      <c r="RUI193" s="302"/>
      <c r="RUJ193" s="309"/>
      <c r="RUK193" s="329"/>
      <c r="RUL193" s="311"/>
      <c r="RUM193" s="312"/>
      <c r="RUN193" s="326"/>
      <c r="RUO193" s="332"/>
      <c r="RUP193" s="321"/>
      <c r="RUQ193" s="321"/>
      <c r="RUR193" s="331"/>
      <c r="RUS193" s="308"/>
      <c r="RUT193" s="301"/>
      <c r="RUU193" s="301"/>
      <c r="RUV193" s="302"/>
      <c r="RUW193" s="309"/>
      <c r="RUX193" s="329"/>
      <c r="RUY193" s="311"/>
      <c r="RUZ193" s="312"/>
      <c r="RVA193" s="326"/>
      <c r="RVB193" s="332"/>
      <c r="RVC193" s="321"/>
      <c r="RVD193" s="321"/>
      <c r="RVE193" s="331"/>
      <c r="RVF193" s="308"/>
      <c r="RVG193" s="301"/>
      <c r="RVH193" s="301"/>
      <c r="RVI193" s="302"/>
      <c r="RVJ193" s="309"/>
      <c r="RVK193" s="329"/>
      <c r="RVL193" s="311"/>
      <c r="RVM193" s="312"/>
      <c r="RVN193" s="326"/>
      <c r="RVO193" s="332"/>
      <c r="RVP193" s="321"/>
      <c r="RVQ193" s="321"/>
      <c r="RVR193" s="331"/>
      <c r="RVS193" s="308"/>
      <c r="RVT193" s="301"/>
      <c r="RVU193" s="301"/>
      <c r="RVV193" s="302"/>
      <c r="RVW193" s="309"/>
      <c r="RVX193" s="329"/>
      <c r="RVY193" s="311"/>
      <c r="RVZ193" s="312"/>
      <c r="RWA193" s="326"/>
      <c r="RWB193" s="332"/>
      <c r="RWC193" s="321"/>
      <c r="RWD193" s="321"/>
      <c r="RWE193" s="331"/>
      <c r="RWF193" s="308"/>
      <c r="RWG193" s="301"/>
      <c r="RWH193" s="301"/>
      <c r="RWI193" s="302"/>
      <c r="RWJ193" s="309"/>
      <c r="RWK193" s="329"/>
      <c r="RWL193" s="311"/>
      <c r="RWM193" s="312"/>
      <c r="RWN193" s="326"/>
      <c r="RWO193" s="332"/>
      <c r="RWP193" s="321"/>
      <c r="RWQ193" s="321"/>
      <c r="RWR193" s="331"/>
      <c r="RWS193" s="308"/>
      <c r="RWT193" s="301"/>
      <c r="RWU193" s="301"/>
      <c r="RWV193" s="302"/>
      <c r="RWW193" s="309"/>
      <c r="RWX193" s="329"/>
      <c r="RWY193" s="311"/>
      <c r="RWZ193" s="312"/>
      <c r="RXA193" s="326"/>
      <c r="RXB193" s="332"/>
      <c r="RXC193" s="321"/>
      <c r="RXD193" s="321"/>
      <c r="RXE193" s="331"/>
      <c r="RXF193" s="308"/>
      <c r="RXG193" s="301"/>
      <c r="RXH193" s="301"/>
      <c r="RXI193" s="302"/>
      <c r="RXJ193" s="309"/>
      <c r="RXK193" s="329"/>
      <c r="RXL193" s="311"/>
      <c r="RXM193" s="312"/>
      <c r="RXN193" s="326"/>
      <c r="RXO193" s="332"/>
      <c r="RXP193" s="321"/>
      <c r="RXQ193" s="321"/>
      <c r="RXR193" s="331"/>
      <c r="RXS193" s="308"/>
      <c r="RXT193" s="301"/>
      <c r="RXU193" s="301"/>
      <c r="RXV193" s="302"/>
      <c r="RXW193" s="309"/>
      <c r="RXX193" s="329"/>
      <c r="RXY193" s="311"/>
      <c r="RXZ193" s="312"/>
      <c r="RYA193" s="326"/>
      <c r="RYB193" s="332"/>
      <c r="RYC193" s="321"/>
      <c r="RYD193" s="321"/>
      <c r="RYE193" s="331"/>
      <c r="RYF193" s="308"/>
      <c r="RYG193" s="301"/>
      <c r="RYH193" s="301"/>
      <c r="RYI193" s="302"/>
      <c r="RYJ193" s="309"/>
      <c r="RYK193" s="329"/>
      <c r="RYL193" s="311"/>
      <c r="RYM193" s="312"/>
      <c r="RYN193" s="326"/>
      <c r="RYO193" s="332"/>
      <c r="RYP193" s="321"/>
      <c r="RYQ193" s="321"/>
      <c r="RYR193" s="331"/>
      <c r="RYS193" s="308"/>
      <c r="RYT193" s="301"/>
      <c r="RYU193" s="301"/>
      <c r="RYV193" s="302"/>
      <c r="RYW193" s="309"/>
      <c r="RYX193" s="329"/>
      <c r="RYY193" s="311"/>
      <c r="RYZ193" s="312"/>
      <c r="RZA193" s="326"/>
      <c r="RZB193" s="332"/>
      <c r="RZC193" s="321"/>
      <c r="RZD193" s="321"/>
      <c r="RZE193" s="331"/>
      <c r="RZF193" s="308"/>
      <c r="RZG193" s="301"/>
      <c r="RZH193" s="301"/>
      <c r="RZI193" s="302"/>
      <c r="RZJ193" s="309"/>
      <c r="RZK193" s="329"/>
      <c r="RZL193" s="311"/>
      <c r="RZM193" s="312"/>
      <c r="RZN193" s="326"/>
      <c r="RZO193" s="332"/>
      <c r="RZP193" s="321"/>
      <c r="RZQ193" s="321"/>
      <c r="RZR193" s="331"/>
      <c r="RZS193" s="308"/>
      <c r="RZT193" s="301"/>
      <c r="RZU193" s="301"/>
      <c r="RZV193" s="302"/>
      <c r="RZW193" s="309"/>
      <c r="RZX193" s="329"/>
      <c r="RZY193" s="311"/>
      <c r="RZZ193" s="312"/>
      <c r="SAA193" s="326"/>
      <c r="SAB193" s="332"/>
      <c r="SAC193" s="321"/>
      <c r="SAD193" s="321"/>
      <c r="SAE193" s="331"/>
      <c r="SAF193" s="308"/>
      <c r="SAG193" s="301"/>
      <c r="SAH193" s="301"/>
      <c r="SAI193" s="302"/>
      <c r="SAJ193" s="309"/>
      <c r="SAK193" s="329"/>
      <c r="SAL193" s="311"/>
      <c r="SAM193" s="312"/>
      <c r="SAN193" s="326"/>
      <c r="SAO193" s="332"/>
      <c r="SAP193" s="321"/>
      <c r="SAQ193" s="321"/>
      <c r="SAR193" s="331"/>
      <c r="SAS193" s="308"/>
      <c r="SAT193" s="301"/>
      <c r="SAU193" s="301"/>
      <c r="SAV193" s="302"/>
      <c r="SAW193" s="309"/>
      <c r="SAX193" s="329"/>
      <c r="SAY193" s="311"/>
      <c r="SAZ193" s="312"/>
      <c r="SBA193" s="326"/>
      <c r="SBB193" s="332"/>
      <c r="SBC193" s="321"/>
      <c r="SBD193" s="321"/>
      <c r="SBE193" s="331"/>
      <c r="SBF193" s="308"/>
      <c r="SBG193" s="301"/>
      <c r="SBH193" s="301"/>
      <c r="SBI193" s="302"/>
      <c r="SBJ193" s="309"/>
      <c r="SBK193" s="329"/>
      <c r="SBL193" s="311"/>
      <c r="SBM193" s="312"/>
      <c r="SBN193" s="326"/>
      <c r="SBO193" s="332"/>
      <c r="SBP193" s="321"/>
      <c r="SBQ193" s="321"/>
      <c r="SBR193" s="331"/>
      <c r="SBS193" s="308"/>
      <c r="SBT193" s="301"/>
      <c r="SBU193" s="301"/>
      <c r="SBV193" s="302"/>
      <c r="SBW193" s="309"/>
      <c r="SBX193" s="329"/>
      <c r="SBY193" s="311"/>
      <c r="SBZ193" s="312"/>
      <c r="SCA193" s="326"/>
      <c r="SCB193" s="332"/>
      <c r="SCC193" s="321"/>
      <c r="SCD193" s="321"/>
      <c r="SCE193" s="331"/>
      <c r="SCF193" s="308"/>
      <c r="SCG193" s="301"/>
      <c r="SCH193" s="301"/>
      <c r="SCI193" s="302"/>
      <c r="SCJ193" s="309"/>
      <c r="SCK193" s="329"/>
      <c r="SCL193" s="311"/>
      <c r="SCM193" s="312"/>
      <c r="SCN193" s="326"/>
      <c r="SCO193" s="332"/>
      <c r="SCP193" s="321"/>
      <c r="SCQ193" s="321"/>
      <c r="SCR193" s="331"/>
      <c r="SCS193" s="308"/>
      <c r="SCT193" s="301"/>
      <c r="SCU193" s="301"/>
      <c r="SCV193" s="302"/>
      <c r="SCW193" s="309"/>
      <c r="SCX193" s="329"/>
      <c r="SCY193" s="311"/>
      <c r="SCZ193" s="312"/>
      <c r="SDA193" s="326"/>
      <c r="SDB193" s="332"/>
      <c r="SDC193" s="321"/>
      <c r="SDD193" s="321"/>
      <c r="SDE193" s="331"/>
      <c r="SDF193" s="308"/>
      <c r="SDG193" s="301"/>
      <c r="SDH193" s="301"/>
      <c r="SDI193" s="302"/>
      <c r="SDJ193" s="309"/>
      <c r="SDK193" s="329"/>
      <c r="SDL193" s="311"/>
      <c r="SDM193" s="312"/>
      <c r="SDN193" s="326"/>
      <c r="SDO193" s="332"/>
      <c r="SDP193" s="321"/>
      <c r="SDQ193" s="321"/>
      <c r="SDR193" s="331"/>
      <c r="SDS193" s="308"/>
      <c r="SDT193" s="301"/>
      <c r="SDU193" s="301"/>
      <c r="SDV193" s="302"/>
      <c r="SDW193" s="309"/>
      <c r="SDX193" s="329"/>
      <c r="SDY193" s="311"/>
      <c r="SDZ193" s="312"/>
      <c r="SEA193" s="326"/>
      <c r="SEB193" s="332"/>
      <c r="SEC193" s="321"/>
      <c r="SED193" s="321"/>
      <c r="SEE193" s="331"/>
      <c r="SEF193" s="308"/>
      <c r="SEG193" s="301"/>
      <c r="SEH193" s="301"/>
      <c r="SEI193" s="302"/>
      <c r="SEJ193" s="309"/>
      <c r="SEK193" s="329"/>
      <c r="SEL193" s="311"/>
      <c r="SEM193" s="312"/>
      <c r="SEN193" s="326"/>
      <c r="SEO193" s="332"/>
      <c r="SEP193" s="321"/>
      <c r="SEQ193" s="321"/>
      <c r="SER193" s="331"/>
      <c r="SES193" s="308"/>
      <c r="SET193" s="301"/>
      <c r="SEU193" s="301"/>
      <c r="SEV193" s="302"/>
      <c r="SEW193" s="309"/>
      <c r="SEX193" s="329"/>
      <c r="SEY193" s="311"/>
      <c r="SEZ193" s="312"/>
      <c r="SFA193" s="326"/>
      <c r="SFB193" s="332"/>
      <c r="SFC193" s="321"/>
      <c r="SFD193" s="321"/>
      <c r="SFE193" s="331"/>
      <c r="SFF193" s="308"/>
      <c r="SFG193" s="301"/>
      <c r="SFH193" s="301"/>
      <c r="SFI193" s="302"/>
      <c r="SFJ193" s="309"/>
      <c r="SFK193" s="329"/>
      <c r="SFL193" s="311"/>
      <c r="SFM193" s="312"/>
      <c r="SFN193" s="326"/>
      <c r="SFO193" s="332"/>
      <c r="SFP193" s="321"/>
      <c r="SFQ193" s="321"/>
      <c r="SFR193" s="331"/>
      <c r="SFS193" s="308"/>
      <c r="SFT193" s="301"/>
      <c r="SFU193" s="301"/>
      <c r="SFV193" s="302"/>
      <c r="SFW193" s="309"/>
      <c r="SFX193" s="329"/>
      <c r="SFY193" s="311"/>
      <c r="SFZ193" s="312"/>
      <c r="SGA193" s="326"/>
      <c r="SGB193" s="332"/>
      <c r="SGC193" s="321"/>
      <c r="SGD193" s="321"/>
      <c r="SGE193" s="331"/>
      <c r="SGF193" s="308"/>
      <c r="SGG193" s="301"/>
      <c r="SGH193" s="301"/>
      <c r="SGI193" s="302"/>
      <c r="SGJ193" s="309"/>
      <c r="SGK193" s="329"/>
      <c r="SGL193" s="311"/>
      <c r="SGM193" s="312"/>
      <c r="SGN193" s="326"/>
      <c r="SGO193" s="332"/>
      <c r="SGP193" s="321"/>
      <c r="SGQ193" s="321"/>
      <c r="SGR193" s="331"/>
      <c r="SGS193" s="308"/>
      <c r="SGT193" s="301"/>
      <c r="SGU193" s="301"/>
      <c r="SGV193" s="302"/>
      <c r="SGW193" s="309"/>
      <c r="SGX193" s="329"/>
      <c r="SGY193" s="311"/>
      <c r="SGZ193" s="312"/>
      <c r="SHA193" s="326"/>
      <c r="SHB193" s="332"/>
      <c r="SHC193" s="321"/>
      <c r="SHD193" s="321"/>
      <c r="SHE193" s="331"/>
      <c r="SHF193" s="308"/>
      <c r="SHG193" s="301"/>
      <c r="SHH193" s="301"/>
      <c r="SHI193" s="302"/>
      <c r="SHJ193" s="309"/>
      <c r="SHK193" s="329"/>
      <c r="SHL193" s="311"/>
      <c r="SHM193" s="312"/>
      <c r="SHN193" s="326"/>
      <c r="SHO193" s="332"/>
      <c r="SHP193" s="321"/>
      <c r="SHQ193" s="321"/>
      <c r="SHR193" s="331"/>
      <c r="SHS193" s="308"/>
      <c r="SHT193" s="301"/>
      <c r="SHU193" s="301"/>
      <c r="SHV193" s="302"/>
      <c r="SHW193" s="309"/>
      <c r="SHX193" s="329"/>
      <c r="SHY193" s="311"/>
      <c r="SHZ193" s="312"/>
      <c r="SIA193" s="326"/>
      <c r="SIB193" s="332"/>
      <c r="SIC193" s="321"/>
      <c r="SID193" s="321"/>
      <c r="SIE193" s="331"/>
      <c r="SIF193" s="308"/>
      <c r="SIG193" s="301"/>
      <c r="SIH193" s="301"/>
      <c r="SII193" s="302"/>
      <c r="SIJ193" s="309"/>
      <c r="SIK193" s="329"/>
      <c r="SIL193" s="311"/>
      <c r="SIM193" s="312"/>
      <c r="SIN193" s="326"/>
      <c r="SIO193" s="332"/>
      <c r="SIP193" s="321"/>
      <c r="SIQ193" s="321"/>
      <c r="SIR193" s="331"/>
      <c r="SIS193" s="308"/>
      <c r="SIT193" s="301"/>
      <c r="SIU193" s="301"/>
      <c r="SIV193" s="302"/>
      <c r="SIW193" s="309"/>
      <c r="SIX193" s="329"/>
      <c r="SIY193" s="311"/>
      <c r="SIZ193" s="312"/>
      <c r="SJA193" s="326"/>
      <c r="SJB193" s="332"/>
      <c r="SJC193" s="321"/>
      <c r="SJD193" s="321"/>
      <c r="SJE193" s="331"/>
      <c r="SJF193" s="308"/>
      <c r="SJG193" s="301"/>
      <c r="SJH193" s="301"/>
      <c r="SJI193" s="302"/>
      <c r="SJJ193" s="309"/>
      <c r="SJK193" s="329"/>
      <c r="SJL193" s="311"/>
      <c r="SJM193" s="312"/>
      <c r="SJN193" s="326"/>
      <c r="SJO193" s="332"/>
      <c r="SJP193" s="321"/>
      <c r="SJQ193" s="321"/>
      <c r="SJR193" s="331"/>
      <c r="SJS193" s="308"/>
      <c r="SJT193" s="301"/>
      <c r="SJU193" s="301"/>
      <c r="SJV193" s="302"/>
      <c r="SJW193" s="309"/>
      <c r="SJX193" s="329"/>
      <c r="SJY193" s="311"/>
      <c r="SJZ193" s="312"/>
      <c r="SKA193" s="326"/>
      <c r="SKB193" s="332"/>
      <c r="SKC193" s="321"/>
      <c r="SKD193" s="321"/>
      <c r="SKE193" s="331"/>
      <c r="SKF193" s="308"/>
      <c r="SKG193" s="301"/>
      <c r="SKH193" s="301"/>
      <c r="SKI193" s="302"/>
      <c r="SKJ193" s="309"/>
      <c r="SKK193" s="329"/>
      <c r="SKL193" s="311"/>
      <c r="SKM193" s="312"/>
      <c r="SKN193" s="326"/>
      <c r="SKO193" s="332"/>
      <c r="SKP193" s="321"/>
      <c r="SKQ193" s="321"/>
      <c r="SKR193" s="331"/>
      <c r="SKS193" s="308"/>
      <c r="SKT193" s="301"/>
      <c r="SKU193" s="301"/>
      <c r="SKV193" s="302"/>
      <c r="SKW193" s="309"/>
      <c r="SKX193" s="329"/>
      <c r="SKY193" s="311"/>
      <c r="SKZ193" s="312"/>
      <c r="SLA193" s="326"/>
      <c r="SLB193" s="332"/>
      <c r="SLC193" s="321"/>
      <c r="SLD193" s="321"/>
      <c r="SLE193" s="331"/>
      <c r="SLF193" s="308"/>
      <c r="SLG193" s="301"/>
      <c r="SLH193" s="301"/>
      <c r="SLI193" s="302"/>
      <c r="SLJ193" s="309"/>
      <c r="SLK193" s="329"/>
      <c r="SLL193" s="311"/>
      <c r="SLM193" s="312"/>
      <c r="SLN193" s="326"/>
      <c r="SLO193" s="332"/>
      <c r="SLP193" s="321"/>
      <c r="SLQ193" s="321"/>
      <c r="SLR193" s="331"/>
      <c r="SLS193" s="308"/>
      <c r="SLT193" s="301"/>
      <c r="SLU193" s="301"/>
      <c r="SLV193" s="302"/>
      <c r="SLW193" s="309"/>
      <c r="SLX193" s="329"/>
      <c r="SLY193" s="311"/>
      <c r="SLZ193" s="312"/>
      <c r="SMA193" s="326"/>
      <c r="SMB193" s="332"/>
      <c r="SMC193" s="321"/>
      <c r="SMD193" s="321"/>
      <c r="SME193" s="331"/>
      <c r="SMF193" s="308"/>
      <c r="SMG193" s="301"/>
      <c r="SMH193" s="301"/>
      <c r="SMI193" s="302"/>
      <c r="SMJ193" s="309"/>
      <c r="SMK193" s="329"/>
      <c r="SML193" s="311"/>
      <c r="SMM193" s="312"/>
      <c r="SMN193" s="326"/>
      <c r="SMO193" s="332"/>
      <c r="SMP193" s="321"/>
      <c r="SMQ193" s="321"/>
      <c r="SMR193" s="331"/>
      <c r="SMS193" s="308"/>
      <c r="SMT193" s="301"/>
      <c r="SMU193" s="301"/>
      <c r="SMV193" s="302"/>
      <c r="SMW193" s="309"/>
      <c r="SMX193" s="329"/>
      <c r="SMY193" s="311"/>
      <c r="SMZ193" s="312"/>
      <c r="SNA193" s="326"/>
      <c r="SNB193" s="332"/>
      <c r="SNC193" s="321"/>
      <c r="SND193" s="321"/>
      <c r="SNE193" s="331"/>
      <c r="SNF193" s="308"/>
      <c r="SNG193" s="301"/>
      <c r="SNH193" s="301"/>
      <c r="SNI193" s="302"/>
      <c r="SNJ193" s="309"/>
      <c r="SNK193" s="329"/>
      <c r="SNL193" s="311"/>
      <c r="SNM193" s="312"/>
      <c r="SNN193" s="326"/>
      <c r="SNO193" s="332"/>
      <c r="SNP193" s="321"/>
      <c r="SNQ193" s="321"/>
      <c r="SNR193" s="331"/>
      <c r="SNS193" s="308"/>
      <c r="SNT193" s="301"/>
      <c r="SNU193" s="301"/>
      <c r="SNV193" s="302"/>
      <c r="SNW193" s="309"/>
      <c r="SNX193" s="329"/>
      <c r="SNY193" s="311"/>
      <c r="SNZ193" s="312"/>
      <c r="SOA193" s="326"/>
      <c r="SOB193" s="332"/>
      <c r="SOC193" s="321"/>
      <c r="SOD193" s="321"/>
      <c r="SOE193" s="331"/>
      <c r="SOF193" s="308"/>
      <c r="SOG193" s="301"/>
      <c r="SOH193" s="301"/>
      <c r="SOI193" s="302"/>
      <c r="SOJ193" s="309"/>
      <c r="SOK193" s="329"/>
      <c r="SOL193" s="311"/>
      <c r="SOM193" s="312"/>
      <c r="SON193" s="326"/>
      <c r="SOO193" s="332"/>
      <c r="SOP193" s="321"/>
      <c r="SOQ193" s="321"/>
      <c r="SOR193" s="331"/>
      <c r="SOS193" s="308"/>
      <c r="SOT193" s="301"/>
      <c r="SOU193" s="301"/>
      <c r="SOV193" s="302"/>
      <c r="SOW193" s="309"/>
      <c r="SOX193" s="329"/>
      <c r="SOY193" s="311"/>
      <c r="SOZ193" s="312"/>
      <c r="SPA193" s="326"/>
      <c r="SPB193" s="332"/>
      <c r="SPC193" s="321"/>
      <c r="SPD193" s="321"/>
      <c r="SPE193" s="331"/>
      <c r="SPF193" s="308"/>
      <c r="SPG193" s="301"/>
      <c r="SPH193" s="301"/>
      <c r="SPI193" s="302"/>
      <c r="SPJ193" s="309"/>
      <c r="SPK193" s="329"/>
      <c r="SPL193" s="311"/>
      <c r="SPM193" s="312"/>
      <c r="SPN193" s="326"/>
      <c r="SPO193" s="332"/>
      <c r="SPP193" s="321"/>
      <c r="SPQ193" s="321"/>
      <c r="SPR193" s="331"/>
      <c r="SPS193" s="308"/>
      <c r="SPT193" s="301"/>
      <c r="SPU193" s="301"/>
      <c r="SPV193" s="302"/>
      <c r="SPW193" s="309"/>
      <c r="SPX193" s="329"/>
      <c r="SPY193" s="311"/>
      <c r="SPZ193" s="312"/>
      <c r="SQA193" s="326"/>
      <c r="SQB193" s="332"/>
      <c r="SQC193" s="321"/>
      <c r="SQD193" s="321"/>
      <c r="SQE193" s="331"/>
      <c r="SQF193" s="308"/>
      <c r="SQG193" s="301"/>
      <c r="SQH193" s="301"/>
      <c r="SQI193" s="302"/>
      <c r="SQJ193" s="309"/>
      <c r="SQK193" s="329"/>
      <c r="SQL193" s="311"/>
      <c r="SQM193" s="312"/>
      <c r="SQN193" s="326"/>
      <c r="SQO193" s="332"/>
      <c r="SQP193" s="321"/>
      <c r="SQQ193" s="321"/>
      <c r="SQR193" s="331"/>
      <c r="SQS193" s="308"/>
      <c r="SQT193" s="301"/>
      <c r="SQU193" s="301"/>
      <c r="SQV193" s="302"/>
      <c r="SQW193" s="309"/>
      <c r="SQX193" s="329"/>
      <c r="SQY193" s="311"/>
      <c r="SQZ193" s="312"/>
      <c r="SRA193" s="326"/>
      <c r="SRB193" s="332"/>
      <c r="SRC193" s="321"/>
      <c r="SRD193" s="321"/>
      <c r="SRE193" s="331"/>
      <c r="SRF193" s="308"/>
      <c r="SRG193" s="301"/>
      <c r="SRH193" s="301"/>
      <c r="SRI193" s="302"/>
      <c r="SRJ193" s="309"/>
      <c r="SRK193" s="329"/>
      <c r="SRL193" s="311"/>
      <c r="SRM193" s="312"/>
      <c r="SRN193" s="326"/>
      <c r="SRO193" s="332"/>
      <c r="SRP193" s="321"/>
      <c r="SRQ193" s="321"/>
      <c r="SRR193" s="331"/>
      <c r="SRS193" s="308"/>
      <c r="SRT193" s="301"/>
      <c r="SRU193" s="301"/>
      <c r="SRV193" s="302"/>
      <c r="SRW193" s="309"/>
      <c r="SRX193" s="329"/>
      <c r="SRY193" s="311"/>
      <c r="SRZ193" s="312"/>
      <c r="SSA193" s="326"/>
      <c r="SSB193" s="332"/>
      <c r="SSC193" s="321"/>
      <c r="SSD193" s="321"/>
      <c r="SSE193" s="331"/>
      <c r="SSF193" s="308"/>
      <c r="SSG193" s="301"/>
      <c r="SSH193" s="301"/>
      <c r="SSI193" s="302"/>
      <c r="SSJ193" s="309"/>
      <c r="SSK193" s="329"/>
      <c r="SSL193" s="311"/>
      <c r="SSM193" s="312"/>
      <c r="SSN193" s="326"/>
      <c r="SSO193" s="332"/>
      <c r="SSP193" s="321"/>
      <c r="SSQ193" s="321"/>
      <c r="SSR193" s="331"/>
      <c r="SSS193" s="308"/>
      <c r="SST193" s="301"/>
      <c r="SSU193" s="301"/>
      <c r="SSV193" s="302"/>
      <c r="SSW193" s="309"/>
      <c r="SSX193" s="329"/>
      <c r="SSY193" s="311"/>
      <c r="SSZ193" s="312"/>
      <c r="STA193" s="326"/>
      <c r="STB193" s="332"/>
      <c r="STC193" s="321"/>
      <c r="STD193" s="321"/>
      <c r="STE193" s="331"/>
      <c r="STF193" s="308"/>
      <c r="STG193" s="301"/>
      <c r="STH193" s="301"/>
      <c r="STI193" s="302"/>
      <c r="STJ193" s="309"/>
      <c r="STK193" s="329"/>
      <c r="STL193" s="311"/>
      <c r="STM193" s="312"/>
      <c r="STN193" s="326"/>
      <c r="STO193" s="332"/>
      <c r="STP193" s="321"/>
      <c r="STQ193" s="321"/>
      <c r="STR193" s="331"/>
      <c r="STS193" s="308"/>
      <c r="STT193" s="301"/>
      <c r="STU193" s="301"/>
      <c r="STV193" s="302"/>
      <c r="STW193" s="309"/>
      <c r="STX193" s="329"/>
      <c r="STY193" s="311"/>
      <c r="STZ193" s="312"/>
      <c r="SUA193" s="326"/>
      <c r="SUB193" s="332"/>
      <c r="SUC193" s="321"/>
      <c r="SUD193" s="321"/>
      <c r="SUE193" s="331"/>
      <c r="SUF193" s="308"/>
      <c r="SUG193" s="301"/>
      <c r="SUH193" s="301"/>
      <c r="SUI193" s="302"/>
      <c r="SUJ193" s="309"/>
      <c r="SUK193" s="329"/>
      <c r="SUL193" s="311"/>
      <c r="SUM193" s="312"/>
      <c r="SUN193" s="326"/>
      <c r="SUO193" s="332"/>
      <c r="SUP193" s="321"/>
      <c r="SUQ193" s="321"/>
      <c r="SUR193" s="331"/>
      <c r="SUS193" s="308"/>
      <c r="SUT193" s="301"/>
      <c r="SUU193" s="301"/>
      <c r="SUV193" s="302"/>
      <c r="SUW193" s="309"/>
      <c r="SUX193" s="329"/>
      <c r="SUY193" s="311"/>
      <c r="SUZ193" s="312"/>
      <c r="SVA193" s="326"/>
      <c r="SVB193" s="332"/>
      <c r="SVC193" s="321"/>
      <c r="SVD193" s="321"/>
      <c r="SVE193" s="331"/>
      <c r="SVF193" s="308"/>
      <c r="SVG193" s="301"/>
      <c r="SVH193" s="301"/>
      <c r="SVI193" s="302"/>
      <c r="SVJ193" s="309"/>
      <c r="SVK193" s="329"/>
      <c r="SVL193" s="311"/>
      <c r="SVM193" s="312"/>
      <c r="SVN193" s="326"/>
      <c r="SVO193" s="332"/>
      <c r="SVP193" s="321"/>
      <c r="SVQ193" s="321"/>
      <c r="SVR193" s="331"/>
      <c r="SVS193" s="308"/>
      <c r="SVT193" s="301"/>
      <c r="SVU193" s="301"/>
      <c r="SVV193" s="302"/>
      <c r="SVW193" s="309"/>
      <c r="SVX193" s="329"/>
      <c r="SVY193" s="311"/>
      <c r="SVZ193" s="312"/>
      <c r="SWA193" s="326"/>
      <c r="SWB193" s="332"/>
      <c r="SWC193" s="321"/>
      <c r="SWD193" s="321"/>
      <c r="SWE193" s="331"/>
      <c r="SWF193" s="308"/>
      <c r="SWG193" s="301"/>
      <c r="SWH193" s="301"/>
      <c r="SWI193" s="302"/>
      <c r="SWJ193" s="309"/>
      <c r="SWK193" s="329"/>
      <c r="SWL193" s="311"/>
      <c r="SWM193" s="312"/>
      <c r="SWN193" s="326"/>
      <c r="SWO193" s="332"/>
      <c r="SWP193" s="321"/>
      <c r="SWQ193" s="321"/>
      <c r="SWR193" s="331"/>
      <c r="SWS193" s="308"/>
      <c r="SWT193" s="301"/>
      <c r="SWU193" s="301"/>
      <c r="SWV193" s="302"/>
      <c r="SWW193" s="309"/>
      <c r="SWX193" s="329"/>
      <c r="SWY193" s="311"/>
      <c r="SWZ193" s="312"/>
      <c r="SXA193" s="326"/>
      <c r="SXB193" s="332"/>
      <c r="SXC193" s="321"/>
      <c r="SXD193" s="321"/>
      <c r="SXE193" s="331"/>
      <c r="SXF193" s="308"/>
      <c r="SXG193" s="301"/>
      <c r="SXH193" s="301"/>
      <c r="SXI193" s="302"/>
      <c r="SXJ193" s="309"/>
      <c r="SXK193" s="329"/>
      <c r="SXL193" s="311"/>
      <c r="SXM193" s="312"/>
      <c r="SXN193" s="326"/>
      <c r="SXO193" s="332"/>
      <c r="SXP193" s="321"/>
      <c r="SXQ193" s="321"/>
      <c r="SXR193" s="331"/>
      <c r="SXS193" s="308"/>
      <c r="SXT193" s="301"/>
      <c r="SXU193" s="301"/>
      <c r="SXV193" s="302"/>
      <c r="SXW193" s="309"/>
      <c r="SXX193" s="329"/>
      <c r="SXY193" s="311"/>
      <c r="SXZ193" s="312"/>
      <c r="SYA193" s="326"/>
      <c r="SYB193" s="332"/>
      <c r="SYC193" s="321"/>
      <c r="SYD193" s="321"/>
      <c r="SYE193" s="331"/>
      <c r="SYF193" s="308"/>
      <c r="SYG193" s="301"/>
      <c r="SYH193" s="301"/>
      <c r="SYI193" s="302"/>
      <c r="SYJ193" s="309"/>
      <c r="SYK193" s="329"/>
      <c r="SYL193" s="311"/>
      <c r="SYM193" s="312"/>
      <c r="SYN193" s="326"/>
      <c r="SYO193" s="332"/>
      <c r="SYP193" s="321"/>
      <c r="SYQ193" s="321"/>
      <c r="SYR193" s="331"/>
      <c r="SYS193" s="308"/>
      <c r="SYT193" s="301"/>
      <c r="SYU193" s="301"/>
      <c r="SYV193" s="302"/>
      <c r="SYW193" s="309"/>
      <c r="SYX193" s="329"/>
      <c r="SYY193" s="311"/>
      <c r="SYZ193" s="312"/>
      <c r="SZA193" s="326"/>
      <c r="SZB193" s="332"/>
      <c r="SZC193" s="321"/>
      <c r="SZD193" s="321"/>
      <c r="SZE193" s="331"/>
      <c r="SZF193" s="308"/>
      <c r="SZG193" s="301"/>
      <c r="SZH193" s="301"/>
      <c r="SZI193" s="302"/>
      <c r="SZJ193" s="309"/>
      <c r="SZK193" s="329"/>
      <c r="SZL193" s="311"/>
      <c r="SZM193" s="312"/>
      <c r="SZN193" s="326"/>
      <c r="SZO193" s="332"/>
      <c r="SZP193" s="321"/>
      <c r="SZQ193" s="321"/>
      <c r="SZR193" s="331"/>
      <c r="SZS193" s="308"/>
      <c r="SZT193" s="301"/>
      <c r="SZU193" s="301"/>
      <c r="SZV193" s="302"/>
      <c r="SZW193" s="309"/>
      <c r="SZX193" s="329"/>
      <c r="SZY193" s="311"/>
      <c r="SZZ193" s="312"/>
      <c r="TAA193" s="326"/>
      <c r="TAB193" s="332"/>
      <c r="TAC193" s="321"/>
      <c r="TAD193" s="321"/>
      <c r="TAE193" s="331"/>
      <c r="TAF193" s="308"/>
      <c r="TAG193" s="301"/>
      <c r="TAH193" s="301"/>
      <c r="TAI193" s="302"/>
      <c r="TAJ193" s="309"/>
      <c r="TAK193" s="329"/>
      <c r="TAL193" s="311"/>
      <c r="TAM193" s="312"/>
      <c r="TAN193" s="326"/>
      <c r="TAO193" s="332"/>
      <c r="TAP193" s="321"/>
      <c r="TAQ193" s="321"/>
      <c r="TAR193" s="331"/>
      <c r="TAS193" s="308"/>
      <c r="TAT193" s="301"/>
      <c r="TAU193" s="301"/>
      <c r="TAV193" s="302"/>
      <c r="TAW193" s="309"/>
      <c r="TAX193" s="329"/>
      <c r="TAY193" s="311"/>
      <c r="TAZ193" s="312"/>
      <c r="TBA193" s="326"/>
      <c r="TBB193" s="332"/>
      <c r="TBC193" s="321"/>
      <c r="TBD193" s="321"/>
      <c r="TBE193" s="331"/>
      <c r="TBF193" s="308"/>
      <c r="TBG193" s="301"/>
      <c r="TBH193" s="301"/>
      <c r="TBI193" s="302"/>
      <c r="TBJ193" s="309"/>
      <c r="TBK193" s="329"/>
      <c r="TBL193" s="311"/>
      <c r="TBM193" s="312"/>
      <c r="TBN193" s="326"/>
      <c r="TBO193" s="332"/>
      <c r="TBP193" s="321"/>
      <c r="TBQ193" s="321"/>
      <c r="TBR193" s="331"/>
      <c r="TBS193" s="308"/>
      <c r="TBT193" s="301"/>
      <c r="TBU193" s="301"/>
      <c r="TBV193" s="302"/>
      <c r="TBW193" s="309"/>
      <c r="TBX193" s="329"/>
      <c r="TBY193" s="311"/>
      <c r="TBZ193" s="312"/>
      <c r="TCA193" s="326"/>
      <c r="TCB193" s="332"/>
      <c r="TCC193" s="321"/>
      <c r="TCD193" s="321"/>
      <c r="TCE193" s="331"/>
      <c r="TCF193" s="308"/>
      <c r="TCG193" s="301"/>
      <c r="TCH193" s="301"/>
      <c r="TCI193" s="302"/>
      <c r="TCJ193" s="309"/>
      <c r="TCK193" s="329"/>
      <c r="TCL193" s="311"/>
      <c r="TCM193" s="312"/>
      <c r="TCN193" s="326"/>
      <c r="TCO193" s="332"/>
      <c r="TCP193" s="321"/>
      <c r="TCQ193" s="321"/>
      <c r="TCR193" s="331"/>
      <c r="TCS193" s="308"/>
      <c r="TCT193" s="301"/>
      <c r="TCU193" s="301"/>
      <c r="TCV193" s="302"/>
      <c r="TCW193" s="309"/>
      <c r="TCX193" s="329"/>
      <c r="TCY193" s="311"/>
      <c r="TCZ193" s="312"/>
      <c r="TDA193" s="326"/>
      <c r="TDB193" s="332"/>
      <c r="TDC193" s="321"/>
      <c r="TDD193" s="321"/>
      <c r="TDE193" s="331"/>
      <c r="TDF193" s="308"/>
      <c r="TDG193" s="301"/>
      <c r="TDH193" s="301"/>
      <c r="TDI193" s="302"/>
      <c r="TDJ193" s="309"/>
      <c r="TDK193" s="329"/>
      <c r="TDL193" s="311"/>
      <c r="TDM193" s="312"/>
      <c r="TDN193" s="326"/>
      <c r="TDO193" s="332"/>
      <c r="TDP193" s="321"/>
      <c r="TDQ193" s="321"/>
      <c r="TDR193" s="331"/>
      <c r="TDS193" s="308"/>
      <c r="TDT193" s="301"/>
      <c r="TDU193" s="301"/>
      <c r="TDV193" s="302"/>
      <c r="TDW193" s="309"/>
      <c r="TDX193" s="329"/>
      <c r="TDY193" s="311"/>
      <c r="TDZ193" s="312"/>
      <c r="TEA193" s="326"/>
      <c r="TEB193" s="332"/>
      <c r="TEC193" s="321"/>
      <c r="TED193" s="321"/>
      <c r="TEE193" s="331"/>
      <c r="TEF193" s="308"/>
      <c r="TEG193" s="301"/>
      <c r="TEH193" s="301"/>
      <c r="TEI193" s="302"/>
      <c r="TEJ193" s="309"/>
      <c r="TEK193" s="329"/>
      <c r="TEL193" s="311"/>
      <c r="TEM193" s="312"/>
      <c r="TEN193" s="326"/>
      <c r="TEO193" s="332"/>
      <c r="TEP193" s="321"/>
      <c r="TEQ193" s="321"/>
      <c r="TER193" s="331"/>
      <c r="TES193" s="308"/>
      <c r="TET193" s="301"/>
      <c r="TEU193" s="301"/>
      <c r="TEV193" s="302"/>
      <c r="TEW193" s="309"/>
      <c r="TEX193" s="329"/>
      <c r="TEY193" s="311"/>
      <c r="TEZ193" s="312"/>
      <c r="TFA193" s="326"/>
      <c r="TFB193" s="332"/>
      <c r="TFC193" s="321"/>
      <c r="TFD193" s="321"/>
      <c r="TFE193" s="331"/>
      <c r="TFF193" s="308"/>
      <c r="TFG193" s="301"/>
      <c r="TFH193" s="301"/>
      <c r="TFI193" s="302"/>
      <c r="TFJ193" s="309"/>
      <c r="TFK193" s="329"/>
      <c r="TFL193" s="311"/>
      <c r="TFM193" s="312"/>
      <c r="TFN193" s="326"/>
      <c r="TFO193" s="332"/>
      <c r="TFP193" s="321"/>
      <c r="TFQ193" s="321"/>
      <c r="TFR193" s="331"/>
      <c r="TFS193" s="308"/>
      <c r="TFT193" s="301"/>
      <c r="TFU193" s="301"/>
      <c r="TFV193" s="302"/>
      <c r="TFW193" s="309"/>
      <c r="TFX193" s="329"/>
      <c r="TFY193" s="311"/>
      <c r="TFZ193" s="312"/>
      <c r="TGA193" s="326"/>
      <c r="TGB193" s="332"/>
      <c r="TGC193" s="321"/>
      <c r="TGD193" s="321"/>
      <c r="TGE193" s="331"/>
      <c r="TGF193" s="308"/>
      <c r="TGG193" s="301"/>
      <c r="TGH193" s="301"/>
      <c r="TGI193" s="302"/>
      <c r="TGJ193" s="309"/>
      <c r="TGK193" s="329"/>
      <c r="TGL193" s="311"/>
      <c r="TGM193" s="312"/>
      <c r="TGN193" s="326"/>
      <c r="TGO193" s="332"/>
      <c r="TGP193" s="321"/>
      <c r="TGQ193" s="321"/>
      <c r="TGR193" s="331"/>
      <c r="TGS193" s="308"/>
      <c r="TGT193" s="301"/>
      <c r="TGU193" s="301"/>
      <c r="TGV193" s="302"/>
      <c r="TGW193" s="309"/>
      <c r="TGX193" s="329"/>
      <c r="TGY193" s="311"/>
      <c r="TGZ193" s="312"/>
      <c r="THA193" s="326"/>
      <c r="THB193" s="332"/>
      <c r="THC193" s="321"/>
      <c r="THD193" s="321"/>
      <c r="THE193" s="331"/>
      <c r="THF193" s="308"/>
      <c r="THG193" s="301"/>
      <c r="THH193" s="301"/>
      <c r="THI193" s="302"/>
      <c r="THJ193" s="309"/>
      <c r="THK193" s="329"/>
      <c r="THL193" s="311"/>
      <c r="THM193" s="312"/>
      <c r="THN193" s="326"/>
      <c r="THO193" s="332"/>
      <c r="THP193" s="321"/>
      <c r="THQ193" s="321"/>
      <c r="THR193" s="331"/>
      <c r="THS193" s="308"/>
      <c r="THT193" s="301"/>
      <c r="THU193" s="301"/>
      <c r="THV193" s="302"/>
      <c r="THW193" s="309"/>
      <c r="THX193" s="329"/>
      <c r="THY193" s="311"/>
      <c r="THZ193" s="312"/>
      <c r="TIA193" s="326"/>
      <c r="TIB193" s="332"/>
      <c r="TIC193" s="321"/>
      <c r="TID193" s="321"/>
      <c r="TIE193" s="331"/>
      <c r="TIF193" s="308"/>
      <c r="TIG193" s="301"/>
      <c r="TIH193" s="301"/>
      <c r="TII193" s="302"/>
      <c r="TIJ193" s="309"/>
      <c r="TIK193" s="329"/>
      <c r="TIL193" s="311"/>
      <c r="TIM193" s="312"/>
      <c r="TIN193" s="326"/>
      <c r="TIO193" s="332"/>
      <c r="TIP193" s="321"/>
      <c r="TIQ193" s="321"/>
      <c r="TIR193" s="331"/>
      <c r="TIS193" s="308"/>
      <c r="TIT193" s="301"/>
      <c r="TIU193" s="301"/>
      <c r="TIV193" s="302"/>
      <c r="TIW193" s="309"/>
      <c r="TIX193" s="329"/>
      <c r="TIY193" s="311"/>
      <c r="TIZ193" s="312"/>
      <c r="TJA193" s="326"/>
      <c r="TJB193" s="332"/>
      <c r="TJC193" s="321"/>
      <c r="TJD193" s="321"/>
      <c r="TJE193" s="331"/>
      <c r="TJF193" s="308"/>
      <c r="TJG193" s="301"/>
      <c r="TJH193" s="301"/>
      <c r="TJI193" s="302"/>
      <c r="TJJ193" s="309"/>
      <c r="TJK193" s="329"/>
      <c r="TJL193" s="311"/>
      <c r="TJM193" s="312"/>
      <c r="TJN193" s="326"/>
      <c r="TJO193" s="332"/>
      <c r="TJP193" s="321"/>
      <c r="TJQ193" s="321"/>
      <c r="TJR193" s="331"/>
      <c r="TJS193" s="308"/>
      <c r="TJT193" s="301"/>
      <c r="TJU193" s="301"/>
      <c r="TJV193" s="302"/>
      <c r="TJW193" s="309"/>
      <c r="TJX193" s="329"/>
      <c r="TJY193" s="311"/>
      <c r="TJZ193" s="312"/>
      <c r="TKA193" s="326"/>
      <c r="TKB193" s="332"/>
      <c r="TKC193" s="321"/>
      <c r="TKD193" s="321"/>
      <c r="TKE193" s="331"/>
      <c r="TKF193" s="308"/>
      <c r="TKG193" s="301"/>
      <c r="TKH193" s="301"/>
      <c r="TKI193" s="302"/>
      <c r="TKJ193" s="309"/>
      <c r="TKK193" s="329"/>
      <c r="TKL193" s="311"/>
      <c r="TKM193" s="312"/>
      <c r="TKN193" s="326"/>
      <c r="TKO193" s="332"/>
      <c r="TKP193" s="321"/>
      <c r="TKQ193" s="321"/>
      <c r="TKR193" s="331"/>
      <c r="TKS193" s="308"/>
      <c r="TKT193" s="301"/>
      <c r="TKU193" s="301"/>
      <c r="TKV193" s="302"/>
      <c r="TKW193" s="309"/>
      <c r="TKX193" s="329"/>
      <c r="TKY193" s="311"/>
      <c r="TKZ193" s="312"/>
      <c r="TLA193" s="326"/>
      <c r="TLB193" s="332"/>
      <c r="TLC193" s="321"/>
      <c r="TLD193" s="321"/>
      <c r="TLE193" s="331"/>
      <c r="TLF193" s="308"/>
      <c r="TLG193" s="301"/>
      <c r="TLH193" s="301"/>
      <c r="TLI193" s="302"/>
      <c r="TLJ193" s="309"/>
      <c r="TLK193" s="329"/>
      <c r="TLL193" s="311"/>
      <c r="TLM193" s="312"/>
      <c r="TLN193" s="326"/>
      <c r="TLO193" s="332"/>
      <c r="TLP193" s="321"/>
      <c r="TLQ193" s="321"/>
      <c r="TLR193" s="331"/>
      <c r="TLS193" s="308"/>
      <c r="TLT193" s="301"/>
      <c r="TLU193" s="301"/>
      <c r="TLV193" s="302"/>
      <c r="TLW193" s="309"/>
      <c r="TLX193" s="329"/>
      <c r="TLY193" s="311"/>
      <c r="TLZ193" s="312"/>
      <c r="TMA193" s="326"/>
      <c r="TMB193" s="332"/>
      <c r="TMC193" s="321"/>
      <c r="TMD193" s="321"/>
      <c r="TME193" s="331"/>
      <c r="TMF193" s="308"/>
      <c r="TMG193" s="301"/>
      <c r="TMH193" s="301"/>
      <c r="TMI193" s="302"/>
      <c r="TMJ193" s="309"/>
      <c r="TMK193" s="329"/>
      <c r="TML193" s="311"/>
      <c r="TMM193" s="312"/>
      <c r="TMN193" s="326"/>
      <c r="TMO193" s="332"/>
      <c r="TMP193" s="321"/>
      <c r="TMQ193" s="321"/>
      <c r="TMR193" s="331"/>
      <c r="TMS193" s="308"/>
      <c r="TMT193" s="301"/>
      <c r="TMU193" s="301"/>
      <c r="TMV193" s="302"/>
      <c r="TMW193" s="309"/>
      <c r="TMX193" s="329"/>
      <c r="TMY193" s="311"/>
      <c r="TMZ193" s="312"/>
      <c r="TNA193" s="326"/>
      <c r="TNB193" s="332"/>
      <c r="TNC193" s="321"/>
      <c r="TND193" s="321"/>
      <c r="TNE193" s="331"/>
      <c r="TNF193" s="308"/>
      <c r="TNG193" s="301"/>
      <c r="TNH193" s="301"/>
      <c r="TNI193" s="302"/>
      <c r="TNJ193" s="309"/>
      <c r="TNK193" s="329"/>
      <c r="TNL193" s="311"/>
      <c r="TNM193" s="312"/>
      <c r="TNN193" s="326"/>
      <c r="TNO193" s="332"/>
      <c r="TNP193" s="321"/>
      <c r="TNQ193" s="321"/>
      <c r="TNR193" s="331"/>
      <c r="TNS193" s="308"/>
      <c r="TNT193" s="301"/>
      <c r="TNU193" s="301"/>
      <c r="TNV193" s="302"/>
      <c r="TNW193" s="309"/>
      <c r="TNX193" s="329"/>
      <c r="TNY193" s="311"/>
      <c r="TNZ193" s="312"/>
      <c r="TOA193" s="326"/>
      <c r="TOB193" s="332"/>
      <c r="TOC193" s="321"/>
      <c r="TOD193" s="321"/>
      <c r="TOE193" s="331"/>
      <c r="TOF193" s="308"/>
      <c r="TOG193" s="301"/>
      <c r="TOH193" s="301"/>
      <c r="TOI193" s="302"/>
      <c r="TOJ193" s="309"/>
      <c r="TOK193" s="329"/>
      <c r="TOL193" s="311"/>
      <c r="TOM193" s="312"/>
      <c r="TON193" s="326"/>
      <c r="TOO193" s="332"/>
      <c r="TOP193" s="321"/>
      <c r="TOQ193" s="321"/>
      <c r="TOR193" s="331"/>
      <c r="TOS193" s="308"/>
      <c r="TOT193" s="301"/>
      <c r="TOU193" s="301"/>
      <c r="TOV193" s="302"/>
      <c r="TOW193" s="309"/>
      <c r="TOX193" s="329"/>
      <c r="TOY193" s="311"/>
      <c r="TOZ193" s="312"/>
      <c r="TPA193" s="326"/>
      <c r="TPB193" s="332"/>
      <c r="TPC193" s="321"/>
      <c r="TPD193" s="321"/>
      <c r="TPE193" s="331"/>
      <c r="TPF193" s="308"/>
      <c r="TPG193" s="301"/>
      <c r="TPH193" s="301"/>
      <c r="TPI193" s="302"/>
      <c r="TPJ193" s="309"/>
      <c r="TPK193" s="329"/>
      <c r="TPL193" s="311"/>
      <c r="TPM193" s="312"/>
      <c r="TPN193" s="326"/>
      <c r="TPO193" s="332"/>
      <c r="TPP193" s="321"/>
      <c r="TPQ193" s="321"/>
      <c r="TPR193" s="331"/>
      <c r="TPS193" s="308"/>
      <c r="TPT193" s="301"/>
      <c r="TPU193" s="301"/>
      <c r="TPV193" s="302"/>
      <c r="TPW193" s="309"/>
      <c r="TPX193" s="329"/>
      <c r="TPY193" s="311"/>
      <c r="TPZ193" s="312"/>
      <c r="TQA193" s="326"/>
      <c r="TQB193" s="332"/>
      <c r="TQC193" s="321"/>
      <c r="TQD193" s="321"/>
      <c r="TQE193" s="331"/>
      <c r="TQF193" s="308"/>
      <c r="TQG193" s="301"/>
      <c r="TQH193" s="301"/>
      <c r="TQI193" s="302"/>
      <c r="TQJ193" s="309"/>
      <c r="TQK193" s="329"/>
      <c r="TQL193" s="311"/>
      <c r="TQM193" s="312"/>
      <c r="TQN193" s="326"/>
      <c r="TQO193" s="332"/>
      <c r="TQP193" s="321"/>
      <c r="TQQ193" s="321"/>
      <c r="TQR193" s="331"/>
      <c r="TQS193" s="308"/>
      <c r="TQT193" s="301"/>
      <c r="TQU193" s="301"/>
      <c r="TQV193" s="302"/>
      <c r="TQW193" s="309"/>
      <c r="TQX193" s="329"/>
      <c r="TQY193" s="311"/>
      <c r="TQZ193" s="312"/>
      <c r="TRA193" s="326"/>
      <c r="TRB193" s="332"/>
      <c r="TRC193" s="321"/>
      <c r="TRD193" s="321"/>
      <c r="TRE193" s="331"/>
      <c r="TRF193" s="308"/>
      <c r="TRG193" s="301"/>
      <c r="TRH193" s="301"/>
      <c r="TRI193" s="302"/>
      <c r="TRJ193" s="309"/>
      <c r="TRK193" s="329"/>
      <c r="TRL193" s="311"/>
      <c r="TRM193" s="312"/>
      <c r="TRN193" s="326"/>
      <c r="TRO193" s="332"/>
      <c r="TRP193" s="321"/>
      <c r="TRQ193" s="321"/>
      <c r="TRR193" s="331"/>
      <c r="TRS193" s="308"/>
      <c r="TRT193" s="301"/>
      <c r="TRU193" s="301"/>
      <c r="TRV193" s="302"/>
      <c r="TRW193" s="309"/>
      <c r="TRX193" s="329"/>
      <c r="TRY193" s="311"/>
      <c r="TRZ193" s="312"/>
      <c r="TSA193" s="326"/>
      <c r="TSB193" s="332"/>
      <c r="TSC193" s="321"/>
      <c r="TSD193" s="321"/>
      <c r="TSE193" s="331"/>
      <c r="TSF193" s="308"/>
      <c r="TSG193" s="301"/>
      <c r="TSH193" s="301"/>
      <c r="TSI193" s="302"/>
      <c r="TSJ193" s="309"/>
      <c r="TSK193" s="329"/>
      <c r="TSL193" s="311"/>
      <c r="TSM193" s="312"/>
      <c r="TSN193" s="326"/>
      <c r="TSO193" s="332"/>
      <c r="TSP193" s="321"/>
      <c r="TSQ193" s="321"/>
      <c r="TSR193" s="331"/>
      <c r="TSS193" s="308"/>
      <c r="TST193" s="301"/>
      <c r="TSU193" s="301"/>
      <c r="TSV193" s="302"/>
      <c r="TSW193" s="309"/>
      <c r="TSX193" s="329"/>
      <c r="TSY193" s="311"/>
      <c r="TSZ193" s="312"/>
      <c r="TTA193" s="326"/>
      <c r="TTB193" s="332"/>
      <c r="TTC193" s="321"/>
      <c r="TTD193" s="321"/>
      <c r="TTE193" s="331"/>
      <c r="TTF193" s="308"/>
      <c r="TTG193" s="301"/>
      <c r="TTH193" s="301"/>
      <c r="TTI193" s="302"/>
      <c r="TTJ193" s="309"/>
      <c r="TTK193" s="329"/>
      <c r="TTL193" s="311"/>
      <c r="TTM193" s="312"/>
      <c r="TTN193" s="326"/>
      <c r="TTO193" s="332"/>
      <c r="TTP193" s="321"/>
      <c r="TTQ193" s="321"/>
      <c r="TTR193" s="331"/>
      <c r="TTS193" s="308"/>
      <c r="TTT193" s="301"/>
      <c r="TTU193" s="301"/>
      <c r="TTV193" s="302"/>
      <c r="TTW193" s="309"/>
      <c r="TTX193" s="329"/>
      <c r="TTY193" s="311"/>
      <c r="TTZ193" s="312"/>
      <c r="TUA193" s="326"/>
      <c r="TUB193" s="332"/>
      <c r="TUC193" s="321"/>
      <c r="TUD193" s="321"/>
      <c r="TUE193" s="331"/>
      <c r="TUF193" s="308"/>
      <c r="TUG193" s="301"/>
      <c r="TUH193" s="301"/>
      <c r="TUI193" s="302"/>
      <c r="TUJ193" s="309"/>
      <c r="TUK193" s="329"/>
      <c r="TUL193" s="311"/>
      <c r="TUM193" s="312"/>
      <c r="TUN193" s="326"/>
      <c r="TUO193" s="332"/>
      <c r="TUP193" s="321"/>
      <c r="TUQ193" s="321"/>
      <c r="TUR193" s="331"/>
      <c r="TUS193" s="308"/>
      <c r="TUT193" s="301"/>
      <c r="TUU193" s="301"/>
      <c r="TUV193" s="302"/>
      <c r="TUW193" s="309"/>
      <c r="TUX193" s="329"/>
      <c r="TUY193" s="311"/>
      <c r="TUZ193" s="312"/>
      <c r="TVA193" s="326"/>
      <c r="TVB193" s="332"/>
      <c r="TVC193" s="321"/>
      <c r="TVD193" s="321"/>
      <c r="TVE193" s="331"/>
      <c r="TVF193" s="308"/>
      <c r="TVG193" s="301"/>
      <c r="TVH193" s="301"/>
      <c r="TVI193" s="302"/>
      <c r="TVJ193" s="309"/>
      <c r="TVK193" s="329"/>
      <c r="TVL193" s="311"/>
      <c r="TVM193" s="312"/>
      <c r="TVN193" s="326"/>
      <c r="TVO193" s="332"/>
      <c r="TVP193" s="321"/>
      <c r="TVQ193" s="321"/>
      <c r="TVR193" s="331"/>
      <c r="TVS193" s="308"/>
      <c r="TVT193" s="301"/>
      <c r="TVU193" s="301"/>
      <c r="TVV193" s="302"/>
      <c r="TVW193" s="309"/>
      <c r="TVX193" s="329"/>
      <c r="TVY193" s="311"/>
      <c r="TVZ193" s="312"/>
      <c r="TWA193" s="326"/>
      <c r="TWB193" s="332"/>
      <c r="TWC193" s="321"/>
      <c r="TWD193" s="321"/>
      <c r="TWE193" s="331"/>
      <c r="TWF193" s="308"/>
      <c r="TWG193" s="301"/>
      <c r="TWH193" s="301"/>
      <c r="TWI193" s="302"/>
      <c r="TWJ193" s="309"/>
      <c r="TWK193" s="329"/>
      <c r="TWL193" s="311"/>
      <c r="TWM193" s="312"/>
      <c r="TWN193" s="326"/>
      <c r="TWO193" s="332"/>
      <c r="TWP193" s="321"/>
      <c r="TWQ193" s="321"/>
      <c r="TWR193" s="331"/>
      <c r="TWS193" s="308"/>
      <c r="TWT193" s="301"/>
      <c r="TWU193" s="301"/>
      <c r="TWV193" s="302"/>
      <c r="TWW193" s="309"/>
      <c r="TWX193" s="329"/>
      <c r="TWY193" s="311"/>
      <c r="TWZ193" s="312"/>
      <c r="TXA193" s="326"/>
      <c r="TXB193" s="332"/>
      <c r="TXC193" s="321"/>
      <c r="TXD193" s="321"/>
      <c r="TXE193" s="331"/>
      <c r="TXF193" s="308"/>
      <c r="TXG193" s="301"/>
      <c r="TXH193" s="301"/>
      <c r="TXI193" s="302"/>
      <c r="TXJ193" s="309"/>
      <c r="TXK193" s="329"/>
      <c r="TXL193" s="311"/>
      <c r="TXM193" s="312"/>
      <c r="TXN193" s="326"/>
      <c r="TXO193" s="332"/>
      <c r="TXP193" s="321"/>
      <c r="TXQ193" s="321"/>
      <c r="TXR193" s="331"/>
      <c r="TXS193" s="308"/>
      <c r="TXT193" s="301"/>
      <c r="TXU193" s="301"/>
      <c r="TXV193" s="302"/>
      <c r="TXW193" s="309"/>
      <c r="TXX193" s="329"/>
      <c r="TXY193" s="311"/>
      <c r="TXZ193" s="312"/>
      <c r="TYA193" s="326"/>
      <c r="TYB193" s="332"/>
      <c r="TYC193" s="321"/>
      <c r="TYD193" s="321"/>
      <c r="TYE193" s="331"/>
      <c r="TYF193" s="308"/>
      <c r="TYG193" s="301"/>
      <c r="TYH193" s="301"/>
      <c r="TYI193" s="302"/>
      <c r="TYJ193" s="309"/>
      <c r="TYK193" s="329"/>
      <c r="TYL193" s="311"/>
      <c r="TYM193" s="312"/>
      <c r="TYN193" s="326"/>
      <c r="TYO193" s="332"/>
      <c r="TYP193" s="321"/>
      <c r="TYQ193" s="321"/>
      <c r="TYR193" s="331"/>
      <c r="TYS193" s="308"/>
      <c r="TYT193" s="301"/>
      <c r="TYU193" s="301"/>
      <c r="TYV193" s="302"/>
      <c r="TYW193" s="309"/>
      <c r="TYX193" s="329"/>
      <c r="TYY193" s="311"/>
      <c r="TYZ193" s="312"/>
      <c r="TZA193" s="326"/>
      <c r="TZB193" s="332"/>
      <c r="TZC193" s="321"/>
      <c r="TZD193" s="321"/>
      <c r="TZE193" s="331"/>
      <c r="TZF193" s="308"/>
      <c r="TZG193" s="301"/>
      <c r="TZH193" s="301"/>
      <c r="TZI193" s="302"/>
      <c r="TZJ193" s="309"/>
      <c r="TZK193" s="329"/>
      <c r="TZL193" s="311"/>
      <c r="TZM193" s="312"/>
      <c r="TZN193" s="326"/>
      <c r="TZO193" s="332"/>
      <c r="TZP193" s="321"/>
      <c r="TZQ193" s="321"/>
      <c r="TZR193" s="331"/>
      <c r="TZS193" s="308"/>
      <c r="TZT193" s="301"/>
      <c r="TZU193" s="301"/>
      <c r="TZV193" s="302"/>
      <c r="TZW193" s="309"/>
      <c r="TZX193" s="329"/>
      <c r="TZY193" s="311"/>
      <c r="TZZ193" s="312"/>
      <c r="UAA193" s="326"/>
      <c r="UAB193" s="332"/>
      <c r="UAC193" s="321"/>
      <c r="UAD193" s="321"/>
      <c r="UAE193" s="331"/>
      <c r="UAF193" s="308"/>
      <c r="UAG193" s="301"/>
      <c r="UAH193" s="301"/>
      <c r="UAI193" s="302"/>
      <c r="UAJ193" s="309"/>
      <c r="UAK193" s="329"/>
      <c r="UAL193" s="311"/>
      <c r="UAM193" s="312"/>
      <c r="UAN193" s="326"/>
      <c r="UAO193" s="332"/>
      <c r="UAP193" s="321"/>
      <c r="UAQ193" s="321"/>
      <c r="UAR193" s="331"/>
      <c r="UAS193" s="308"/>
      <c r="UAT193" s="301"/>
      <c r="UAU193" s="301"/>
      <c r="UAV193" s="302"/>
      <c r="UAW193" s="309"/>
      <c r="UAX193" s="329"/>
      <c r="UAY193" s="311"/>
      <c r="UAZ193" s="312"/>
      <c r="UBA193" s="326"/>
      <c r="UBB193" s="332"/>
      <c r="UBC193" s="321"/>
      <c r="UBD193" s="321"/>
      <c r="UBE193" s="331"/>
      <c r="UBF193" s="308"/>
      <c r="UBG193" s="301"/>
      <c r="UBH193" s="301"/>
      <c r="UBI193" s="302"/>
      <c r="UBJ193" s="309"/>
      <c r="UBK193" s="329"/>
      <c r="UBL193" s="311"/>
      <c r="UBM193" s="312"/>
      <c r="UBN193" s="326"/>
      <c r="UBO193" s="332"/>
      <c r="UBP193" s="321"/>
      <c r="UBQ193" s="321"/>
      <c r="UBR193" s="331"/>
      <c r="UBS193" s="308"/>
      <c r="UBT193" s="301"/>
      <c r="UBU193" s="301"/>
      <c r="UBV193" s="302"/>
      <c r="UBW193" s="309"/>
      <c r="UBX193" s="329"/>
      <c r="UBY193" s="311"/>
      <c r="UBZ193" s="312"/>
      <c r="UCA193" s="326"/>
      <c r="UCB193" s="332"/>
      <c r="UCC193" s="321"/>
      <c r="UCD193" s="321"/>
      <c r="UCE193" s="331"/>
      <c r="UCF193" s="308"/>
      <c r="UCG193" s="301"/>
      <c r="UCH193" s="301"/>
      <c r="UCI193" s="302"/>
      <c r="UCJ193" s="309"/>
      <c r="UCK193" s="329"/>
      <c r="UCL193" s="311"/>
      <c r="UCM193" s="312"/>
      <c r="UCN193" s="326"/>
      <c r="UCO193" s="332"/>
      <c r="UCP193" s="321"/>
      <c r="UCQ193" s="321"/>
      <c r="UCR193" s="331"/>
      <c r="UCS193" s="308"/>
      <c r="UCT193" s="301"/>
      <c r="UCU193" s="301"/>
      <c r="UCV193" s="302"/>
      <c r="UCW193" s="309"/>
      <c r="UCX193" s="329"/>
      <c r="UCY193" s="311"/>
      <c r="UCZ193" s="312"/>
      <c r="UDA193" s="326"/>
      <c r="UDB193" s="332"/>
      <c r="UDC193" s="321"/>
      <c r="UDD193" s="321"/>
      <c r="UDE193" s="331"/>
      <c r="UDF193" s="308"/>
      <c r="UDG193" s="301"/>
      <c r="UDH193" s="301"/>
      <c r="UDI193" s="302"/>
      <c r="UDJ193" s="309"/>
      <c r="UDK193" s="329"/>
      <c r="UDL193" s="311"/>
      <c r="UDM193" s="312"/>
      <c r="UDN193" s="326"/>
      <c r="UDO193" s="332"/>
      <c r="UDP193" s="321"/>
      <c r="UDQ193" s="321"/>
      <c r="UDR193" s="331"/>
      <c r="UDS193" s="308"/>
      <c r="UDT193" s="301"/>
      <c r="UDU193" s="301"/>
      <c r="UDV193" s="302"/>
      <c r="UDW193" s="309"/>
      <c r="UDX193" s="329"/>
      <c r="UDY193" s="311"/>
      <c r="UDZ193" s="312"/>
      <c r="UEA193" s="326"/>
      <c r="UEB193" s="332"/>
      <c r="UEC193" s="321"/>
      <c r="UED193" s="321"/>
      <c r="UEE193" s="331"/>
      <c r="UEF193" s="308"/>
      <c r="UEG193" s="301"/>
      <c r="UEH193" s="301"/>
      <c r="UEI193" s="302"/>
      <c r="UEJ193" s="309"/>
      <c r="UEK193" s="329"/>
      <c r="UEL193" s="311"/>
      <c r="UEM193" s="312"/>
      <c r="UEN193" s="326"/>
      <c r="UEO193" s="332"/>
      <c r="UEP193" s="321"/>
      <c r="UEQ193" s="321"/>
      <c r="UER193" s="331"/>
      <c r="UES193" s="308"/>
      <c r="UET193" s="301"/>
      <c r="UEU193" s="301"/>
      <c r="UEV193" s="302"/>
      <c r="UEW193" s="309"/>
      <c r="UEX193" s="329"/>
      <c r="UEY193" s="311"/>
      <c r="UEZ193" s="312"/>
      <c r="UFA193" s="326"/>
      <c r="UFB193" s="332"/>
      <c r="UFC193" s="321"/>
      <c r="UFD193" s="321"/>
      <c r="UFE193" s="331"/>
      <c r="UFF193" s="308"/>
      <c r="UFG193" s="301"/>
      <c r="UFH193" s="301"/>
      <c r="UFI193" s="302"/>
      <c r="UFJ193" s="309"/>
      <c r="UFK193" s="329"/>
      <c r="UFL193" s="311"/>
      <c r="UFM193" s="312"/>
      <c r="UFN193" s="326"/>
      <c r="UFO193" s="332"/>
      <c r="UFP193" s="321"/>
      <c r="UFQ193" s="321"/>
      <c r="UFR193" s="331"/>
      <c r="UFS193" s="308"/>
      <c r="UFT193" s="301"/>
      <c r="UFU193" s="301"/>
      <c r="UFV193" s="302"/>
      <c r="UFW193" s="309"/>
      <c r="UFX193" s="329"/>
      <c r="UFY193" s="311"/>
      <c r="UFZ193" s="312"/>
      <c r="UGA193" s="326"/>
      <c r="UGB193" s="332"/>
      <c r="UGC193" s="321"/>
      <c r="UGD193" s="321"/>
      <c r="UGE193" s="331"/>
      <c r="UGF193" s="308"/>
      <c r="UGG193" s="301"/>
      <c r="UGH193" s="301"/>
      <c r="UGI193" s="302"/>
      <c r="UGJ193" s="309"/>
      <c r="UGK193" s="329"/>
      <c r="UGL193" s="311"/>
      <c r="UGM193" s="312"/>
      <c r="UGN193" s="326"/>
      <c r="UGO193" s="332"/>
      <c r="UGP193" s="321"/>
      <c r="UGQ193" s="321"/>
      <c r="UGR193" s="331"/>
      <c r="UGS193" s="308"/>
      <c r="UGT193" s="301"/>
      <c r="UGU193" s="301"/>
      <c r="UGV193" s="302"/>
      <c r="UGW193" s="309"/>
      <c r="UGX193" s="329"/>
      <c r="UGY193" s="311"/>
      <c r="UGZ193" s="312"/>
      <c r="UHA193" s="326"/>
      <c r="UHB193" s="332"/>
      <c r="UHC193" s="321"/>
      <c r="UHD193" s="321"/>
      <c r="UHE193" s="331"/>
      <c r="UHF193" s="308"/>
      <c r="UHG193" s="301"/>
      <c r="UHH193" s="301"/>
      <c r="UHI193" s="302"/>
      <c r="UHJ193" s="309"/>
      <c r="UHK193" s="329"/>
      <c r="UHL193" s="311"/>
      <c r="UHM193" s="312"/>
      <c r="UHN193" s="326"/>
      <c r="UHO193" s="332"/>
      <c r="UHP193" s="321"/>
      <c r="UHQ193" s="321"/>
      <c r="UHR193" s="331"/>
      <c r="UHS193" s="308"/>
      <c r="UHT193" s="301"/>
      <c r="UHU193" s="301"/>
      <c r="UHV193" s="302"/>
      <c r="UHW193" s="309"/>
      <c r="UHX193" s="329"/>
      <c r="UHY193" s="311"/>
      <c r="UHZ193" s="312"/>
      <c r="UIA193" s="326"/>
      <c r="UIB193" s="332"/>
      <c r="UIC193" s="321"/>
      <c r="UID193" s="321"/>
      <c r="UIE193" s="331"/>
      <c r="UIF193" s="308"/>
      <c r="UIG193" s="301"/>
      <c r="UIH193" s="301"/>
      <c r="UII193" s="302"/>
      <c r="UIJ193" s="309"/>
      <c r="UIK193" s="329"/>
      <c r="UIL193" s="311"/>
      <c r="UIM193" s="312"/>
      <c r="UIN193" s="326"/>
      <c r="UIO193" s="332"/>
      <c r="UIP193" s="321"/>
      <c r="UIQ193" s="321"/>
      <c r="UIR193" s="331"/>
      <c r="UIS193" s="308"/>
      <c r="UIT193" s="301"/>
      <c r="UIU193" s="301"/>
      <c r="UIV193" s="302"/>
      <c r="UIW193" s="309"/>
      <c r="UIX193" s="329"/>
      <c r="UIY193" s="311"/>
      <c r="UIZ193" s="312"/>
      <c r="UJA193" s="326"/>
      <c r="UJB193" s="332"/>
      <c r="UJC193" s="321"/>
      <c r="UJD193" s="321"/>
      <c r="UJE193" s="331"/>
      <c r="UJF193" s="308"/>
      <c r="UJG193" s="301"/>
      <c r="UJH193" s="301"/>
      <c r="UJI193" s="302"/>
      <c r="UJJ193" s="309"/>
      <c r="UJK193" s="329"/>
      <c r="UJL193" s="311"/>
      <c r="UJM193" s="312"/>
      <c r="UJN193" s="326"/>
      <c r="UJO193" s="332"/>
      <c r="UJP193" s="321"/>
      <c r="UJQ193" s="321"/>
      <c r="UJR193" s="331"/>
      <c r="UJS193" s="308"/>
      <c r="UJT193" s="301"/>
      <c r="UJU193" s="301"/>
      <c r="UJV193" s="302"/>
      <c r="UJW193" s="309"/>
      <c r="UJX193" s="329"/>
      <c r="UJY193" s="311"/>
      <c r="UJZ193" s="312"/>
      <c r="UKA193" s="326"/>
      <c r="UKB193" s="332"/>
      <c r="UKC193" s="321"/>
      <c r="UKD193" s="321"/>
      <c r="UKE193" s="331"/>
      <c r="UKF193" s="308"/>
      <c r="UKG193" s="301"/>
      <c r="UKH193" s="301"/>
      <c r="UKI193" s="302"/>
      <c r="UKJ193" s="309"/>
      <c r="UKK193" s="329"/>
      <c r="UKL193" s="311"/>
      <c r="UKM193" s="312"/>
      <c r="UKN193" s="326"/>
      <c r="UKO193" s="332"/>
      <c r="UKP193" s="321"/>
      <c r="UKQ193" s="321"/>
      <c r="UKR193" s="331"/>
      <c r="UKS193" s="308"/>
      <c r="UKT193" s="301"/>
      <c r="UKU193" s="301"/>
      <c r="UKV193" s="302"/>
      <c r="UKW193" s="309"/>
      <c r="UKX193" s="329"/>
      <c r="UKY193" s="311"/>
      <c r="UKZ193" s="312"/>
      <c r="ULA193" s="326"/>
      <c r="ULB193" s="332"/>
      <c r="ULC193" s="321"/>
      <c r="ULD193" s="321"/>
      <c r="ULE193" s="331"/>
      <c r="ULF193" s="308"/>
      <c r="ULG193" s="301"/>
      <c r="ULH193" s="301"/>
      <c r="ULI193" s="302"/>
      <c r="ULJ193" s="309"/>
      <c r="ULK193" s="329"/>
      <c r="ULL193" s="311"/>
      <c r="ULM193" s="312"/>
      <c r="ULN193" s="326"/>
      <c r="ULO193" s="332"/>
      <c r="ULP193" s="321"/>
      <c r="ULQ193" s="321"/>
      <c r="ULR193" s="331"/>
      <c r="ULS193" s="308"/>
      <c r="ULT193" s="301"/>
      <c r="ULU193" s="301"/>
      <c r="ULV193" s="302"/>
      <c r="ULW193" s="309"/>
      <c r="ULX193" s="329"/>
      <c r="ULY193" s="311"/>
      <c r="ULZ193" s="312"/>
      <c r="UMA193" s="326"/>
      <c r="UMB193" s="332"/>
      <c r="UMC193" s="321"/>
      <c r="UMD193" s="321"/>
      <c r="UME193" s="331"/>
      <c r="UMF193" s="308"/>
      <c r="UMG193" s="301"/>
      <c r="UMH193" s="301"/>
      <c r="UMI193" s="302"/>
      <c r="UMJ193" s="309"/>
      <c r="UMK193" s="329"/>
      <c r="UML193" s="311"/>
      <c r="UMM193" s="312"/>
      <c r="UMN193" s="326"/>
      <c r="UMO193" s="332"/>
      <c r="UMP193" s="321"/>
      <c r="UMQ193" s="321"/>
      <c r="UMR193" s="331"/>
      <c r="UMS193" s="308"/>
      <c r="UMT193" s="301"/>
      <c r="UMU193" s="301"/>
      <c r="UMV193" s="302"/>
      <c r="UMW193" s="309"/>
      <c r="UMX193" s="329"/>
      <c r="UMY193" s="311"/>
      <c r="UMZ193" s="312"/>
      <c r="UNA193" s="326"/>
      <c r="UNB193" s="332"/>
      <c r="UNC193" s="321"/>
      <c r="UND193" s="321"/>
      <c r="UNE193" s="331"/>
      <c r="UNF193" s="308"/>
      <c r="UNG193" s="301"/>
      <c r="UNH193" s="301"/>
      <c r="UNI193" s="302"/>
      <c r="UNJ193" s="309"/>
      <c r="UNK193" s="329"/>
      <c r="UNL193" s="311"/>
      <c r="UNM193" s="312"/>
      <c r="UNN193" s="326"/>
      <c r="UNO193" s="332"/>
      <c r="UNP193" s="321"/>
      <c r="UNQ193" s="321"/>
      <c r="UNR193" s="331"/>
      <c r="UNS193" s="308"/>
      <c r="UNT193" s="301"/>
      <c r="UNU193" s="301"/>
      <c r="UNV193" s="302"/>
      <c r="UNW193" s="309"/>
      <c r="UNX193" s="329"/>
      <c r="UNY193" s="311"/>
      <c r="UNZ193" s="312"/>
      <c r="UOA193" s="326"/>
      <c r="UOB193" s="332"/>
      <c r="UOC193" s="321"/>
      <c r="UOD193" s="321"/>
      <c r="UOE193" s="331"/>
      <c r="UOF193" s="308"/>
      <c r="UOG193" s="301"/>
      <c r="UOH193" s="301"/>
      <c r="UOI193" s="302"/>
      <c r="UOJ193" s="309"/>
      <c r="UOK193" s="329"/>
      <c r="UOL193" s="311"/>
      <c r="UOM193" s="312"/>
      <c r="UON193" s="326"/>
      <c r="UOO193" s="332"/>
      <c r="UOP193" s="321"/>
      <c r="UOQ193" s="321"/>
      <c r="UOR193" s="331"/>
      <c r="UOS193" s="308"/>
      <c r="UOT193" s="301"/>
      <c r="UOU193" s="301"/>
      <c r="UOV193" s="302"/>
      <c r="UOW193" s="309"/>
      <c r="UOX193" s="329"/>
      <c r="UOY193" s="311"/>
      <c r="UOZ193" s="312"/>
      <c r="UPA193" s="326"/>
      <c r="UPB193" s="332"/>
      <c r="UPC193" s="321"/>
      <c r="UPD193" s="321"/>
      <c r="UPE193" s="331"/>
      <c r="UPF193" s="308"/>
      <c r="UPG193" s="301"/>
      <c r="UPH193" s="301"/>
      <c r="UPI193" s="302"/>
      <c r="UPJ193" s="309"/>
      <c r="UPK193" s="329"/>
      <c r="UPL193" s="311"/>
      <c r="UPM193" s="312"/>
      <c r="UPN193" s="326"/>
      <c r="UPO193" s="332"/>
      <c r="UPP193" s="321"/>
      <c r="UPQ193" s="321"/>
      <c r="UPR193" s="331"/>
      <c r="UPS193" s="308"/>
      <c r="UPT193" s="301"/>
      <c r="UPU193" s="301"/>
      <c r="UPV193" s="302"/>
      <c r="UPW193" s="309"/>
      <c r="UPX193" s="329"/>
      <c r="UPY193" s="311"/>
      <c r="UPZ193" s="312"/>
      <c r="UQA193" s="326"/>
      <c r="UQB193" s="332"/>
      <c r="UQC193" s="321"/>
      <c r="UQD193" s="321"/>
      <c r="UQE193" s="331"/>
      <c r="UQF193" s="308"/>
      <c r="UQG193" s="301"/>
      <c r="UQH193" s="301"/>
      <c r="UQI193" s="302"/>
      <c r="UQJ193" s="309"/>
      <c r="UQK193" s="329"/>
      <c r="UQL193" s="311"/>
      <c r="UQM193" s="312"/>
      <c r="UQN193" s="326"/>
      <c r="UQO193" s="332"/>
      <c r="UQP193" s="321"/>
      <c r="UQQ193" s="321"/>
      <c r="UQR193" s="331"/>
      <c r="UQS193" s="308"/>
      <c r="UQT193" s="301"/>
      <c r="UQU193" s="301"/>
      <c r="UQV193" s="302"/>
      <c r="UQW193" s="309"/>
      <c r="UQX193" s="329"/>
      <c r="UQY193" s="311"/>
      <c r="UQZ193" s="312"/>
      <c r="URA193" s="326"/>
      <c r="URB193" s="332"/>
      <c r="URC193" s="321"/>
      <c r="URD193" s="321"/>
      <c r="URE193" s="331"/>
      <c r="URF193" s="308"/>
      <c r="URG193" s="301"/>
      <c r="URH193" s="301"/>
      <c r="URI193" s="302"/>
      <c r="URJ193" s="309"/>
      <c r="URK193" s="329"/>
      <c r="URL193" s="311"/>
      <c r="URM193" s="312"/>
      <c r="URN193" s="326"/>
      <c r="URO193" s="332"/>
      <c r="URP193" s="321"/>
      <c r="URQ193" s="321"/>
      <c r="URR193" s="331"/>
      <c r="URS193" s="308"/>
      <c r="URT193" s="301"/>
      <c r="URU193" s="301"/>
      <c r="URV193" s="302"/>
      <c r="URW193" s="309"/>
      <c r="URX193" s="329"/>
      <c r="URY193" s="311"/>
      <c r="URZ193" s="312"/>
      <c r="USA193" s="326"/>
      <c r="USB193" s="332"/>
      <c r="USC193" s="321"/>
      <c r="USD193" s="321"/>
      <c r="USE193" s="331"/>
      <c r="USF193" s="308"/>
      <c r="USG193" s="301"/>
      <c r="USH193" s="301"/>
      <c r="USI193" s="302"/>
      <c r="USJ193" s="309"/>
      <c r="USK193" s="329"/>
      <c r="USL193" s="311"/>
      <c r="USM193" s="312"/>
      <c r="USN193" s="326"/>
      <c r="USO193" s="332"/>
      <c r="USP193" s="321"/>
      <c r="USQ193" s="321"/>
      <c r="USR193" s="331"/>
      <c r="USS193" s="308"/>
      <c r="UST193" s="301"/>
      <c r="USU193" s="301"/>
      <c r="USV193" s="302"/>
      <c r="USW193" s="309"/>
      <c r="USX193" s="329"/>
      <c r="USY193" s="311"/>
      <c r="USZ193" s="312"/>
      <c r="UTA193" s="326"/>
      <c r="UTB193" s="332"/>
      <c r="UTC193" s="321"/>
      <c r="UTD193" s="321"/>
      <c r="UTE193" s="331"/>
      <c r="UTF193" s="308"/>
      <c r="UTG193" s="301"/>
      <c r="UTH193" s="301"/>
      <c r="UTI193" s="302"/>
      <c r="UTJ193" s="309"/>
      <c r="UTK193" s="329"/>
      <c r="UTL193" s="311"/>
      <c r="UTM193" s="312"/>
      <c r="UTN193" s="326"/>
      <c r="UTO193" s="332"/>
      <c r="UTP193" s="321"/>
      <c r="UTQ193" s="321"/>
      <c r="UTR193" s="331"/>
      <c r="UTS193" s="308"/>
      <c r="UTT193" s="301"/>
      <c r="UTU193" s="301"/>
      <c r="UTV193" s="302"/>
      <c r="UTW193" s="309"/>
      <c r="UTX193" s="329"/>
      <c r="UTY193" s="311"/>
      <c r="UTZ193" s="312"/>
      <c r="UUA193" s="326"/>
      <c r="UUB193" s="332"/>
      <c r="UUC193" s="321"/>
      <c r="UUD193" s="321"/>
      <c r="UUE193" s="331"/>
      <c r="UUF193" s="308"/>
      <c r="UUG193" s="301"/>
      <c r="UUH193" s="301"/>
      <c r="UUI193" s="302"/>
      <c r="UUJ193" s="309"/>
      <c r="UUK193" s="329"/>
      <c r="UUL193" s="311"/>
      <c r="UUM193" s="312"/>
      <c r="UUN193" s="326"/>
      <c r="UUO193" s="332"/>
      <c r="UUP193" s="321"/>
      <c r="UUQ193" s="321"/>
      <c r="UUR193" s="331"/>
      <c r="UUS193" s="308"/>
      <c r="UUT193" s="301"/>
      <c r="UUU193" s="301"/>
      <c r="UUV193" s="302"/>
      <c r="UUW193" s="309"/>
      <c r="UUX193" s="329"/>
      <c r="UUY193" s="311"/>
      <c r="UUZ193" s="312"/>
      <c r="UVA193" s="326"/>
      <c r="UVB193" s="332"/>
      <c r="UVC193" s="321"/>
      <c r="UVD193" s="321"/>
      <c r="UVE193" s="331"/>
      <c r="UVF193" s="308"/>
      <c r="UVG193" s="301"/>
      <c r="UVH193" s="301"/>
      <c r="UVI193" s="302"/>
      <c r="UVJ193" s="309"/>
      <c r="UVK193" s="329"/>
      <c r="UVL193" s="311"/>
      <c r="UVM193" s="312"/>
      <c r="UVN193" s="326"/>
      <c r="UVO193" s="332"/>
      <c r="UVP193" s="321"/>
      <c r="UVQ193" s="321"/>
      <c r="UVR193" s="331"/>
      <c r="UVS193" s="308"/>
      <c r="UVT193" s="301"/>
      <c r="UVU193" s="301"/>
      <c r="UVV193" s="302"/>
      <c r="UVW193" s="309"/>
      <c r="UVX193" s="329"/>
      <c r="UVY193" s="311"/>
      <c r="UVZ193" s="312"/>
      <c r="UWA193" s="326"/>
      <c r="UWB193" s="332"/>
      <c r="UWC193" s="321"/>
      <c r="UWD193" s="321"/>
      <c r="UWE193" s="331"/>
      <c r="UWF193" s="308"/>
      <c r="UWG193" s="301"/>
      <c r="UWH193" s="301"/>
      <c r="UWI193" s="302"/>
      <c r="UWJ193" s="309"/>
      <c r="UWK193" s="329"/>
      <c r="UWL193" s="311"/>
      <c r="UWM193" s="312"/>
      <c r="UWN193" s="326"/>
      <c r="UWO193" s="332"/>
      <c r="UWP193" s="321"/>
      <c r="UWQ193" s="321"/>
      <c r="UWR193" s="331"/>
      <c r="UWS193" s="308"/>
      <c r="UWT193" s="301"/>
      <c r="UWU193" s="301"/>
      <c r="UWV193" s="302"/>
      <c r="UWW193" s="309"/>
      <c r="UWX193" s="329"/>
      <c r="UWY193" s="311"/>
      <c r="UWZ193" s="312"/>
      <c r="UXA193" s="326"/>
      <c r="UXB193" s="332"/>
      <c r="UXC193" s="321"/>
      <c r="UXD193" s="321"/>
      <c r="UXE193" s="331"/>
      <c r="UXF193" s="308"/>
      <c r="UXG193" s="301"/>
      <c r="UXH193" s="301"/>
      <c r="UXI193" s="302"/>
      <c r="UXJ193" s="309"/>
      <c r="UXK193" s="329"/>
      <c r="UXL193" s="311"/>
      <c r="UXM193" s="312"/>
      <c r="UXN193" s="326"/>
      <c r="UXO193" s="332"/>
      <c r="UXP193" s="321"/>
      <c r="UXQ193" s="321"/>
      <c r="UXR193" s="331"/>
      <c r="UXS193" s="308"/>
      <c r="UXT193" s="301"/>
      <c r="UXU193" s="301"/>
      <c r="UXV193" s="302"/>
      <c r="UXW193" s="309"/>
      <c r="UXX193" s="329"/>
      <c r="UXY193" s="311"/>
      <c r="UXZ193" s="312"/>
      <c r="UYA193" s="326"/>
      <c r="UYB193" s="332"/>
      <c r="UYC193" s="321"/>
      <c r="UYD193" s="321"/>
      <c r="UYE193" s="331"/>
      <c r="UYF193" s="308"/>
      <c r="UYG193" s="301"/>
      <c r="UYH193" s="301"/>
      <c r="UYI193" s="302"/>
      <c r="UYJ193" s="309"/>
      <c r="UYK193" s="329"/>
      <c r="UYL193" s="311"/>
      <c r="UYM193" s="312"/>
      <c r="UYN193" s="326"/>
      <c r="UYO193" s="332"/>
      <c r="UYP193" s="321"/>
      <c r="UYQ193" s="321"/>
      <c r="UYR193" s="331"/>
      <c r="UYS193" s="308"/>
      <c r="UYT193" s="301"/>
      <c r="UYU193" s="301"/>
      <c r="UYV193" s="302"/>
      <c r="UYW193" s="309"/>
      <c r="UYX193" s="329"/>
      <c r="UYY193" s="311"/>
      <c r="UYZ193" s="312"/>
      <c r="UZA193" s="326"/>
      <c r="UZB193" s="332"/>
      <c r="UZC193" s="321"/>
      <c r="UZD193" s="321"/>
      <c r="UZE193" s="331"/>
      <c r="UZF193" s="308"/>
      <c r="UZG193" s="301"/>
      <c r="UZH193" s="301"/>
      <c r="UZI193" s="302"/>
      <c r="UZJ193" s="309"/>
      <c r="UZK193" s="329"/>
      <c r="UZL193" s="311"/>
      <c r="UZM193" s="312"/>
      <c r="UZN193" s="326"/>
      <c r="UZO193" s="332"/>
      <c r="UZP193" s="321"/>
      <c r="UZQ193" s="321"/>
      <c r="UZR193" s="331"/>
      <c r="UZS193" s="308"/>
      <c r="UZT193" s="301"/>
      <c r="UZU193" s="301"/>
      <c r="UZV193" s="302"/>
      <c r="UZW193" s="309"/>
      <c r="UZX193" s="329"/>
      <c r="UZY193" s="311"/>
      <c r="UZZ193" s="312"/>
      <c r="VAA193" s="326"/>
      <c r="VAB193" s="332"/>
      <c r="VAC193" s="321"/>
      <c r="VAD193" s="321"/>
      <c r="VAE193" s="331"/>
      <c r="VAF193" s="308"/>
      <c r="VAG193" s="301"/>
      <c r="VAH193" s="301"/>
      <c r="VAI193" s="302"/>
      <c r="VAJ193" s="309"/>
      <c r="VAK193" s="329"/>
      <c r="VAL193" s="311"/>
      <c r="VAM193" s="312"/>
      <c r="VAN193" s="326"/>
      <c r="VAO193" s="332"/>
      <c r="VAP193" s="321"/>
      <c r="VAQ193" s="321"/>
      <c r="VAR193" s="331"/>
      <c r="VAS193" s="308"/>
      <c r="VAT193" s="301"/>
      <c r="VAU193" s="301"/>
      <c r="VAV193" s="302"/>
      <c r="VAW193" s="309"/>
      <c r="VAX193" s="329"/>
      <c r="VAY193" s="311"/>
      <c r="VAZ193" s="312"/>
      <c r="VBA193" s="326"/>
      <c r="VBB193" s="332"/>
      <c r="VBC193" s="321"/>
      <c r="VBD193" s="321"/>
      <c r="VBE193" s="331"/>
      <c r="VBF193" s="308"/>
      <c r="VBG193" s="301"/>
      <c r="VBH193" s="301"/>
      <c r="VBI193" s="302"/>
      <c r="VBJ193" s="309"/>
      <c r="VBK193" s="329"/>
      <c r="VBL193" s="311"/>
      <c r="VBM193" s="312"/>
      <c r="VBN193" s="326"/>
      <c r="VBO193" s="332"/>
      <c r="VBP193" s="321"/>
      <c r="VBQ193" s="321"/>
      <c r="VBR193" s="331"/>
      <c r="VBS193" s="308"/>
      <c r="VBT193" s="301"/>
      <c r="VBU193" s="301"/>
      <c r="VBV193" s="302"/>
      <c r="VBW193" s="309"/>
      <c r="VBX193" s="329"/>
      <c r="VBY193" s="311"/>
      <c r="VBZ193" s="312"/>
      <c r="VCA193" s="326"/>
      <c r="VCB193" s="332"/>
      <c r="VCC193" s="321"/>
      <c r="VCD193" s="321"/>
      <c r="VCE193" s="331"/>
      <c r="VCF193" s="308"/>
      <c r="VCG193" s="301"/>
      <c r="VCH193" s="301"/>
      <c r="VCI193" s="302"/>
      <c r="VCJ193" s="309"/>
      <c r="VCK193" s="329"/>
      <c r="VCL193" s="311"/>
      <c r="VCM193" s="312"/>
      <c r="VCN193" s="326"/>
      <c r="VCO193" s="332"/>
      <c r="VCP193" s="321"/>
      <c r="VCQ193" s="321"/>
      <c r="VCR193" s="331"/>
      <c r="VCS193" s="308"/>
      <c r="VCT193" s="301"/>
      <c r="VCU193" s="301"/>
      <c r="VCV193" s="302"/>
      <c r="VCW193" s="309"/>
      <c r="VCX193" s="329"/>
      <c r="VCY193" s="311"/>
      <c r="VCZ193" s="312"/>
      <c r="VDA193" s="326"/>
      <c r="VDB193" s="332"/>
      <c r="VDC193" s="321"/>
      <c r="VDD193" s="321"/>
      <c r="VDE193" s="331"/>
      <c r="VDF193" s="308"/>
      <c r="VDG193" s="301"/>
      <c r="VDH193" s="301"/>
      <c r="VDI193" s="302"/>
      <c r="VDJ193" s="309"/>
      <c r="VDK193" s="329"/>
      <c r="VDL193" s="311"/>
      <c r="VDM193" s="312"/>
      <c r="VDN193" s="326"/>
      <c r="VDO193" s="332"/>
      <c r="VDP193" s="321"/>
      <c r="VDQ193" s="321"/>
      <c r="VDR193" s="331"/>
      <c r="VDS193" s="308"/>
      <c r="VDT193" s="301"/>
      <c r="VDU193" s="301"/>
      <c r="VDV193" s="302"/>
      <c r="VDW193" s="309"/>
      <c r="VDX193" s="329"/>
      <c r="VDY193" s="311"/>
      <c r="VDZ193" s="312"/>
      <c r="VEA193" s="326"/>
      <c r="VEB193" s="332"/>
      <c r="VEC193" s="321"/>
      <c r="VED193" s="321"/>
      <c r="VEE193" s="331"/>
      <c r="VEF193" s="308"/>
      <c r="VEG193" s="301"/>
      <c r="VEH193" s="301"/>
      <c r="VEI193" s="302"/>
      <c r="VEJ193" s="309"/>
      <c r="VEK193" s="329"/>
      <c r="VEL193" s="311"/>
      <c r="VEM193" s="312"/>
      <c r="VEN193" s="326"/>
      <c r="VEO193" s="332"/>
      <c r="VEP193" s="321"/>
      <c r="VEQ193" s="321"/>
      <c r="VER193" s="331"/>
      <c r="VES193" s="308"/>
      <c r="VET193" s="301"/>
      <c r="VEU193" s="301"/>
      <c r="VEV193" s="302"/>
      <c r="VEW193" s="309"/>
      <c r="VEX193" s="329"/>
      <c r="VEY193" s="311"/>
      <c r="VEZ193" s="312"/>
      <c r="VFA193" s="326"/>
      <c r="VFB193" s="332"/>
      <c r="VFC193" s="321"/>
      <c r="VFD193" s="321"/>
      <c r="VFE193" s="331"/>
      <c r="VFF193" s="308"/>
      <c r="VFG193" s="301"/>
      <c r="VFH193" s="301"/>
      <c r="VFI193" s="302"/>
      <c r="VFJ193" s="309"/>
      <c r="VFK193" s="329"/>
      <c r="VFL193" s="311"/>
      <c r="VFM193" s="312"/>
      <c r="VFN193" s="326"/>
      <c r="VFO193" s="332"/>
      <c r="VFP193" s="321"/>
      <c r="VFQ193" s="321"/>
      <c r="VFR193" s="331"/>
      <c r="VFS193" s="308"/>
      <c r="VFT193" s="301"/>
      <c r="VFU193" s="301"/>
      <c r="VFV193" s="302"/>
      <c r="VFW193" s="309"/>
      <c r="VFX193" s="329"/>
      <c r="VFY193" s="311"/>
      <c r="VFZ193" s="312"/>
      <c r="VGA193" s="326"/>
      <c r="VGB193" s="332"/>
      <c r="VGC193" s="321"/>
      <c r="VGD193" s="321"/>
      <c r="VGE193" s="331"/>
      <c r="VGF193" s="308"/>
      <c r="VGG193" s="301"/>
      <c r="VGH193" s="301"/>
      <c r="VGI193" s="302"/>
      <c r="VGJ193" s="309"/>
      <c r="VGK193" s="329"/>
      <c r="VGL193" s="311"/>
      <c r="VGM193" s="312"/>
      <c r="VGN193" s="326"/>
      <c r="VGO193" s="332"/>
      <c r="VGP193" s="321"/>
      <c r="VGQ193" s="321"/>
      <c r="VGR193" s="331"/>
      <c r="VGS193" s="308"/>
      <c r="VGT193" s="301"/>
      <c r="VGU193" s="301"/>
      <c r="VGV193" s="302"/>
      <c r="VGW193" s="309"/>
      <c r="VGX193" s="329"/>
      <c r="VGY193" s="311"/>
      <c r="VGZ193" s="312"/>
      <c r="VHA193" s="326"/>
      <c r="VHB193" s="332"/>
      <c r="VHC193" s="321"/>
      <c r="VHD193" s="321"/>
      <c r="VHE193" s="331"/>
      <c r="VHF193" s="308"/>
      <c r="VHG193" s="301"/>
      <c r="VHH193" s="301"/>
      <c r="VHI193" s="302"/>
      <c r="VHJ193" s="309"/>
      <c r="VHK193" s="329"/>
      <c r="VHL193" s="311"/>
      <c r="VHM193" s="312"/>
      <c r="VHN193" s="326"/>
      <c r="VHO193" s="332"/>
      <c r="VHP193" s="321"/>
      <c r="VHQ193" s="321"/>
      <c r="VHR193" s="331"/>
      <c r="VHS193" s="308"/>
      <c r="VHT193" s="301"/>
      <c r="VHU193" s="301"/>
      <c r="VHV193" s="302"/>
      <c r="VHW193" s="309"/>
      <c r="VHX193" s="329"/>
      <c r="VHY193" s="311"/>
      <c r="VHZ193" s="312"/>
      <c r="VIA193" s="326"/>
      <c r="VIB193" s="332"/>
      <c r="VIC193" s="321"/>
      <c r="VID193" s="321"/>
      <c r="VIE193" s="331"/>
      <c r="VIF193" s="308"/>
      <c r="VIG193" s="301"/>
      <c r="VIH193" s="301"/>
      <c r="VII193" s="302"/>
      <c r="VIJ193" s="309"/>
      <c r="VIK193" s="329"/>
      <c r="VIL193" s="311"/>
      <c r="VIM193" s="312"/>
      <c r="VIN193" s="326"/>
      <c r="VIO193" s="332"/>
      <c r="VIP193" s="321"/>
      <c r="VIQ193" s="321"/>
      <c r="VIR193" s="331"/>
      <c r="VIS193" s="308"/>
      <c r="VIT193" s="301"/>
      <c r="VIU193" s="301"/>
      <c r="VIV193" s="302"/>
      <c r="VIW193" s="309"/>
      <c r="VIX193" s="329"/>
      <c r="VIY193" s="311"/>
      <c r="VIZ193" s="312"/>
      <c r="VJA193" s="326"/>
      <c r="VJB193" s="332"/>
      <c r="VJC193" s="321"/>
      <c r="VJD193" s="321"/>
      <c r="VJE193" s="331"/>
      <c r="VJF193" s="308"/>
      <c r="VJG193" s="301"/>
      <c r="VJH193" s="301"/>
      <c r="VJI193" s="302"/>
      <c r="VJJ193" s="309"/>
      <c r="VJK193" s="329"/>
      <c r="VJL193" s="311"/>
      <c r="VJM193" s="312"/>
      <c r="VJN193" s="326"/>
      <c r="VJO193" s="332"/>
      <c r="VJP193" s="321"/>
      <c r="VJQ193" s="321"/>
      <c r="VJR193" s="331"/>
      <c r="VJS193" s="308"/>
      <c r="VJT193" s="301"/>
      <c r="VJU193" s="301"/>
      <c r="VJV193" s="302"/>
      <c r="VJW193" s="309"/>
      <c r="VJX193" s="329"/>
      <c r="VJY193" s="311"/>
      <c r="VJZ193" s="312"/>
      <c r="VKA193" s="326"/>
      <c r="VKB193" s="332"/>
      <c r="VKC193" s="321"/>
      <c r="VKD193" s="321"/>
      <c r="VKE193" s="331"/>
      <c r="VKF193" s="308"/>
      <c r="VKG193" s="301"/>
      <c r="VKH193" s="301"/>
      <c r="VKI193" s="302"/>
      <c r="VKJ193" s="309"/>
      <c r="VKK193" s="329"/>
      <c r="VKL193" s="311"/>
      <c r="VKM193" s="312"/>
      <c r="VKN193" s="326"/>
      <c r="VKO193" s="332"/>
      <c r="VKP193" s="321"/>
      <c r="VKQ193" s="321"/>
      <c r="VKR193" s="331"/>
      <c r="VKS193" s="308"/>
      <c r="VKT193" s="301"/>
      <c r="VKU193" s="301"/>
      <c r="VKV193" s="302"/>
      <c r="VKW193" s="309"/>
      <c r="VKX193" s="329"/>
      <c r="VKY193" s="311"/>
      <c r="VKZ193" s="312"/>
      <c r="VLA193" s="326"/>
      <c r="VLB193" s="332"/>
      <c r="VLC193" s="321"/>
      <c r="VLD193" s="321"/>
      <c r="VLE193" s="331"/>
      <c r="VLF193" s="308"/>
      <c r="VLG193" s="301"/>
      <c r="VLH193" s="301"/>
      <c r="VLI193" s="302"/>
      <c r="VLJ193" s="309"/>
      <c r="VLK193" s="329"/>
      <c r="VLL193" s="311"/>
      <c r="VLM193" s="312"/>
      <c r="VLN193" s="326"/>
      <c r="VLO193" s="332"/>
      <c r="VLP193" s="321"/>
      <c r="VLQ193" s="321"/>
      <c r="VLR193" s="331"/>
      <c r="VLS193" s="308"/>
      <c r="VLT193" s="301"/>
      <c r="VLU193" s="301"/>
      <c r="VLV193" s="302"/>
      <c r="VLW193" s="309"/>
      <c r="VLX193" s="329"/>
      <c r="VLY193" s="311"/>
      <c r="VLZ193" s="312"/>
      <c r="VMA193" s="326"/>
      <c r="VMB193" s="332"/>
      <c r="VMC193" s="321"/>
      <c r="VMD193" s="321"/>
      <c r="VME193" s="331"/>
      <c r="VMF193" s="308"/>
      <c r="VMG193" s="301"/>
      <c r="VMH193" s="301"/>
      <c r="VMI193" s="302"/>
      <c r="VMJ193" s="309"/>
      <c r="VMK193" s="329"/>
      <c r="VML193" s="311"/>
      <c r="VMM193" s="312"/>
      <c r="VMN193" s="326"/>
      <c r="VMO193" s="332"/>
      <c r="VMP193" s="321"/>
      <c r="VMQ193" s="321"/>
      <c r="VMR193" s="331"/>
      <c r="VMS193" s="308"/>
      <c r="VMT193" s="301"/>
      <c r="VMU193" s="301"/>
      <c r="VMV193" s="302"/>
      <c r="VMW193" s="309"/>
      <c r="VMX193" s="329"/>
      <c r="VMY193" s="311"/>
      <c r="VMZ193" s="312"/>
      <c r="VNA193" s="326"/>
      <c r="VNB193" s="332"/>
      <c r="VNC193" s="321"/>
      <c r="VND193" s="321"/>
      <c r="VNE193" s="331"/>
      <c r="VNF193" s="308"/>
      <c r="VNG193" s="301"/>
      <c r="VNH193" s="301"/>
      <c r="VNI193" s="302"/>
      <c r="VNJ193" s="309"/>
      <c r="VNK193" s="329"/>
      <c r="VNL193" s="311"/>
      <c r="VNM193" s="312"/>
      <c r="VNN193" s="326"/>
      <c r="VNO193" s="332"/>
      <c r="VNP193" s="321"/>
      <c r="VNQ193" s="321"/>
      <c r="VNR193" s="331"/>
      <c r="VNS193" s="308"/>
      <c r="VNT193" s="301"/>
      <c r="VNU193" s="301"/>
      <c r="VNV193" s="302"/>
      <c r="VNW193" s="309"/>
      <c r="VNX193" s="329"/>
      <c r="VNY193" s="311"/>
      <c r="VNZ193" s="312"/>
      <c r="VOA193" s="326"/>
      <c r="VOB193" s="332"/>
      <c r="VOC193" s="321"/>
      <c r="VOD193" s="321"/>
      <c r="VOE193" s="331"/>
      <c r="VOF193" s="308"/>
      <c r="VOG193" s="301"/>
      <c r="VOH193" s="301"/>
      <c r="VOI193" s="302"/>
      <c r="VOJ193" s="309"/>
      <c r="VOK193" s="329"/>
      <c r="VOL193" s="311"/>
      <c r="VOM193" s="312"/>
      <c r="VON193" s="326"/>
      <c r="VOO193" s="332"/>
      <c r="VOP193" s="321"/>
      <c r="VOQ193" s="321"/>
      <c r="VOR193" s="331"/>
      <c r="VOS193" s="308"/>
      <c r="VOT193" s="301"/>
      <c r="VOU193" s="301"/>
      <c r="VOV193" s="302"/>
      <c r="VOW193" s="309"/>
      <c r="VOX193" s="329"/>
      <c r="VOY193" s="311"/>
      <c r="VOZ193" s="312"/>
      <c r="VPA193" s="326"/>
      <c r="VPB193" s="332"/>
      <c r="VPC193" s="321"/>
      <c r="VPD193" s="321"/>
      <c r="VPE193" s="331"/>
      <c r="VPF193" s="308"/>
      <c r="VPG193" s="301"/>
      <c r="VPH193" s="301"/>
      <c r="VPI193" s="302"/>
      <c r="VPJ193" s="309"/>
      <c r="VPK193" s="329"/>
      <c r="VPL193" s="311"/>
      <c r="VPM193" s="312"/>
      <c r="VPN193" s="326"/>
      <c r="VPO193" s="332"/>
      <c r="VPP193" s="321"/>
      <c r="VPQ193" s="321"/>
      <c r="VPR193" s="331"/>
      <c r="VPS193" s="308"/>
      <c r="VPT193" s="301"/>
      <c r="VPU193" s="301"/>
      <c r="VPV193" s="302"/>
      <c r="VPW193" s="309"/>
      <c r="VPX193" s="329"/>
      <c r="VPY193" s="311"/>
      <c r="VPZ193" s="312"/>
      <c r="VQA193" s="326"/>
      <c r="VQB193" s="332"/>
      <c r="VQC193" s="321"/>
      <c r="VQD193" s="321"/>
      <c r="VQE193" s="331"/>
      <c r="VQF193" s="308"/>
      <c r="VQG193" s="301"/>
      <c r="VQH193" s="301"/>
      <c r="VQI193" s="302"/>
      <c r="VQJ193" s="309"/>
      <c r="VQK193" s="329"/>
      <c r="VQL193" s="311"/>
      <c r="VQM193" s="312"/>
      <c r="VQN193" s="326"/>
      <c r="VQO193" s="332"/>
      <c r="VQP193" s="321"/>
      <c r="VQQ193" s="321"/>
      <c r="VQR193" s="331"/>
      <c r="VQS193" s="308"/>
      <c r="VQT193" s="301"/>
      <c r="VQU193" s="301"/>
      <c r="VQV193" s="302"/>
      <c r="VQW193" s="309"/>
      <c r="VQX193" s="329"/>
      <c r="VQY193" s="311"/>
      <c r="VQZ193" s="312"/>
      <c r="VRA193" s="326"/>
      <c r="VRB193" s="332"/>
      <c r="VRC193" s="321"/>
      <c r="VRD193" s="321"/>
      <c r="VRE193" s="331"/>
      <c r="VRF193" s="308"/>
      <c r="VRG193" s="301"/>
      <c r="VRH193" s="301"/>
      <c r="VRI193" s="302"/>
      <c r="VRJ193" s="309"/>
      <c r="VRK193" s="329"/>
      <c r="VRL193" s="311"/>
      <c r="VRM193" s="312"/>
      <c r="VRN193" s="326"/>
      <c r="VRO193" s="332"/>
      <c r="VRP193" s="321"/>
      <c r="VRQ193" s="321"/>
      <c r="VRR193" s="331"/>
      <c r="VRS193" s="308"/>
      <c r="VRT193" s="301"/>
      <c r="VRU193" s="301"/>
      <c r="VRV193" s="302"/>
      <c r="VRW193" s="309"/>
      <c r="VRX193" s="329"/>
      <c r="VRY193" s="311"/>
      <c r="VRZ193" s="312"/>
      <c r="VSA193" s="326"/>
      <c r="VSB193" s="332"/>
      <c r="VSC193" s="321"/>
      <c r="VSD193" s="321"/>
      <c r="VSE193" s="331"/>
      <c r="VSF193" s="308"/>
      <c r="VSG193" s="301"/>
      <c r="VSH193" s="301"/>
      <c r="VSI193" s="302"/>
      <c r="VSJ193" s="309"/>
      <c r="VSK193" s="329"/>
      <c r="VSL193" s="311"/>
      <c r="VSM193" s="312"/>
      <c r="VSN193" s="326"/>
      <c r="VSO193" s="332"/>
      <c r="VSP193" s="321"/>
      <c r="VSQ193" s="321"/>
      <c r="VSR193" s="331"/>
      <c r="VSS193" s="308"/>
      <c r="VST193" s="301"/>
      <c r="VSU193" s="301"/>
      <c r="VSV193" s="302"/>
      <c r="VSW193" s="309"/>
      <c r="VSX193" s="329"/>
      <c r="VSY193" s="311"/>
      <c r="VSZ193" s="312"/>
      <c r="VTA193" s="326"/>
      <c r="VTB193" s="332"/>
      <c r="VTC193" s="321"/>
      <c r="VTD193" s="321"/>
      <c r="VTE193" s="331"/>
      <c r="VTF193" s="308"/>
      <c r="VTG193" s="301"/>
      <c r="VTH193" s="301"/>
      <c r="VTI193" s="302"/>
      <c r="VTJ193" s="309"/>
      <c r="VTK193" s="329"/>
      <c r="VTL193" s="311"/>
      <c r="VTM193" s="312"/>
      <c r="VTN193" s="326"/>
      <c r="VTO193" s="332"/>
      <c r="VTP193" s="321"/>
      <c r="VTQ193" s="321"/>
      <c r="VTR193" s="331"/>
      <c r="VTS193" s="308"/>
      <c r="VTT193" s="301"/>
      <c r="VTU193" s="301"/>
      <c r="VTV193" s="302"/>
      <c r="VTW193" s="309"/>
      <c r="VTX193" s="329"/>
      <c r="VTY193" s="311"/>
      <c r="VTZ193" s="312"/>
      <c r="VUA193" s="326"/>
      <c r="VUB193" s="332"/>
      <c r="VUC193" s="321"/>
      <c r="VUD193" s="321"/>
      <c r="VUE193" s="331"/>
      <c r="VUF193" s="308"/>
      <c r="VUG193" s="301"/>
      <c r="VUH193" s="301"/>
      <c r="VUI193" s="302"/>
      <c r="VUJ193" s="309"/>
      <c r="VUK193" s="329"/>
      <c r="VUL193" s="311"/>
      <c r="VUM193" s="312"/>
      <c r="VUN193" s="326"/>
      <c r="VUO193" s="332"/>
      <c r="VUP193" s="321"/>
      <c r="VUQ193" s="321"/>
      <c r="VUR193" s="331"/>
      <c r="VUS193" s="308"/>
      <c r="VUT193" s="301"/>
      <c r="VUU193" s="301"/>
      <c r="VUV193" s="302"/>
      <c r="VUW193" s="309"/>
      <c r="VUX193" s="329"/>
      <c r="VUY193" s="311"/>
      <c r="VUZ193" s="312"/>
      <c r="VVA193" s="326"/>
      <c r="VVB193" s="332"/>
      <c r="VVC193" s="321"/>
      <c r="VVD193" s="321"/>
      <c r="VVE193" s="331"/>
      <c r="VVF193" s="308"/>
      <c r="VVG193" s="301"/>
      <c r="VVH193" s="301"/>
      <c r="VVI193" s="302"/>
      <c r="VVJ193" s="309"/>
      <c r="VVK193" s="329"/>
      <c r="VVL193" s="311"/>
      <c r="VVM193" s="312"/>
      <c r="VVN193" s="326"/>
      <c r="VVO193" s="332"/>
      <c r="VVP193" s="321"/>
      <c r="VVQ193" s="321"/>
      <c r="VVR193" s="331"/>
      <c r="VVS193" s="308"/>
      <c r="VVT193" s="301"/>
      <c r="VVU193" s="301"/>
      <c r="VVV193" s="302"/>
      <c r="VVW193" s="309"/>
      <c r="VVX193" s="329"/>
      <c r="VVY193" s="311"/>
      <c r="VVZ193" s="312"/>
      <c r="VWA193" s="326"/>
      <c r="VWB193" s="332"/>
      <c r="VWC193" s="321"/>
      <c r="VWD193" s="321"/>
      <c r="VWE193" s="331"/>
      <c r="VWF193" s="308"/>
      <c r="VWG193" s="301"/>
      <c r="VWH193" s="301"/>
      <c r="VWI193" s="302"/>
      <c r="VWJ193" s="309"/>
      <c r="VWK193" s="329"/>
      <c r="VWL193" s="311"/>
      <c r="VWM193" s="312"/>
      <c r="VWN193" s="326"/>
      <c r="VWO193" s="332"/>
      <c r="VWP193" s="321"/>
      <c r="VWQ193" s="321"/>
      <c r="VWR193" s="331"/>
      <c r="VWS193" s="308"/>
      <c r="VWT193" s="301"/>
      <c r="VWU193" s="301"/>
      <c r="VWV193" s="302"/>
      <c r="VWW193" s="309"/>
      <c r="VWX193" s="329"/>
      <c r="VWY193" s="311"/>
      <c r="VWZ193" s="312"/>
      <c r="VXA193" s="326"/>
      <c r="VXB193" s="332"/>
      <c r="VXC193" s="321"/>
      <c r="VXD193" s="321"/>
      <c r="VXE193" s="331"/>
      <c r="VXF193" s="308"/>
      <c r="VXG193" s="301"/>
      <c r="VXH193" s="301"/>
      <c r="VXI193" s="302"/>
      <c r="VXJ193" s="309"/>
      <c r="VXK193" s="329"/>
      <c r="VXL193" s="311"/>
      <c r="VXM193" s="312"/>
      <c r="VXN193" s="326"/>
      <c r="VXO193" s="332"/>
      <c r="VXP193" s="321"/>
      <c r="VXQ193" s="321"/>
      <c r="VXR193" s="331"/>
      <c r="VXS193" s="308"/>
      <c r="VXT193" s="301"/>
      <c r="VXU193" s="301"/>
      <c r="VXV193" s="302"/>
      <c r="VXW193" s="309"/>
      <c r="VXX193" s="329"/>
      <c r="VXY193" s="311"/>
      <c r="VXZ193" s="312"/>
      <c r="VYA193" s="326"/>
      <c r="VYB193" s="332"/>
      <c r="VYC193" s="321"/>
      <c r="VYD193" s="321"/>
      <c r="VYE193" s="331"/>
      <c r="VYF193" s="308"/>
      <c r="VYG193" s="301"/>
      <c r="VYH193" s="301"/>
      <c r="VYI193" s="302"/>
      <c r="VYJ193" s="309"/>
      <c r="VYK193" s="329"/>
      <c r="VYL193" s="311"/>
      <c r="VYM193" s="312"/>
      <c r="VYN193" s="326"/>
      <c r="VYO193" s="332"/>
      <c r="VYP193" s="321"/>
      <c r="VYQ193" s="321"/>
      <c r="VYR193" s="331"/>
      <c r="VYS193" s="308"/>
      <c r="VYT193" s="301"/>
      <c r="VYU193" s="301"/>
      <c r="VYV193" s="302"/>
      <c r="VYW193" s="309"/>
      <c r="VYX193" s="329"/>
      <c r="VYY193" s="311"/>
      <c r="VYZ193" s="312"/>
      <c r="VZA193" s="326"/>
      <c r="VZB193" s="332"/>
      <c r="VZC193" s="321"/>
      <c r="VZD193" s="321"/>
      <c r="VZE193" s="331"/>
      <c r="VZF193" s="308"/>
      <c r="VZG193" s="301"/>
      <c r="VZH193" s="301"/>
      <c r="VZI193" s="302"/>
      <c r="VZJ193" s="309"/>
      <c r="VZK193" s="329"/>
      <c r="VZL193" s="311"/>
      <c r="VZM193" s="312"/>
      <c r="VZN193" s="326"/>
      <c r="VZO193" s="332"/>
      <c r="VZP193" s="321"/>
      <c r="VZQ193" s="321"/>
      <c r="VZR193" s="331"/>
      <c r="VZS193" s="308"/>
      <c r="VZT193" s="301"/>
      <c r="VZU193" s="301"/>
      <c r="VZV193" s="302"/>
      <c r="VZW193" s="309"/>
      <c r="VZX193" s="329"/>
      <c r="VZY193" s="311"/>
      <c r="VZZ193" s="312"/>
      <c r="WAA193" s="326"/>
      <c r="WAB193" s="332"/>
      <c r="WAC193" s="321"/>
      <c r="WAD193" s="321"/>
      <c r="WAE193" s="331"/>
      <c r="WAF193" s="308"/>
      <c r="WAG193" s="301"/>
      <c r="WAH193" s="301"/>
      <c r="WAI193" s="302"/>
      <c r="WAJ193" s="309"/>
      <c r="WAK193" s="329"/>
      <c r="WAL193" s="311"/>
      <c r="WAM193" s="312"/>
      <c r="WAN193" s="326"/>
      <c r="WAO193" s="332"/>
      <c r="WAP193" s="321"/>
      <c r="WAQ193" s="321"/>
      <c r="WAR193" s="331"/>
      <c r="WAS193" s="308"/>
      <c r="WAT193" s="301"/>
      <c r="WAU193" s="301"/>
      <c r="WAV193" s="302"/>
      <c r="WAW193" s="309"/>
      <c r="WAX193" s="329"/>
      <c r="WAY193" s="311"/>
      <c r="WAZ193" s="312"/>
      <c r="WBA193" s="326"/>
      <c r="WBB193" s="332"/>
      <c r="WBC193" s="321"/>
      <c r="WBD193" s="321"/>
      <c r="WBE193" s="331"/>
      <c r="WBF193" s="308"/>
      <c r="WBG193" s="301"/>
      <c r="WBH193" s="301"/>
      <c r="WBI193" s="302"/>
      <c r="WBJ193" s="309"/>
      <c r="WBK193" s="329"/>
      <c r="WBL193" s="311"/>
      <c r="WBM193" s="312"/>
      <c r="WBN193" s="326"/>
      <c r="WBO193" s="332"/>
      <c r="WBP193" s="321"/>
      <c r="WBQ193" s="321"/>
      <c r="WBR193" s="331"/>
      <c r="WBS193" s="308"/>
      <c r="WBT193" s="301"/>
      <c r="WBU193" s="301"/>
      <c r="WBV193" s="302"/>
      <c r="WBW193" s="309"/>
      <c r="WBX193" s="329"/>
      <c r="WBY193" s="311"/>
      <c r="WBZ193" s="312"/>
      <c r="WCA193" s="326"/>
      <c r="WCB193" s="332"/>
      <c r="WCC193" s="321"/>
      <c r="WCD193" s="321"/>
      <c r="WCE193" s="331"/>
      <c r="WCF193" s="308"/>
      <c r="WCG193" s="301"/>
      <c r="WCH193" s="301"/>
      <c r="WCI193" s="302"/>
      <c r="WCJ193" s="309"/>
      <c r="WCK193" s="329"/>
      <c r="WCL193" s="311"/>
      <c r="WCM193" s="312"/>
      <c r="WCN193" s="326"/>
      <c r="WCO193" s="332"/>
      <c r="WCP193" s="321"/>
      <c r="WCQ193" s="321"/>
      <c r="WCR193" s="331"/>
      <c r="WCS193" s="308"/>
      <c r="WCT193" s="301"/>
      <c r="WCU193" s="301"/>
      <c r="WCV193" s="302"/>
      <c r="WCW193" s="309"/>
      <c r="WCX193" s="329"/>
      <c r="WCY193" s="311"/>
      <c r="WCZ193" s="312"/>
      <c r="WDA193" s="326"/>
      <c r="WDB193" s="332"/>
      <c r="WDC193" s="321"/>
      <c r="WDD193" s="321"/>
      <c r="WDE193" s="331"/>
      <c r="WDF193" s="308"/>
      <c r="WDG193" s="301"/>
      <c r="WDH193" s="301"/>
      <c r="WDI193" s="302"/>
      <c r="WDJ193" s="309"/>
      <c r="WDK193" s="329"/>
      <c r="WDL193" s="311"/>
      <c r="WDM193" s="312"/>
      <c r="WDN193" s="326"/>
      <c r="WDO193" s="332"/>
      <c r="WDP193" s="321"/>
      <c r="WDQ193" s="321"/>
      <c r="WDR193" s="331"/>
      <c r="WDS193" s="308"/>
      <c r="WDT193" s="301"/>
      <c r="WDU193" s="301"/>
      <c r="WDV193" s="302"/>
      <c r="WDW193" s="309"/>
      <c r="WDX193" s="329"/>
      <c r="WDY193" s="311"/>
      <c r="WDZ193" s="312"/>
      <c r="WEA193" s="326"/>
      <c r="WEB193" s="332"/>
      <c r="WEC193" s="321"/>
      <c r="WED193" s="321"/>
      <c r="WEE193" s="331"/>
      <c r="WEF193" s="308"/>
      <c r="WEG193" s="301"/>
      <c r="WEH193" s="301"/>
      <c r="WEI193" s="302"/>
      <c r="WEJ193" s="309"/>
      <c r="WEK193" s="329"/>
      <c r="WEL193" s="311"/>
      <c r="WEM193" s="312"/>
      <c r="WEN193" s="326"/>
      <c r="WEO193" s="332"/>
      <c r="WEP193" s="321"/>
      <c r="WEQ193" s="321"/>
      <c r="WER193" s="331"/>
      <c r="WES193" s="308"/>
      <c r="WET193" s="301"/>
      <c r="WEU193" s="301"/>
      <c r="WEV193" s="302"/>
      <c r="WEW193" s="309"/>
      <c r="WEX193" s="329"/>
      <c r="WEY193" s="311"/>
      <c r="WEZ193" s="312"/>
      <c r="WFA193" s="326"/>
      <c r="WFB193" s="332"/>
      <c r="WFC193" s="321"/>
      <c r="WFD193" s="321"/>
      <c r="WFE193" s="331"/>
      <c r="WFF193" s="308"/>
      <c r="WFG193" s="301"/>
      <c r="WFH193" s="301"/>
      <c r="WFI193" s="302"/>
      <c r="WFJ193" s="309"/>
      <c r="WFK193" s="329"/>
      <c r="WFL193" s="311"/>
      <c r="WFM193" s="312"/>
      <c r="WFN193" s="326"/>
      <c r="WFO193" s="332"/>
      <c r="WFP193" s="321"/>
      <c r="WFQ193" s="321"/>
      <c r="WFR193" s="331"/>
      <c r="WFS193" s="308"/>
      <c r="WFT193" s="301"/>
      <c r="WFU193" s="301"/>
      <c r="WFV193" s="302"/>
      <c r="WFW193" s="309"/>
      <c r="WFX193" s="329"/>
      <c r="WFY193" s="311"/>
      <c r="WFZ193" s="312"/>
      <c r="WGA193" s="326"/>
      <c r="WGB193" s="332"/>
      <c r="WGC193" s="321"/>
      <c r="WGD193" s="321"/>
      <c r="WGE193" s="331"/>
      <c r="WGF193" s="308"/>
      <c r="WGG193" s="301"/>
      <c r="WGH193" s="301"/>
      <c r="WGI193" s="302"/>
      <c r="WGJ193" s="309"/>
      <c r="WGK193" s="329"/>
      <c r="WGL193" s="311"/>
      <c r="WGM193" s="312"/>
      <c r="WGN193" s="326"/>
      <c r="WGO193" s="332"/>
      <c r="WGP193" s="321"/>
      <c r="WGQ193" s="321"/>
      <c r="WGR193" s="331"/>
      <c r="WGS193" s="308"/>
      <c r="WGT193" s="301"/>
      <c r="WGU193" s="301"/>
      <c r="WGV193" s="302"/>
      <c r="WGW193" s="309"/>
      <c r="WGX193" s="329"/>
      <c r="WGY193" s="311"/>
      <c r="WGZ193" s="312"/>
      <c r="WHA193" s="326"/>
      <c r="WHB193" s="332"/>
      <c r="WHC193" s="321"/>
      <c r="WHD193" s="321"/>
      <c r="WHE193" s="331"/>
      <c r="WHF193" s="308"/>
      <c r="WHG193" s="301"/>
      <c r="WHH193" s="301"/>
      <c r="WHI193" s="302"/>
      <c r="WHJ193" s="309"/>
      <c r="WHK193" s="329"/>
      <c r="WHL193" s="311"/>
      <c r="WHM193" s="312"/>
      <c r="WHN193" s="326"/>
      <c r="WHO193" s="332"/>
      <c r="WHP193" s="321"/>
      <c r="WHQ193" s="321"/>
      <c r="WHR193" s="331"/>
      <c r="WHS193" s="308"/>
      <c r="WHT193" s="301"/>
      <c r="WHU193" s="301"/>
      <c r="WHV193" s="302"/>
      <c r="WHW193" s="309"/>
      <c r="WHX193" s="329"/>
      <c r="WHY193" s="311"/>
      <c r="WHZ193" s="312"/>
      <c r="WIA193" s="326"/>
      <c r="WIB193" s="332"/>
      <c r="WIC193" s="321"/>
      <c r="WID193" s="321"/>
      <c r="WIE193" s="331"/>
      <c r="WIF193" s="308"/>
      <c r="WIG193" s="301"/>
      <c r="WIH193" s="301"/>
      <c r="WII193" s="302"/>
      <c r="WIJ193" s="309"/>
      <c r="WIK193" s="329"/>
      <c r="WIL193" s="311"/>
      <c r="WIM193" s="312"/>
      <c r="WIN193" s="326"/>
      <c r="WIO193" s="332"/>
      <c r="WIP193" s="321"/>
      <c r="WIQ193" s="321"/>
      <c r="WIR193" s="331"/>
      <c r="WIS193" s="308"/>
      <c r="WIT193" s="301"/>
      <c r="WIU193" s="301"/>
      <c r="WIV193" s="302"/>
      <c r="WIW193" s="309"/>
      <c r="WIX193" s="329"/>
      <c r="WIY193" s="311"/>
      <c r="WIZ193" s="312"/>
      <c r="WJA193" s="326"/>
      <c r="WJB193" s="332"/>
      <c r="WJC193" s="321"/>
      <c r="WJD193" s="321"/>
      <c r="WJE193" s="331"/>
      <c r="WJF193" s="308"/>
      <c r="WJG193" s="301"/>
      <c r="WJH193" s="301"/>
      <c r="WJI193" s="302"/>
      <c r="WJJ193" s="309"/>
      <c r="WJK193" s="329"/>
      <c r="WJL193" s="311"/>
      <c r="WJM193" s="312"/>
      <c r="WJN193" s="326"/>
      <c r="WJO193" s="332"/>
      <c r="WJP193" s="321"/>
      <c r="WJQ193" s="321"/>
      <c r="WJR193" s="331"/>
      <c r="WJS193" s="308"/>
      <c r="WJT193" s="301"/>
      <c r="WJU193" s="301"/>
      <c r="WJV193" s="302"/>
      <c r="WJW193" s="309"/>
      <c r="WJX193" s="329"/>
      <c r="WJY193" s="311"/>
      <c r="WJZ193" s="312"/>
      <c r="WKA193" s="326"/>
      <c r="WKB193" s="332"/>
      <c r="WKC193" s="321"/>
      <c r="WKD193" s="321"/>
      <c r="WKE193" s="331"/>
      <c r="WKF193" s="308"/>
      <c r="WKG193" s="301"/>
      <c r="WKH193" s="301"/>
      <c r="WKI193" s="302"/>
      <c r="WKJ193" s="309"/>
      <c r="WKK193" s="329"/>
      <c r="WKL193" s="311"/>
      <c r="WKM193" s="312"/>
      <c r="WKN193" s="326"/>
      <c r="WKO193" s="332"/>
      <c r="WKP193" s="321"/>
      <c r="WKQ193" s="321"/>
      <c r="WKR193" s="331"/>
      <c r="WKS193" s="308"/>
      <c r="WKT193" s="301"/>
      <c r="WKU193" s="301"/>
      <c r="WKV193" s="302"/>
      <c r="WKW193" s="309"/>
      <c r="WKX193" s="329"/>
      <c r="WKY193" s="311"/>
      <c r="WKZ193" s="312"/>
      <c r="WLA193" s="326"/>
      <c r="WLB193" s="332"/>
      <c r="WLC193" s="321"/>
      <c r="WLD193" s="321"/>
      <c r="WLE193" s="331"/>
      <c r="WLF193" s="308"/>
      <c r="WLG193" s="301"/>
      <c r="WLH193" s="301"/>
      <c r="WLI193" s="302"/>
      <c r="WLJ193" s="309"/>
      <c r="WLK193" s="329"/>
      <c r="WLL193" s="311"/>
      <c r="WLM193" s="312"/>
      <c r="WLN193" s="326"/>
      <c r="WLO193" s="332"/>
      <c r="WLP193" s="321"/>
      <c r="WLQ193" s="321"/>
      <c r="WLR193" s="331"/>
      <c r="WLS193" s="308"/>
      <c r="WLT193" s="301"/>
      <c r="WLU193" s="301"/>
      <c r="WLV193" s="302"/>
      <c r="WLW193" s="309"/>
      <c r="WLX193" s="329"/>
      <c r="WLY193" s="311"/>
      <c r="WLZ193" s="312"/>
      <c r="WMA193" s="326"/>
      <c r="WMB193" s="332"/>
      <c r="WMC193" s="321"/>
      <c r="WMD193" s="321"/>
      <c r="WME193" s="331"/>
      <c r="WMF193" s="308"/>
      <c r="WMG193" s="301"/>
      <c r="WMH193" s="301"/>
      <c r="WMI193" s="302"/>
      <c r="WMJ193" s="309"/>
      <c r="WMK193" s="329"/>
      <c r="WML193" s="311"/>
      <c r="WMM193" s="312"/>
      <c r="WMN193" s="326"/>
      <c r="WMO193" s="332"/>
      <c r="WMP193" s="321"/>
      <c r="WMQ193" s="321"/>
      <c r="WMR193" s="331"/>
      <c r="WMS193" s="308"/>
      <c r="WMT193" s="301"/>
      <c r="WMU193" s="301"/>
      <c r="WMV193" s="302"/>
      <c r="WMW193" s="309"/>
      <c r="WMX193" s="329"/>
      <c r="WMY193" s="311"/>
      <c r="WMZ193" s="312"/>
      <c r="WNA193" s="326"/>
      <c r="WNB193" s="332"/>
      <c r="WNC193" s="321"/>
      <c r="WND193" s="321"/>
      <c r="WNE193" s="331"/>
      <c r="WNF193" s="308"/>
      <c r="WNG193" s="301"/>
      <c r="WNH193" s="301"/>
      <c r="WNI193" s="302"/>
      <c r="WNJ193" s="309"/>
      <c r="WNK193" s="329"/>
      <c r="WNL193" s="311"/>
      <c r="WNM193" s="312"/>
      <c r="WNN193" s="326"/>
      <c r="WNO193" s="332"/>
      <c r="WNP193" s="321"/>
      <c r="WNQ193" s="321"/>
      <c r="WNR193" s="331"/>
      <c r="WNS193" s="308"/>
      <c r="WNT193" s="301"/>
      <c r="WNU193" s="301"/>
      <c r="WNV193" s="302"/>
      <c r="WNW193" s="309"/>
      <c r="WNX193" s="329"/>
      <c r="WNY193" s="311"/>
      <c r="WNZ193" s="312"/>
      <c r="WOA193" s="326"/>
      <c r="WOB193" s="332"/>
      <c r="WOC193" s="321"/>
      <c r="WOD193" s="321"/>
      <c r="WOE193" s="331"/>
      <c r="WOF193" s="308"/>
      <c r="WOG193" s="301"/>
      <c r="WOH193" s="301"/>
      <c r="WOI193" s="302"/>
      <c r="WOJ193" s="309"/>
      <c r="WOK193" s="329"/>
      <c r="WOL193" s="311"/>
      <c r="WOM193" s="312"/>
      <c r="WON193" s="326"/>
      <c r="WOO193" s="332"/>
      <c r="WOP193" s="321"/>
      <c r="WOQ193" s="321"/>
      <c r="WOR193" s="331"/>
      <c r="WOS193" s="308"/>
      <c r="WOT193" s="301"/>
      <c r="WOU193" s="301"/>
      <c r="WOV193" s="302"/>
      <c r="WOW193" s="309"/>
      <c r="WOX193" s="329"/>
      <c r="WOY193" s="311"/>
      <c r="WOZ193" s="312"/>
      <c r="WPA193" s="326"/>
      <c r="WPB193" s="332"/>
      <c r="WPC193" s="321"/>
      <c r="WPD193" s="321"/>
      <c r="WPE193" s="331"/>
      <c r="WPF193" s="308"/>
      <c r="WPG193" s="301"/>
      <c r="WPH193" s="301"/>
      <c r="WPI193" s="302"/>
      <c r="WPJ193" s="309"/>
      <c r="WPK193" s="329"/>
      <c r="WPL193" s="311"/>
      <c r="WPM193" s="312"/>
      <c r="WPN193" s="326"/>
      <c r="WPO193" s="332"/>
      <c r="WPP193" s="321"/>
      <c r="WPQ193" s="321"/>
      <c r="WPR193" s="331"/>
      <c r="WPS193" s="308"/>
      <c r="WPT193" s="301"/>
      <c r="WPU193" s="301"/>
      <c r="WPV193" s="302"/>
      <c r="WPW193" s="309"/>
      <c r="WPX193" s="329"/>
      <c r="WPY193" s="311"/>
      <c r="WPZ193" s="312"/>
      <c r="WQA193" s="326"/>
      <c r="WQB193" s="332"/>
      <c r="WQC193" s="321"/>
      <c r="WQD193" s="321"/>
      <c r="WQE193" s="331"/>
      <c r="WQF193" s="308"/>
      <c r="WQG193" s="301"/>
      <c r="WQH193" s="301"/>
      <c r="WQI193" s="302"/>
      <c r="WQJ193" s="309"/>
      <c r="WQK193" s="329"/>
      <c r="WQL193" s="311"/>
      <c r="WQM193" s="312"/>
      <c r="WQN193" s="326"/>
      <c r="WQO193" s="332"/>
      <c r="WQP193" s="321"/>
      <c r="WQQ193" s="321"/>
      <c r="WQR193" s="331"/>
      <c r="WQS193" s="308"/>
      <c r="WQT193" s="301"/>
      <c r="WQU193" s="301"/>
      <c r="WQV193" s="302"/>
      <c r="WQW193" s="309"/>
      <c r="WQX193" s="329"/>
      <c r="WQY193" s="311"/>
      <c r="WQZ193" s="312"/>
      <c r="WRA193" s="326"/>
      <c r="WRB193" s="332"/>
      <c r="WRC193" s="321"/>
      <c r="WRD193" s="321"/>
      <c r="WRE193" s="331"/>
      <c r="WRF193" s="308"/>
      <c r="WRG193" s="301"/>
      <c r="WRH193" s="301"/>
      <c r="WRI193" s="302"/>
      <c r="WRJ193" s="309"/>
      <c r="WRK193" s="329"/>
      <c r="WRL193" s="311"/>
      <c r="WRM193" s="312"/>
      <c r="WRN193" s="326"/>
      <c r="WRO193" s="332"/>
      <c r="WRP193" s="321"/>
      <c r="WRQ193" s="321"/>
      <c r="WRR193" s="331"/>
      <c r="WRS193" s="308"/>
      <c r="WRT193" s="301"/>
      <c r="WRU193" s="301"/>
      <c r="WRV193" s="302"/>
      <c r="WRW193" s="309"/>
      <c r="WRX193" s="329"/>
      <c r="WRY193" s="311"/>
      <c r="WRZ193" s="312"/>
      <c r="WSA193" s="326"/>
      <c r="WSB193" s="332"/>
      <c r="WSC193" s="321"/>
      <c r="WSD193" s="321"/>
      <c r="WSE193" s="331"/>
      <c r="WSF193" s="308"/>
      <c r="WSG193" s="301"/>
      <c r="WSH193" s="301"/>
      <c r="WSI193" s="302"/>
      <c r="WSJ193" s="309"/>
      <c r="WSK193" s="329"/>
      <c r="WSL193" s="311"/>
      <c r="WSM193" s="312"/>
      <c r="WSN193" s="326"/>
      <c r="WSO193" s="332"/>
      <c r="WSP193" s="321"/>
      <c r="WSQ193" s="321"/>
      <c r="WSR193" s="331"/>
      <c r="WSS193" s="308"/>
      <c r="WST193" s="301"/>
      <c r="WSU193" s="301"/>
      <c r="WSV193" s="302"/>
      <c r="WSW193" s="309"/>
      <c r="WSX193" s="329"/>
      <c r="WSY193" s="311"/>
      <c r="WSZ193" s="312"/>
      <c r="WTA193" s="326"/>
      <c r="WTB193" s="332"/>
      <c r="WTC193" s="321"/>
      <c r="WTD193" s="321"/>
      <c r="WTE193" s="331"/>
      <c r="WTF193" s="308"/>
      <c r="WTG193" s="301"/>
      <c r="WTH193" s="301"/>
      <c r="WTI193" s="302"/>
      <c r="WTJ193" s="309"/>
      <c r="WTK193" s="329"/>
      <c r="WTL193" s="311"/>
      <c r="WTM193" s="312"/>
      <c r="WTN193" s="326"/>
      <c r="WTO193" s="332"/>
      <c r="WTP193" s="321"/>
      <c r="WTQ193" s="321"/>
      <c r="WTR193" s="331"/>
      <c r="WTS193" s="308"/>
      <c r="WTT193" s="301"/>
      <c r="WTU193" s="301"/>
      <c r="WTV193" s="302"/>
      <c r="WTW193" s="309"/>
      <c r="WTX193" s="329"/>
      <c r="WTY193" s="311"/>
      <c r="WTZ193" s="312"/>
      <c r="WUA193" s="326"/>
      <c r="WUB193" s="332"/>
      <c r="WUC193" s="321"/>
      <c r="WUD193" s="321"/>
      <c r="WUE193" s="331"/>
      <c r="WUF193" s="308"/>
      <c r="WUG193" s="301"/>
      <c r="WUH193" s="301"/>
      <c r="WUI193" s="302"/>
      <c r="WUJ193" s="309"/>
      <c r="WUK193" s="329"/>
      <c r="WUL193" s="311"/>
      <c r="WUM193" s="312"/>
      <c r="WUN193" s="326"/>
      <c r="WUO193" s="332"/>
      <c r="WUP193" s="321"/>
      <c r="WUQ193" s="321"/>
      <c r="WUR193" s="331"/>
      <c r="WUS193" s="308"/>
      <c r="WUT193" s="301"/>
      <c r="WUU193" s="301"/>
      <c r="WUV193" s="302"/>
      <c r="WUW193" s="309"/>
      <c r="WUX193" s="329"/>
      <c r="WUY193" s="311"/>
      <c r="WUZ193" s="312"/>
      <c r="WVA193" s="326"/>
      <c r="WVB193" s="332"/>
      <c r="WVC193" s="321"/>
      <c r="WVD193" s="321"/>
      <c r="WVE193" s="331"/>
      <c r="WVF193" s="308"/>
      <c r="WVG193" s="301"/>
      <c r="WVH193" s="301"/>
      <c r="WVI193" s="302"/>
      <c r="WVJ193" s="309"/>
      <c r="WVK193" s="329"/>
      <c r="WVL193" s="311"/>
      <c r="WVM193" s="312"/>
      <c r="WVN193" s="326"/>
      <c r="WVO193" s="332"/>
      <c r="WVP193" s="321"/>
      <c r="WVQ193" s="321"/>
      <c r="WVR193" s="331"/>
      <c r="WVS193" s="308"/>
      <c r="WVT193" s="301"/>
      <c r="WVU193" s="301"/>
      <c r="WVV193" s="302"/>
      <c r="WVW193" s="309"/>
      <c r="WVX193" s="329"/>
      <c r="WVY193" s="311"/>
      <c r="WVZ193" s="312"/>
      <c r="WWA193" s="326"/>
      <c r="WWB193" s="332"/>
      <c r="WWC193" s="321"/>
      <c r="WWD193" s="321"/>
      <c r="WWE193" s="331"/>
      <c r="WWF193" s="308"/>
      <c r="WWG193" s="301"/>
      <c r="WWH193" s="301"/>
      <c r="WWI193" s="302"/>
      <c r="WWJ193" s="309"/>
      <c r="WWK193" s="329"/>
      <c r="WWL193" s="311"/>
      <c r="WWM193" s="312"/>
      <c r="WWN193" s="326"/>
      <c r="WWO193" s="332"/>
      <c r="WWP193" s="321"/>
      <c r="WWQ193" s="321"/>
      <c r="WWR193" s="331"/>
      <c r="WWS193" s="308"/>
      <c r="WWT193" s="301"/>
      <c r="WWU193" s="301"/>
      <c r="WWV193" s="302"/>
      <c r="WWW193" s="309"/>
      <c r="WWX193" s="329"/>
      <c r="WWY193" s="311"/>
      <c r="WWZ193" s="312"/>
      <c r="WXA193" s="326"/>
      <c r="WXB193" s="332"/>
      <c r="WXC193" s="321"/>
      <c r="WXD193" s="321"/>
      <c r="WXE193" s="331"/>
      <c r="WXF193" s="308"/>
      <c r="WXG193" s="301"/>
      <c r="WXH193" s="301"/>
      <c r="WXI193" s="302"/>
      <c r="WXJ193" s="309"/>
      <c r="WXK193" s="329"/>
      <c r="WXL193" s="311"/>
      <c r="WXM193" s="312"/>
      <c r="WXN193" s="326"/>
      <c r="WXO193" s="332"/>
      <c r="WXP193" s="321"/>
      <c r="WXQ193" s="321"/>
      <c r="WXR193" s="331"/>
      <c r="WXS193" s="308"/>
      <c r="WXT193" s="301"/>
      <c r="WXU193" s="301"/>
      <c r="WXV193" s="302"/>
      <c r="WXW193" s="309"/>
      <c r="WXX193" s="329"/>
      <c r="WXY193" s="311"/>
      <c r="WXZ193" s="312"/>
      <c r="WYA193" s="326"/>
      <c r="WYB193" s="332"/>
      <c r="WYC193" s="321"/>
      <c r="WYD193" s="321"/>
      <c r="WYE193" s="331"/>
      <c r="WYF193" s="308"/>
      <c r="WYG193" s="301"/>
      <c r="WYH193" s="301"/>
      <c r="WYI193" s="302"/>
      <c r="WYJ193" s="309"/>
      <c r="WYK193" s="329"/>
      <c r="WYL193" s="311"/>
      <c r="WYM193" s="312"/>
      <c r="WYN193" s="326"/>
      <c r="WYO193" s="332"/>
      <c r="WYP193" s="321"/>
      <c r="WYQ193" s="321"/>
      <c r="WYR193" s="331"/>
      <c r="WYS193" s="308"/>
      <c r="WYT193" s="301"/>
      <c r="WYU193" s="301"/>
      <c r="WYV193" s="302"/>
      <c r="WYW193" s="309"/>
      <c r="WYX193" s="329"/>
      <c r="WYY193" s="311"/>
      <c r="WYZ193" s="312"/>
      <c r="WZA193" s="326"/>
      <c r="WZB193" s="332"/>
      <c r="WZC193" s="321"/>
      <c r="WZD193" s="321"/>
      <c r="WZE193" s="331"/>
      <c r="WZF193" s="308"/>
      <c r="WZG193" s="301"/>
      <c r="WZH193" s="301"/>
      <c r="WZI193" s="302"/>
      <c r="WZJ193" s="309"/>
      <c r="WZK193" s="329"/>
      <c r="WZL193" s="311"/>
      <c r="WZM193" s="312"/>
      <c r="WZN193" s="326"/>
      <c r="WZO193" s="332"/>
      <c r="WZP193" s="321"/>
      <c r="WZQ193" s="321"/>
      <c r="WZR193" s="331"/>
      <c r="WZS193" s="308"/>
      <c r="WZT193" s="301"/>
      <c r="WZU193" s="301"/>
      <c r="WZV193" s="302"/>
      <c r="WZW193" s="309"/>
      <c r="WZX193" s="329"/>
      <c r="WZY193" s="311"/>
      <c r="WZZ193" s="312"/>
      <c r="XAA193" s="326"/>
      <c r="XAB193" s="332"/>
      <c r="XAC193" s="321"/>
      <c r="XAD193" s="321"/>
      <c r="XAE193" s="331"/>
      <c r="XAF193" s="308"/>
      <c r="XAG193" s="301"/>
      <c r="XAH193" s="301"/>
      <c r="XAI193" s="302"/>
      <c r="XAJ193" s="309"/>
      <c r="XAK193" s="329"/>
      <c r="XAL193" s="311"/>
      <c r="XAM193" s="312"/>
      <c r="XAN193" s="326"/>
      <c r="XAO193" s="332"/>
      <c r="XAP193" s="321"/>
      <c r="XAQ193" s="321"/>
      <c r="XAR193" s="331"/>
      <c r="XAS193" s="308"/>
      <c r="XAT193" s="301"/>
      <c r="XAU193" s="301"/>
      <c r="XAV193" s="302"/>
      <c r="XAW193" s="309"/>
      <c r="XAX193" s="329"/>
      <c r="XAY193" s="311"/>
      <c r="XAZ193" s="312"/>
      <c r="XBA193" s="326"/>
      <c r="XBB193" s="332"/>
      <c r="XBC193" s="321"/>
      <c r="XBD193" s="321"/>
      <c r="XBE193" s="331"/>
      <c r="XBF193" s="308"/>
      <c r="XBG193" s="301"/>
      <c r="XBH193" s="301"/>
      <c r="XBI193" s="302"/>
      <c r="XBJ193" s="309"/>
      <c r="XBK193" s="329"/>
      <c r="XBL193" s="311"/>
      <c r="XBM193" s="312"/>
      <c r="XBN193" s="326"/>
      <c r="XBO193" s="332"/>
      <c r="XBP193" s="321"/>
      <c r="XBQ193" s="321"/>
      <c r="XBR193" s="331"/>
      <c r="XBS193" s="308"/>
      <c r="XBT193" s="301"/>
      <c r="XBU193" s="301"/>
      <c r="XBV193" s="302"/>
      <c r="XBW193" s="309"/>
      <c r="XBX193" s="329"/>
      <c r="XBY193" s="311"/>
      <c r="XBZ193" s="312"/>
      <c r="XCA193" s="326"/>
      <c r="XCB193" s="332"/>
      <c r="XCC193" s="321"/>
      <c r="XCD193" s="321"/>
      <c r="XCE193" s="331"/>
      <c r="XCF193" s="308"/>
      <c r="XCG193" s="301"/>
      <c r="XCH193" s="301"/>
      <c r="XCI193" s="302"/>
      <c r="XCJ193" s="309"/>
      <c r="XCK193" s="329"/>
      <c r="XCL193" s="311"/>
      <c r="XCM193" s="312"/>
      <c r="XCN193" s="326"/>
      <c r="XCO193" s="332"/>
      <c r="XCP193" s="321"/>
      <c r="XCQ193" s="321"/>
      <c r="XCR193" s="331"/>
      <c r="XCS193" s="308"/>
      <c r="XCT193" s="301"/>
      <c r="XCU193" s="301"/>
      <c r="XCV193" s="302"/>
      <c r="XCW193" s="309"/>
      <c r="XCX193" s="329"/>
      <c r="XCY193" s="311"/>
      <c r="XCZ193" s="312"/>
      <c r="XDA193" s="326"/>
      <c r="XDB193" s="332"/>
      <c r="XDC193" s="321"/>
      <c r="XDD193" s="321"/>
      <c r="XDE193" s="331"/>
      <c r="XDF193" s="308"/>
      <c r="XDG193" s="301"/>
      <c r="XDH193" s="301"/>
      <c r="XDI193" s="302"/>
      <c r="XDJ193" s="309"/>
      <c r="XDK193" s="329"/>
      <c r="XDL193" s="311"/>
      <c r="XDM193" s="312"/>
      <c r="XDN193" s="326"/>
      <c r="XDO193" s="332"/>
      <c r="XDP193" s="321"/>
      <c r="XDQ193" s="321"/>
      <c r="XDR193" s="331"/>
      <c r="XDS193" s="308"/>
      <c r="XDT193" s="301"/>
      <c r="XDU193" s="301"/>
      <c r="XDV193" s="302"/>
      <c r="XDW193" s="309"/>
      <c r="XDX193" s="329"/>
      <c r="XDY193" s="311"/>
      <c r="XDZ193" s="312"/>
      <c r="XEA193" s="326"/>
      <c r="XEB193" s="332"/>
      <c r="XEC193" s="321"/>
      <c r="XED193" s="321"/>
      <c r="XEE193" s="331"/>
      <c r="XEF193" s="308"/>
      <c r="XEG193" s="301"/>
      <c r="XEH193" s="301"/>
      <c r="XEI193" s="302"/>
      <c r="XEJ193" s="309"/>
      <c r="XEK193" s="329"/>
      <c r="XEL193" s="311"/>
      <c r="XEM193" s="312"/>
      <c r="XEN193" s="326"/>
      <c r="XEO193" s="332"/>
      <c r="XEP193" s="321"/>
      <c r="XEQ193" s="321"/>
      <c r="XER193" s="331"/>
      <c r="XES193" s="308"/>
      <c r="XET193" s="301"/>
      <c r="XEU193" s="301"/>
      <c r="XEV193" s="302"/>
      <c r="XEW193" s="309"/>
      <c r="XEX193" s="329"/>
      <c r="XEY193" s="311"/>
      <c r="XEZ193" s="312"/>
      <c r="XFA193" s="326"/>
      <c r="XFB193" s="332"/>
      <c r="XFC193" s="321"/>
      <c r="XFD193" s="321"/>
    </row>
    <row r="194" spans="1:16384" ht="15">
      <c r="A194" s="326">
        <v>43297</v>
      </c>
      <c r="B194" s="332">
        <f>5.0038*100</f>
        <v>500.38</v>
      </c>
      <c r="C194" s="321">
        <v>66.566000000000003</v>
      </c>
      <c r="D194" s="321">
        <v>2</v>
      </c>
      <c r="E194" s="331">
        <f t="shared" si="36"/>
        <v>68.566000000000003</v>
      </c>
      <c r="F194" s="308">
        <f t="shared" si="35"/>
        <v>2.5002429234529444E-2</v>
      </c>
      <c r="G194" s="301">
        <v>65.880600000000001</v>
      </c>
      <c r="H194" s="301"/>
      <c r="I194" s="302">
        <f t="shared" si="34"/>
        <v>65.880600000000001</v>
      </c>
      <c r="J194" s="309">
        <f t="shared" si="37"/>
        <v>1.9555225405079035E-2</v>
      </c>
      <c r="K194" s="329">
        <v>65.880600000000001</v>
      </c>
      <c r="L194" s="311">
        <f t="shared" si="38"/>
        <v>65.880600000000001</v>
      </c>
      <c r="M194" s="312">
        <f t="shared" si="39"/>
        <v>1.9555225405079035E-2</v>
      </c>
    </row>
    <row r="195" spans="1:16384" ht="15">
      <c r="A195" s="326">
        <v>43313</v>
      </c>
      <c r="B195" s="332">
        <f>5.0293*100</f>
        <v>502.93</v>
      </c>
      <c r="C195" s="321">
        <v>64.708399999999997</v>
      </c>
      <c r="D195" s="321">
        <v>2</v>
      </c>
      <c r="E195" s="331">
        <f t="shared" si="36"/>
        <v>66.708399999999997</v>
      </c>
      <c r="F195" s="308">
        <f t="shared" ref="F195:F200" si="40">E195/E194-1</f>
        <v>-2.709214479479638E-2</v>
      </c>
      <c r="G195" s="301">
        <v>63.8872</v>
      </c>
      <c r="H195" s="301"/>
      <c r="I195" s="302">
        <f t="shared" ref="I195:I200" si="41">G195+H195</f>
        <v>63.8872</v>
      </c>
      <c r="J195" s="309">
        <f t="shared" si="37"/>
        <v>-3.0257769358506215E-2</v>
      </c>
      <c r="K195" s="329">
        <v>63.8872</v>
      </c>
      <c r="L195" s="311">
        <f t="shared" si="38"/>
        <v>63.8872</v>
      </c>
      <c r="M195" s="312">
        <f t="shared" si="39"/>
        <v>-3.0257769358506215E-2</v>
      </c>
    </row>
    <row r="196" spans="1:16384" ht="15">
      <c r="A196" s="326">
        <v>43328</v>
      </c>
      <c r="B196" s="332">
        <f>5.0373*100</f>
        <v>503.73</v>
      </c>
      <c r="C196" s="321">
        <v>65.113299999999995</v>
      </c>
      <c r="D196" s="321">
        <v>2</v>
      </c>
      <c r="E196" s="331">
        <f t="shared" si="36"/>
        <v>67.113299999999995</v>
      </c>
      <c r="F196" s="308">
        <f t="shared" si="40"/>
        <v>6.0697003675698191E-3</v>
      </c>
      <c r="G196" s="301">
        <v>64.6477</v>
      </c>
      <c r="H196" s="301"/>
      <c r="I196" s="302">
        <f t="shared" si="41"/>
        <v>64.6477</v>
      </c>
      <c r="J196" s="309">
        <f t="shared" si="37"/>
        <v>1.1903792935048063E-2</v>
      </c>
      <c r="K196" s="329">
        <v>64.6477</v>
      </c>
      <c r="L196" s="311">
        <f t="shared" si="38"/>
        <v>64.6477</v>
      </c>
      <c r="M196" s="312">
        <f t="shared" si="39"/>
        <v>1.1903792935048063E-2</v>
      </c>
    </row>
    <row r="197" spans="1:16384" ht="15">
      <c r="A197" s="326">
        <v>43344</v>
      </c>
      <c r="B197" s="332">
        <f>5.0877*100</f>
        <v>508.77</v>
      </c>
      <c r="C197" s="321">
        <v>64.495000000000005</v>
      </c>
      <c r="D197" s="321">
        <v>2</v>
      </c>
      <c r="E197" s="331">
        <f t="shared" ref="E197:E203" si="42">C197+D197</f>
        <v>66.495000000000005</v>
      </c>
      <c r="F197" s="308">
        <f t="shared" si="40"/>
        <v>-9.2127789871753185E-3</v>
      </c>
      <c r="G197" s="301">
        <v>64.703800000000001</v>
      </c>
      <c r="H197" s="301"/>
      <c r="I197" s="302">
        <f t="shared" si="41"/>
        <v>64.703800000000001</v>
      </c>
      <c r="J197" s="309">
        <f>I197/I196-1</f>
        <v>8.6778029226097786E-4</v>
      </c>
      <c r="K197" s="329">
        <v>64.703800000000001</v>
      </c>
      <c r="L197" s="311">
        <f t="shared" ref="L197:L207" si="43">K197</f>
        <v>64.703800000000001</v>
      </c>
      <c r="M197" s="312">
        <f>L197/L196-1</f>
        <v>8.6778029226097786E-4</v>
      </c>
    </row>
    <row r="198" spans="1:16384" ht="15">
      <c r="A198" s="326">
        <v>43359</v>
      </c>
      <c r="B198" s="332">
        <f>5.1304*100</f>
        <v>513.04</v>
      </c>
      <c r="C198" s="321">
        <v>67.166899999999998</v>
      </c>
      <c r="D198" s="321">
        <v>2</v>
      </c>
      <c r="E198" s="331">
        <f t="shared" si="42"/>
        <v>69.166899999999998</v>
      </c>
      <c r="F198" s="308">
        <f t="shared" si="40"/>
        <v>4.0181968569065196E-2</v>
      </c>
      <c r="G198" s="301">
        <v>67.472700000000003</v>
      </c>
      <c r="H198" s="301"/>
      <c r="I198" s="302">
        <f t="shared" si="41"/>
        <v>67.472700000000003</v>
      </c>
      <c r="J198" s="309">
        <f>I198/I197-1</f>
        <v>4.2793468080700059E-2</v>
      </c>
      <c r="K198" s="329">
        <v>67.472700000000003</v>
      </c>
      <c r="L198" s="311">
        <f t="shared" si="43"/>
        <v>67.472700000000003</v>
      </c>
      <c r="M198" s="312">
        <f>L198/L197-1</f>
        <v>4.2793468080700059E-2</v>
      </c>
    </row>
    <row r="199" spans="1:16384" ht="15">
      <c r="A199" s="326">
        <v>43374</v>
      </c>
      <c r="B199" s="332">
        <f>5.1739*100</f>
        <v>517.39</v>
      </c>
      <c r="C199" s="321">
        <v>67.729299999999995</v>
      </c>
      <c r="D199" s="321">
        <v>2</v>
      </c>
      <c r="E199" s="331">
        <f t="shared" si="42"/>
        <v>69.729299999999995</v>
      </c>
      <c r="F199" s="308">
        <f t="shared" si="40"/>
        <v>8.1310569072778893E-3</v>
      </c>
      <c r="G199" s="301">
        <v>67.720399999999998</v>
      </c>
      <c r="H199" s="301"/>
      <c r="I199" s="302">
        <f t="shared" si="41"/>
        <v>67.720399999999998</v>
      </c>
      <c r="J199" s="309">
        <f>I199/I198-1</f>
        <v>3.6711143914500699E-3</v>
      </c>
      <c r="K199" s="329">
        <v>67.720399999999998</v>
      </c>
      <c r="L199" s="311">
        <f t="shared" si="43"/>
        <v>67.720399999999998</v>
      </c>
      <c r="M199" s="312">
        <f>L199/L198-1</f>
        <v>3.6711143914500699E-3</v>
      </c>
    </row>
    <row r="200" spans="1:16384" ht="15">
      <c r="A200" s="326">
        <v>43389</v>
      </c>
      <c r="B200" s="332">
        <f>5.1599*100</f>
        <v>515.99</v>
      </c>
      <c r="C200" s="321">
        <v>71.805400000000006</v>
      </c>
      <c r="D200" s="321">
        <v>2</v>
      </c>
      <c r="E200" s="331">
        <f t="shared" si="42"/>
        <v>73.805400000000006</v>
      </c>
      <c r="F200" s="308">
        <f t="shared" si="40"/>
        <v>5.8456057926868699E-2</v>
      </c>
      <c r="G200" s="301">
        <v>71.428799999999995</v>
      </c>
      <c r="H200" s="301"/>
      <c r="I200" s="302">
        <f t="shared" si="41"/>
        <v>71.428799999999995</v>
      </c>
      <c r="J200" s="309">
        <f>I200/I199-1</f>
        <v>5.4760456228846843E-2</v>
      </c>
      <c r="K200" s="329">
        <v>71.428799999999995</v>
      </c>
      <c r="L200" s="311">
        <f t="shared" si="43"/>
        <v>71.428799999999995</v>
      </c>
      <c r="M200" s="312">
        <f>L200/L199-1</f>
        <v>5.4760456228846843E-2</v>
      </c>
    </row>
    <row r="201" spans="1:16384" ht="15">
      <c r="A201" s="326">
        <v>43405</v>
      </c>
      <c r="B201" s="332">
        <f>5.1599*100</f>
        <v>515.99</v>
      </c>
      <c r="C201" s="321">
        <v>69.874499999999998</v>
      </c>
      <c r="D201" s="321">
        <v>2</v>
      </c>
      <c r="E201" s="331">
        <f t="shared" si="42"/>
        <v>71.874499999999998</v>
      </c>
      <c r="F201" s="308">
        <f t="shared" ref="F201:F215" si="44">E201/E200-1</f>
        <v>-2.6162042343785274E-2</v>
      </c>
      <c r="G201" s="301">
        <v>69.836799999999997</v>
      </c>
      <c r="H201" s="301"/>
      <c r="I201" s="302">
        <f t="shared" ref="I201:I207" si="45">G201+H201</f>
        <v>69.836799999999997</v>
      </c>
      <c r="J201" s="309">
        <f t="shared" ref="J201:J215" si="46">I201/I200-1</f>
        <v>-2.2287928678628166E-2</v>
      </c>
      <c r="K201" s="329">
        <v>69.836799999999997</v>
      </c>
      <c r="L201" s="311">
        <f t="shared" si="43"/>
        <v>69.836799999999997</v>
      </c>
      <c r="M201" s="312">
        <f t="shared" ref="M201:M215" si="47">L201/L200-1</f>
        <v>-2.2287928678628166E-2</v>
      </c>
    </row>
    <row r="202" spans="1:16384" ht="15">
      <c r="A202" s="326">
        <v>43420</v>
      </c>
      <c r="B202" s="332">
        <f>5.1599*100</f>
        <v>515.99</v>
      </c>
      <c r="C202" s="321">
        <v>67.013900000000007</v>
      </c>
      <c r="D202" s="321">
        <f>2</f>
        <v>2</v>
      </c>
      <c r="E202" s="331">
        <f t="shared" si="42"/>
        <v>69.013900000000007</v>
      </c>
      <c r="F202" s="308">
        <f t="shared" si="44"/>
        <v>-3.9799929042984572E-2</v>
      </c>
      <c r="G202" s="301">
        <v>67.942300000000003</v>
      </c>
      <c r="H202" s="301"/>
      <c r="I202" s="302">
        <f t="shared" si="45"/>
        <v>67.942300000000003</v>
      </c>
      <c r="J202" s="309">
        <f t="shared" si="46"/>
        <v>-2.7127531616568779E-2</v>
      </c>
      <c r="K202" s="329">
        <f>G202</f>
        <v>67.942300000000003</v>
      </c>
      <c r="L202" s="311">
        <f t="shared" si="43"/>
        <v>67.942300000000003</v>
      </c>
      <c r="M202" s="312">
        <f t="shared" si="47"/>
        <v>-2.7127531616568779E-2</v>
      </c>
    </row>
    <row r="203" spans="1:16384" ht="15">
      <c r="A203" s="326">
        <v>43435</v>
      </c>
      <c r="B203" s="332">
        <f>5.1516*100</f>
        <v>515.16</v>
      </c>
      <c r="C203" s="321">
        <v>62.411200000000001</v>
      </c>
      <c r="D203" s="321">
        <f>2</f>
        <v>2</v>
      </c>
      <c r="E203" s="331">
        <f t="shared" si="42"/>
        <v>64.411200000000008</v>
      </c>
      <c r="F203" s="308">
        <f t="shared" si="44"/>
        <v>-6.6692361973457515E-2</v>
      </c>
      <c r="G203" s="301">
        <v>63.5319</v>
      </c>
      <c r="H203" s="301"/>
      <c r="I203" s="302">
        <f t="shared" si="45"/>
        <v>63.5319</v>
      </c>
      <c r="J203" s="309">
        <f t="shared" si="46"/>
        <v>-6.4913904886940821E-2</v>
      </c>
      <c r="K203" s="329">
        <f>G203</f>
        <v>63.5319</v>
      </c>
      <c r="L203" s="311">
        <f t="shared" si="43"/>
        <v>63.5319</v>
      </c>
      <c r="M203" s="312">
        <f t="shared" si="47"/>
        <v>-6.4913904886940821E-2</v>
      </c>
    </row>
    <row r="204" spans="1:16384" ht="15">
      <c r="A204" s="326">
        <v>43450</v>
      </c>
      <c r="B204" s="332">
        <f>5.1981*100</f>
        <v>519.81000000000006</v>
      </c>
      <c r="C204" s="321">
        <v>58.139000000000003</v>
      </c>
      <c r="D204" s="321">
        <v>2</v>
      </c>
      <c r="E204" s="331">
        <f t="shared" ref="E204:E216" si="48">C204+D204</f>
        <v>60.139000000000003</v>
      </c>
      <c r="F204" s="308">
        <f t="shared" si="44"/>
        <v>-6.6326974190824006E-2</v>
      </c>
      <c r="G204" s="301">
        <v>58.210299999999997</v>
      </c>
      <c r="H204" s="301"/>
      <c r="I204" s="302">
        <f t="shared" si="45"/>
        <v>58.210299999999997</v>
      </c>
      <c r="J204" s="309">
        <f t="shared" si="46"/>
        <v>-8.3762645222321463E-2</v>
      </c>
      <c r="K204" s="329">
        <v>58.210299999999997</v>
      </c>
      <c r="L204" s="311">
        <f t="shared" si="43"/>
        <v>58.210299999999997</v>
      </c>
      <c r="M204" s="312">
        <f t="shared" si="47"/>
        <v>-8.3762645222321463E-2</v>
      </c>
    </row>
    <row r="205" spans="1:16384" ht="15">
      <c r="A205" s="326">
        <v>43466</v>
      </c>
      <c r="B205" s="332">
        <f>5.1987*100</f>
        <v>519.87</v>
      </c>
      <c r="C205" s="321">
        <v>56.285800000000002</v>
      </c>
      <c r="D205" s="321">
        <v>2</v>
      </c>
      <c r="E205" s="331">
        <f t="shared" si="48"/>
        <v>58.285800000000002</v>
      </c>
      <c r="F205" s="308">
        <f t="shared" si="44"/>
        <v>-3.0815277939440278E-2</v>
      </c>
      <c r="G205" s="301">
        <v>55.584099999999999</v>
      </c>
      <c r="H205" s="301"/>
      <c r="I205" s="302">
        <f t="shared" si="45"/>
        <v>55.584099999999999</v>
      </c>
      <c r="J205" s="309">
        <f t="shared" si="46"/>
        <v>-4.5115726941795442E-2</v>
      </c>
      <c r="K205" s="329">
        <v>55.584099999999999</v>
      </c>
      <c r="L205" s="311">
        <f t="shared" si="43"/>
        <v>55.584099999999999</v>
      </c>
      <c r="M205" s="312">
        <f t="shared" si="47"/>
        <v>-4.5115726941795442E-2</v>
      </c>
    </row>
    <row r="206" spans="1:16384" ht="15">
      <c r="A206" s="326">
        <v>43481</v>
      </c>
      <c r="B206" s="332">
        <f>5.2062*100</f>
        <v>520.62</v>
      </c>
      <c r="C206" s="321">
        <v>55.704900000000002</v>
      </c>
      <c r="D206" s="321">
        <v>2</v>
      </c>
      <c r="E206" s="331">
        <f t="shared" si="48"/>
        <v>57.704900000000002</v>
      </c>
      <c r="F206" s="308">
        <f t="shared" si="44"/>
        <v>-9.9664069121466747E-3</v>
      </c>
      <c r="G206" s="301">
        <v>54.589100000000002</v>
      </c>
      <c r="H206" s="301"/>
      <c r="I206" s="302">
        <f t="shared" si="45"/>
        <v>54.589100000000002</v>
      </c>
      <c r="J206" s="309">
        <f t="shared" si="46"/>
        <v>-1.7900802567640706E-2</v>
      </c>
      <c r="K206" s="329">
        <v>54.589100000000002</v>
      </c>
      <c r="L206" s="311">
        <f t="shared" si="43"/>
        <v>54.589100000000002</v>
      </c>
      <c r="M206" s="312">
        <f t="shared" si="47"/>
        <v>-1.7900802567640706E-2</v>
      </c>
    </row>
    <row r="207" spans="1:16384" ht="15">
      <c r="A207" s="326">
        <v>43497</v>
      </c>
      <c r="B207" s="332">
        <f>5.242*100</f>
        <v>524.20000000000005</v>
      </c>
      <c r="C207" s="321">
        <v>57.895400000000002</v>
      </c>
      <c r="D207" s="321">
        <v>2</v>
      </c>
      <c r="E207" s="331">
        <f t="shared" si="48"/>
        <v>59.895400000000002</v>
      </c>
      <c r="F207" s="308">
        <f t="shared" si="44"/>
        <v>3.7960381180800917E-2</v>
      </c>
      <c r="G207" s="301">
        <v>57.371299999999998</v>
      </c>
      <c r="H207" s="301"/>
      <c r="I207" s="302">
        <f t="shared" si="45"/>
        <v>57.371299999999998</v>
      </c>
      <c r="J207" s="309">
        <f t="shared" si="46"/>
        <v>5.0966218530805518E-2</v>
      </c>
      <c r="K207" s="329">
        <v>57.371299999999998</v>
      </c>
      <c r="L207" s="311">
        <f t="shared" si="43"/>
        <v>57.371299999999998</v>
      </c>
      <c r="M207" s="312">
        <f t="shared" si="47"/>
        <v>5.0966218530805518E-2</v>
      </c>
    </row>
    <row r="208" spans="1:16384" ht="15">
      <c r="A208" s="326">
        <v>43512</v>
      </c>
      <c r="B208" s="332">
        <f>5.4581*100</f>
        <v>545.80999999999995</v>
      </c>
      <c r="C208" s="321">
        <v>58.2196</v>
      </c>
      <c r="D208" s="321">
        <v>2</v>
      </c>
      <c r="E208" s="331">
        <f t="shared" si="48"/>
        <v>60.2196</v>
      </c>
      <c r="F208" s="308">
        <f t="shared" ref="F208:F216" si="49">E208/E207-1</f>
        <v>5.412769594993927E-3</v>
      </c>
      <c r="G208" s="301">
        <v>58.229500000000002</v>
      </c>
      <c r="H208" s="301"/>
      <c r="I208" s="302">
        <f t="shared" ref="I208:I216" si="50">G208+H208</f>
        <v>58.229500000000002</v>
      </c>
      <c r="J208" s="309">
        <f t="shared" ref="J208:J226" si="51">I208/I207-1</f>
        <v>1.495869886162593E-2</v>
      </c>
      <c r="K208" s="329">
        <v>58.229500000000002</v>
      </c>
      <c r="L208" s="311">
        <f t="shared" ref="L208:L216" si="52">K208</f>
        <v>58.229500000000002</v>
      </c>
      <c r="M208" s="312">
        <f t="shared" ref="M208:M226" si="53">L208/L207-1</f>
        <v>1.495869886162593E-2</v>
      </c>
    </row>
    <row r="209" spans="1:13" ht="15">
      <c r="A209" s="326">
        <v>43525</v>
      </c>
      <c r="B209" s="332">
        <f>5.6451*100</f>
        <v>564.51</v>
      </c>
      <c r="C209" s="321">
        <v>60.47</v>
      </c>
      <c r="D209" s="321">
        <v>2</v>
      </c>
      <c r="E209" s="331">
        <f t="shared" si="48"/>
        <v>62.47</v>
      </c>
      <c r="F209" s="308">
        <f t="shared" si="44"/>
        <v>3.7369892858803322E-2</v>
      </c>
      <c r="G209" s="301">
        <v>60.94</v>
      </c>
      <c r="H209" s="301"/>
      <c r="I209" s="302">
        <f t="shared" si="50"/>
        <v>60.94</v>
      </c>
      <c r="J209" s="309">
        <f t="shared" si="46"/>
        <v>4.6548570741634432E-2</v>
      </c>
      <c r="K209" s="329">
        <v>60.94</v>
      </c>
      <c r="L209" s="311">
        <f t="shared" si="52"/>
        <v>60.94</v>
      </c>
      <c r="M209" s="312">
        <f t="shared" si="47"/>
        <v>4.6548570741634432E-2</v>
      </c>
    </row>
    <row r="210" spans="1:13" ht="15">
      <c r="A210" s="326">
        <v>43540</v>
      </c>
      <c r="B210" s="332">
        <f>5.8153*100</f>
        <v>581.53</v>
      </c>
      <c r="C210" s="321">
        <v>60.78</v>
      </c>
      <c r="D210" s="321">
        <v>2</v>
      </c>
      <c r="E210" s="331">
        <f t="shared" si="48"/>
        <v>62.78</v>
      </c>
      <c r="F210" s="308">
        <f t="shared" si="49"/>
        <v>4.962381943332872E-3</v>
      </c>
      <c r="G210" s="301">
        <v>61.58</v>
      </c>
      <c r="H210" s="301"/>
      <c r="I210" s="302">
        <f t="shared" si="50"/>
        <v>61.58</v>
      </c>
      <c r="J210" s="309">
        <f t="shared" si="51"/>
        <v>1.0502133245815504E-2</v>
      </c>
      <c r="K210" s="329">
        <v>61.58</v>
      </c>
      <c r="L210" s="311">
        <f t="shared" si="52"/>
        <v>61.58</v>
      </c>
      <c r="M210" s="312">
        <f t="shared" si="53"/>
        <v>1.0502133245815504E-2</v>
      </c>
    </row>
    <row r="211" spans="1:13" ht="15">
      <c r="A211" s="326">
        <v>43556</v>
      </c>
      <c r="B211" s="332">
        <f>5.8153*100</f>
        <v>581.53</v>
      </c>
      <c r="C211" s="321">
        <v>60.87</v>
      </c>
      <c r="D211" s="321">
        <v>2</v>
      </c>
      <c r="E211" s="331">
        <f t="shared" si="48"/>
        <v>62.87</v>
      </c>
      <c r="F211" s="308">
        <f t="shared" si="44"/>
        <v>1.4335775724751976E-3</v>
      </c>
      <c r="G211" s="301">
        <v>60.699199999999998</v>
      </c>
      <c r="H211" s="301"/>
      <c r="I211" s="302">
        <f t="shared" si="50"/>
        <v>60.699199999999998</v>
      </c>
      <c r="J211" s="309">
        <f t="shared" si="46"/>
        <v>-1.430334524196164E-2</v>
      </c>
      <c r="K211" s="329">
        <v>60.699199999999998</v>
      </c>
      <c r="L211" s="311">
        <f t="shared" si="52"/>
        <v>60.699199999999998</v>
      </c>
      <c r="M211" s="312">
        <f t="shared" si="47"/>
        <v>-1.430334524196164E-2</v>
      </c>
    </row>
    <row r="212" spans="1:13" ht="15">
      <c r="A212" s="326">
        <v>43571</v>
      </c>
      <c r="B212" s="332">
        <f>5.5027*100</f>
        <v>550.27</v>
      </c>
      <c r="C212" s="321">
        <v>61.450400000000002</v>
      </c>
      <c r="D212" s="321">
        <v>2</v>
      </c>
      <c r="E212" s="331">
        <f t="shared" si="48"/>
        <v>63.450400000000002</v>
      </c>
      <c r="F212" s="308">
        <f t="shared" si="49"/>
        <v>9.2317480515349271E-3</v>
      </c>
      <c r="G212" s="301">
        <v>61.426900000000003</v>
      </c>
      <c r="H212" s="301"/>
      <c r="I212" s="302">
        <f t="shared" si="50"/>
        <v>61.426900000000003</v>
      </c>
      <c r="J212" s="309">
        <f t="shared" si="51"/>
        <v>1.1988625879748138E-2</v>
      </c>
      <c r="K212" s="329">
        <v>61.426900000000003</v>
      </c>
      <c r="L212" s="311">
        <f t="shared" si="52"/>
        <v>61.426900000000003</v>
      </c>
      <c r="M212" s="312">
        <f t="shared" si="53"/>
        <v>1.1988625879748138E-2</v>
      </c>
    </row>
    <row r="213" spans="1:13" ht="15">
      <c r="A213" s="326">
        <v>43586</v>
      </c>
      <c r="B213" s="332">
        <f>5.4588*100</f>
        <v>545.88</v>
      </c>
      <c r="C213" s="321">
        <v>62.857100000000003</v>
      </c>
      <c r="D213" s="321">
        <v>2</v>
      </c>
      <c r="E213" s="331">
        <f t="shared" si="48"/>
        <v>64.857100000000003</v>
      </c>
      <c r="F213" s="308">
        <f t="shared" si="44"/>
        <v>2.2170073001903878E-2</v>
      </c>
      <c r="G213" s="301">
        <v>63.253700000000002</v>
      </c>
      <c r="H213" s="301"/>
      <c r="I213" s="302">
        <f t="shared" si="50"/>
        <v>63.253700000000002</v>
      </c>
      <c r="J213" s="309">
        <f t="shared" si="46"/>
        <v>2.9739413839865003E-2</v>
      </c>
      <c r="K213" s="329">
        <v>63.253700000000002</v>
      </c>
      <c r="L213" s="311">
        <f t="shared" si="52"/>
        <v>63.253700000000002</v>
      </c>
      <c r="M213" s="312">
        <f t="shared" si="47"/>
        <v>2.9739413839865003E-2</v>
      </c>
    </row>
    <row r="214" spans="1:13" ht="15">
      <c r="A214" s="326">
        <v>43601</v>
      </c>
      <c r="B214" s="332">
        <f>5.4833*100</f>
        <v>548.32999999999993</v>
      </c>
      <c r="C214" s="321">
        <v>62.557099999999998</v>
      </c>
      <c r="D214" s="321">
        <v>2</v>
      </c>
      <c r="E214" s="331">
        <f t="shared" si="48"/>
        <v>64.557099999999991</v>
      </c>
      <c r="F214" s="308">
        <f t="shared" si="49"/>
        <v>-4.625553717326425E-3</v>
      </c>
      <c r="G214" s="301">
        <v>63.302999999999997</v>
      </c>
      <c r="H214" s="301"/>
      <c r="I214" s="302">
        <f t="shared" si="50"/>
        <v>63.302999999999997</v>
      </c>
      <c r="J214" s="309">
        <f t="shared" si="51"/>
        <v>7.794010468951118E-4</v>
      </c>
      <c r="K214" s="329">
        <v>63.302999999999997</v>
      </c>
      <c r="L214" s="311">
        <f t="shared" si="52"/>
        <v>63.302999999999997</v>
      </c>
      <c r="M214" s="312">
        <f t="shared" si="53"/>
        <v>7.794010468951118E-4</v>
      </c>
    </row>
    <row r="215" spans="1:13" ht="15">
      <c r="A215" s="326">
        <v>43617</v>
      </c>
      <c r="B215" s="332">
        <f>5.5679*100</f>
        <v>556.79</v>
      </c>
      <c r="C215" s="321">
        <v>63.142800000000001</v>
      </c>
      <c r="D215" s="321">
        <v>2</v>
      </c>
      <c r="E215" s="331">
        <f t="shared" si="48"/>
        <v>65.142799999999994</v>
      </c>
      <c r="F215" s="308">
        <f t="shared" si="44"/>
        <v>9.0725884527032008E-3</v>
      </c>
      <c r="G215" s="301">
        <v>63.548200000000001</v>
      </c>
      <c r="H215" s="301"/>
      <c r="I215" s="302">
        <f t="shared" si="50"/>
        <v>63.548200000000001</v>
      </c>
      <c r="J215" s="309">
        <f t="shared" si="46"/>
        <v>3.8734341184463172E-3</v>
      </c>
      <c r="K215" s="329">
        <v>63.548200000000001</v>
      </c>
      <c r="L215" s="311">
        <f t="shared" si="52"/>
        <v>63.548200000000001</v>
      </c>
      <c r="M215" s="312">
        <f t="shared" si="47"/>
        <v>3.8734341184463172E-3</v>
      </c>
    </row>
    <row r="216" spans="1:13" ht="15">
      <c r="A216" s="326">
        <v>43632</v>
      </c>
      <c r="B216" s="332">
        <f>5.6247*100</f>
        <v>562.47</v>
      </c>
      <c r="C216" s="321">
        <v>57.836799999999997</v>
      </c>
      <c r="D216" s="321">
        <v>2</v>
      </c>
      <c r="E216" s="331">
        <f t="shared" si="48"/>
        <v>59.836799999999997</v>
      </c>
      <c r="F216" s="308">
        <f t="shared" si="49"/>
        <v>-8.1451825834934932E-2</v>
      </c>
      <c r="G216" s="301">
        <v>57.664900000000003</v>
      </c>
      <c r="H216" s="301"/>
      <c r="I216" s="302">
        <f t="shared" si="50"/>
        <v>57.664900000000003</v>
      </c>
      <c r="J216" s="309">
        <f t="shared" si="51"/>
        <v>-9.2580120286648526E-2</v>
      </c>
      <c r="K216" s="329">
        <v>57.664900000000003</v>
      </c>
      <c r="L216" s="311">
        <f t="shared" si="52"/>
        <v>57.664900000000003</v>
      </c>
      <c r="M216" s="312">
        <f t="shared" si="53"/>
        <v>-9.2580120286648526E-2</v>
      </c>
    </row>
    <row r="217" spans="1:13" ht="15">
      <c r="A217" s="326">
        <v>43647</v>
      </c>
      <c r="B217" s="332">
        <f>5.7077*100</f>
        <v>570.77</v>
      </c>
      <c r="C217" s="321">
        <v>58.432099999999998</v>
      </c>
      <c r="D217" s="321">
        <v>2</v>
      </c>
      <c r="E217" s="331">
        <f t="shared" ref="E217:E225" si="54">C217+D217</f>
        <v>60.432099999999998</v>
      </c>
      <c r="F217" s="308">
        <f t="shared" ref="F217:F226" si="55">E217/E216-1</f>
        <v>9.9487272046634434E-3</v>
      </c>
      <c r="G217" s="301">
        <v>57.651499999999999</v>
      </c>
      <c r="H217" s="301"/>
      <c r="I217" s="302">
        <f t="shared" ref="I217:I226" si="56">G217+H217</f>
        <v>57.651499999999999</v>
      </c>
      <c r="J217" s="309">
        <f>I217/I216-1</f>
        <v>-2.3237706126266744E-4</v>
      </c>
      <c r="K217" s="329">
        <v>57.651499999999999</v>
      </c>
      <c r="L217" s="311">
        <f t="shared" ref="L217:L226" si="57">K217</f>
        <v>57.651499999999999</v>
      </c>
      <c r="M217" s="312">
        <f>L217/L216-1</f>
        <v>-2.3237706126266744E-4</v>
      </c>
    </row>
    <row r="218" spans="1:13" ht="15">
      <c r="A218" s="326">
        <v>43662</v>
      </c>
      <c r="B218" s="332">
        <f>5.6719*100</f>
        <v>567.18999999999994</v>
      </c>
      <c r="C218" s="321">
        <v>59.974600000000002</v>
      </c>
      <c r="D218" s="321">
        <v>2</v>
      </c>
      <c r="E218" s="331">
        <f t="shared" si="54"/>
        <v>61.974600000000002</v>
      </c>
      <c r="F218" s="308">
        <f t="shared" si="55"/>
        <v>2.5524514289591238E-2</v>
      </c>
      <c r="G218" s="301">
        <v>58.813400000000001</v>
      </c>
      <c r="H218" s="301"/>
      <c r="I218" s="302">
        <f t="shared" si="56"/>
        <v>58.813400000000001</v>
      </c>
      <c r="J218" s="309">
        <f t="shared" si="51"/>
        <v>2.0153855493785899E-2</v>
      </c>
      <c r="K218" s="329">
        <v>58.813400000000001</v>
      </c>
      <c r="L218" s="311">
        <f t="shared" si="57"/>
        <v>58.813400000000001</v>
      </c>
      <c r="M218" s="312">
        <f t="shared" si="53"/>
        <v>2.0153855493785899E-2</v>
      </c>
    </row>
    <row r="219" spans="1:13" ht="15">
      <c r="A219" s="326">
        <v>43678</v>
      </c>
      <c r="B219" s="332">
        <f>5.6657*100</f>
        <v>566.57000000000005</v>
      </c>
      <c r="C219" s="321">
        <v>60.621299999999998</v>
      </c>
      <c r="D219" s="321">
        <v>2</v>
      </c>
      <c r="E219" s="331">
        <f t="shared" si="54"/>
        <v>62.621299999999998</v>
      </c>
      <c r="F219" s="308">
        <f t="shared" si="55"/>
        <v>1.0434920112433188E-2</v>
      </c>
      <c r="G219" s="301">
        <v>58.888300000000001</v>
      </c>
      <c r="H219" s="301"/>
      <c r="I219" s="302">
        <f t="shared" si="56"/>
        <v>58.888300000000001</v>
      </c>
      <c r="J219" s="309">
        <f t="shared" si="51"/>
        <v>1.2735193000235068E-3</v>
      </c>
      <c r="K219" s="329">
        <v>58.888300000000001</v>
      </c>
      <c r="L219" s="311">
        <f t="shared" si="57"/>
        <v>58.888300000000001</v>
      </c>
      <c r="M219" s="312">
        <f t="shared" si="53"/>
        <v>1.2735193000235068E-3</v>
      </c>
    </row>
    <row r="220" spans="1:13" ht="15">
      <c r="A220" s="326">
        <v>43693</v>
      </c>
      <c r="B220" s="332">
        <f>5.6832*100</f>
        <v>568.32000000000005</v>
      </c>
      <c r="C220" s="321">
        <v>58.582500000000003</v>
      </c>
      <c r="D220" s="321">
        <v>2</v>
      </c>
      <c r="E220" s="331">
        <f t="shared" si="54"/>
        <v>60.582500000000003</v>
      </c>
      <c r="F220" s="308">
        <f t="shared" si="55"/>
        <v>-3.2557612186268847E-2</v>
      </c>
      <c r="G220" s="301">
        <v>57.500100000000003</v>
      </c>
      <c r="H220" s="301"/>
      <c r="I220" s="302">
        <f t="shared" si="56"/>
        <v>57.500100000000003</v>
      </c>
      <c r="J220" s="309">
        <f t="shared" si="51"/>
        <v>-2.3573443281602602E-2</v>
      </c>
      <c r="K220" s="329">
        <v>57.500100000000003</v>
      </c>
      <c r="L220" s="311">
        <f t="shared" si="57"/>
        <v>57.500100000000003</v>
      </c>
      <c r="M220" s="312">
        <f t="shared" si="53"/>
        <v>-2.3573443281602602E-2</v>
      </c>
    </row>
    <row r="221" spans="1:13" ht="15">
      <c r="A221" s="326">
        <v>43709</v>
      </c>
      <c r="B221" s="332">
        <f>5.7208*100</f>
        <v>572.07999999999993</v>
      </c>
      <c r="C221" s="321">
        <v>57.814799999999998</v>
      </c>
      <c r="D221" s="321">
        <v>2</v>
      </c>
      <c r="E221" s="331">
        <f t="shared" si="54"/>
        <v>59.814799999999998</v>
      </c>
      <c r="F221" s="308">
        <f t="shared" si="55"/>
        <v>-1.2671976230759774E-2</v>
      </c>
      <c r="G221" s="301">
        <v>56.940300000000001</v>
      </c>
      <c r="H221" s="301"/>
      <c r="I221" s="302">
        <f t="shared" si="56"/>
        <v>56.940300000000001</v>
      </c>
      <c r="J221" s="309">
        <f t="shared" si="51"/>
        <v>-9.7356352423735304E-3</v>
      </c>
      <c r="K221" s="329">
        <v>56.940300000000001</v>
      </c>
      <c r="L221" s="311">
        <f t="shared" si="57"/>
        <v>56.940300000000001</v>
      </c>
      <c r="M221" s="312">
        <f t="shared" si="53"/>
        <v>-9.7356352423735304E-3</v>
      </c>
    </row>
    <row r="222" spans="1:13" ht="15">
      <c r="A222" s="326">
        <v>43724</v>
      </c>
      <c r="B222" s="332">
        <f>5.7906*100</f>
        <v>579.06000000000006</v>
      </c>
      <c r="C222" s="321">
        <v>58.444499999999998</v>
      </c>
      <c r="D222" s="321">
        <v>2</v>
      </c>
      <c r="E222" s="331">
        <f t="shared" si="54"/>
        <v>60.444499999999998</v>
      </c>
      <c r="F222" s="308">
        <f t="shared" si="55"/>
        <v>1.0527494867490939E-2</v>
      </c>
      <c r="G222" s="301">
        <v>57.923699999999997</v>
      </c>
      <c r="H222" s="301"/>
      <c r="I222" s="302">
        <f t="shared" si="56"/>
        <v>57.923699999999997</v>
      </c>
      <c r="J222" s="309">
        <f t="shared" si="51"/>
        <v>1.7270720386088456E-2</v>
      </c>
      <c r="K222" s="329">
        <v>57.923699999999997</v>
      </c>
      <c r="L222" s="311">
        <f t="shared" si="57"/>
        <v>57.923699999999997</v>
      </c>
      <c r="M222" s="312">
        <f t="shared" si="53"/>
        <v>1.7270720386088456E-2</v>
      </c>
    </row>
    <row r="223" spans="1:13" ht="15">
      <c r="A223" s="326">
        <v>43739</v>
      </c>
      <c r="B223" s="332">
        <f>5.7251*100</f>
        <v>572.51</v>
      </c>
      <c r="C223" s="321">
        <v>61.738799999999998</v>
      </c>
      <c r="D223" s="321">
        <v>2</v>
      </c>
      <c r="E223" s="331">
        <f t="shared" si="54"/>
        <v>63.738799999999998</v>
      </c>
      <c r="F223" s="308">
        <f t="shared" si="55"/>
        <v>5.4501236671657516E-2</v>
      </c>
      <c r="G223" s="301">
        <v>60.4861</v>
      </c>
      <c r="H223" s="301"/>
      <c r="I223" s="302">
        <f t="shared" si="56"/>
        <v>60.4861</v>
      </c>
      <c r="J223" s="309">
        <f t="shared" si="51"/>
        <v>4.4237505546089073E-2</v>
      </c>
      <c r="K223" s="329">
        <v>60.4861</v>
      </c>
      <c r="L223" s="311">
        <f t="shared" si="57"/>
        <v>60.4861</v>
      </c>
      <c r="M223" s="312">
        <f t="shared" si="53"/>
        <v>4.4237505546089073E-2</v>
      </c>
    </row>
    <row r="224" spans="1:13" ht="15">
      <c r="A224" s="326">
        <v>43754</v>
      </c>
      <c r="B224" s="332">
        <f>5.7322*100</f>
        <v>573.22</v>
      </c>
      <c r="C224" s="321">
        <v>59.509300000000003</v>
      </c>
      <c r="D224" s="321">
        <v>2</v>
      </c>
      <c r="E224" s="331">
        <f t="shared" si="54"/>
        <v>61.509300000000003</v>
      </c>
      <c r="F224" s="308">
        <f t="shared" si="55"/>
        <v>-3.4978694296095902E-2</v>
      </c>
      <c r="G224" s="301">
        <v>58.659700000000001</v>
      </c>
      <c r="H224" s="301"/>
      <c r="I224" s="302">
        <f t="shared" si="56"/>
        <v>58.659700000000001</v>
      </c>
      <c r="J224" s="309">
        <f t="shared" si="51"/>
        <v>-3.0195367200067436E-2</v>
      </c>
      <c r="K224" s="329">
        <v>58.659700000000001</v>
      </c>
      <c r="L224" s="311">
        <f t="shared" si="57"/>
        <v>58.659700000000001</v>
      </c>
      <c r="M224" s="312">
        <f t="shared" si="53"/>
        <v>-3.0195367200067436E-2</v>
      </c>
    </row>
    <row r="225" spans="1:13" ht="15">
      <c r="A225" s="326">
        <v>43770</v>
      </c>
      <c r="B225" s="332">
        <f>5.7661*100</f>
        <v>576.61</v>
      </c>
      <c r="C225" s="321">
        <v>59.559899999999999</v>
      </c>
      <c r="D225" s="321">
        <v>2</v>
      </c>
      <c r="E225" s="331">
        <f t="shared" si="54"/>
        <v>61.559899999999999</v>
      </c>
      <c r="F225" s="308">
        <f t="shared" si="55"/>
        <v>8.2263982844854588E-4</v>
      </c>
      <c r="G225" s="301">
        <f>59.1585</f>
        <v>59.158499999999997</v>
      </c>
      <c r="H225" s="301"/>
      <c r="I225" s="302">
        <f t="shared" si="56"/>
        <v>59.158499999999997</v>
      </c>
      <c r="J225" s="309">
        <f t="shared" si="51"/>
        <v>8.5032824920685535E-3</v>
      </c>
      <c r="K225" s="329">
        <v>59.158499999999997</v>
      </c>
      <c r="L225" s="311">
        <f t="shared" si="57"/>
        <v>59.158499999999997</v>
      </c>
      <c r="M225" s="312">
        <f t="shared" si="53"/>
        <v>8.5032824920685535E-3</v>
      </c>
    </row>
    <row r="226" spans="1:13" ht="15">
      <c r="A226" s="326">
        <v>43785</v>
      </c>
      <c r="B226" s="332">
        <f>5.8004*100</f>
        <v>580.04</v>
      </c>
      <c r="C226" s="321">
        <v>59.186900000000001</v>
      </c>
      <c r="D226" s="321">
        <v>2</v>
      </c>
      <c r="E226" s="331">
        <f t="shared" ref="E226:E267" si="58">C226+D226</f>
        <v>61.186900000000001</v>
      </c>
      <c r="F226" s="308">
        <f t="shared" si="55"/>
        <v>-6.0591391473995282E-3</v>
      </c>
      <c r="G226" s="301">
        <v>58.786499999999997</v>
      </c>
      <c r="H226" s="301"/>
      <c r="I226" s="302">
        <f t="shared" si="56"/>
        <v>58.786499999999997</v>
      </c>
      <c r="J226" s="309">
        <f t="shared" si="51"/>
        <v>-6.2881918912751633E-3</v>
      </c>
      <c r="K226" s="329">
        <v>58.786499999999997</v>
      </c>
      <c r="L226" s="311">
        <f t="shared" si="57"/>
        <v>58.786499999999997</v>
      </c>
      <c r="M226" s="312">
        <f t="shared" si="53"/>
        <v>-6.2881918912751633E-3</v>
      </c>
    </row>
    <row r="227" spans="1:13" ht="15">
      <c r="A227" s="326">
        <v>43800</v>
      </c>
      <c r="B227" s="332">
        <f>5.8378*100</f>
        <v>583.78</v>
      </c>
      <c r="C227" s="321">
        <v>58.736199999999997</v>
      </c>
      <c r="D227" s="321">
        <v>2</v>
      </c>
      <c r="E227" s="331">
        <f t="shared" si="58"/>
        <v>60.736199999999997</v>
      </c>
      <c r="F227" s="308">
        <f>E227/E226-1</f>
        <v>-7.3659557846533774E-3</v>
      </c>
      <c r="G227" s="301">
        <v>58.435000000000002</v>
      </c>
      <c r="H227" s="301"/>
      <c r="I227" s="302">
        <f t="shared" ref="I227:I261" si="59">G227+H227</f>
        <v>58.435000000000002</v>
      </c>
      <c r="J227" s="309">
        <f>I227/I226-1</f>
        <v>-5.9792639466543784E-3</v>
      </c>
      <c r="K227" s="329">
        <v>58.435000000000002</v>
      </c>
      <c r="L227" s="311">
        <f t="shared" ref="L227:L269" si="60">K227</f>
        <v>58.435000000000002</v>
      </c>
      <c r="M227" s="312">
        <f>L227/L226-1</f>
        <v>-5.9792639466543784E-3</v>
      </c>
    </row>
    <row r="228" spans="1:13" ht="15">
      <c r="A228" s="326">
        <v>43815</v>
      </c>
      <c r="B228" s="332">
        <f>5.9765*100</f>
        <v>597.65</v>
      </c>
      <c r="C228" s="321">
        <v>58.613500000000002</v>
      </c>
      <c r="D228" s="321">
        <v>2</v>
      </c>
      <c r="E228" s="331">
        <f t="shared" si="58"/>
        <v>60.613500000000002</v>
      </c>
      <c r="F228" s="308">
        <f t="shared" ref="F228:F233" si="61">E228/E227-1</f>
        <v>-2.0202119987748901E-3</v>
      </c>
      <c r="G228" s="301">
        <v>58.548299999999998</v>
      </c>
      <c r="H228" s="301"/>
      <c r="I228" s="302">
        <f t="shared" si="59"/>
        <v>58.548299999999998</v>
      </c>
      <c r="J228" s="309">
        <f t="shared" ref="J228:J233" si="62">I228/I227-1</f>
        <v>1.9389064772823428E-3</v>
      </c>
      <c r="K228" s="329">
        <v>58.548299999999998</v>
      </c>
      <c r="L228" s="311">
        <f t="shared" si="60"/>
        <v>58.548299999999998</v>
      </c>
      <c r="M228" s="312">
        <f t="shared" ref="M228:M233" si="63">L228/L227-1</f>
        <v>1.9389064772823428E-3</v>
      </c>
    </row>
    <row r="229" spans="1:13" ht="15">
      <c r="A229" s="326">
        <v>43831</v>
      </c>
      <c r="B229" s="332">
        <f>6.0108*100</f>
        <v>601.07999999999993</v>
      </c>
      <c r="C229" s="321">
        <v>60.835299999999997</v>
      </c>
      <c r="D229" s="321">
        <v>2</v>
      </c>
      <c r="E229" s="331">
        <f t="shared" si="58"/>
        <v>62.835299999999997</v>
      </c>
      <c r="F229" s="308">
        <f t="shared" si="61"/>
        <v>3.665520057412941E-2</v>
      </c>
      <c r="G229" s="301">
        <v>60.692799999999998</v>
      </c>
      <c r="H229" s="301"/>
      <c r="I229" s="302">
        <f t="shared" si="59"/>
        <v>60.692799999999998</v>
      </c>
      <c r="J229" s="309">
        <f t="shared" si="62"/>
        <v>3.6627878179212647E-2</v>
      </c>
      <c r="K229" s="329">
        <v>60.692799999999998</v>
      </c>
      <c r="L229" s="311">
        <f t="shared" si="60"/>
        <v>60.692799999999998</v>
      </c>
      <c r="M229" s="312">
        <f t="shared" si="63"/>
        <v>3.6627878179212647E-2</v>
      </c>
    </row>
    <row r="230" spans="1:13" ht="15">
      <c r="A230" s="326">
        <v>43846</v>
      </c>
      <c r="B230" s="332">
        <f>6.0044*100</f>
        <v>600.44000000000005</v>
      </c>
      <c r="C230" s="321">
        <v>61.363500000000002</v>
      </c>
      <c r="D230" s="321">
        <v>2</v>
      </c>
      <c r="E230" s="331">
        <f t="shared" si="58"/>
        <v>63.363500000000002</v>
      </c>
      <c r="F230" s="308">
        <f t="shared" si="61"/>
        <v>8.4061029389532749E-3</v>
      </c>
      <c r="G230" s="301">
        <v>61.180100000000003</v>
      </c>
      <c r="H230" s="301"/>
      <c r="I230" s="302">
        <f t="shared" si="59"/>
        <v>61.180100000000003</v>
      </c>
      <c r="J230" s="309">
        <f t="shared" si="62"/>
        <v>8.0289589539452866E-3</v>
      </c>
      <c r="K230" s="329">
        <v>61.180100000000003</v>
      </c>
      <c r="L230" s="311">
        <f t="shared" si="60"/>
        <v>61.180100000000003</v>
      </c>
      <c r="M230" s="312">
        <f t="shared" si="63"/>
        <v>8.0289589539452866E-3</v>
      </c>
    </row>
    <row r="231" spans="1:13" ht="15">
      <c r="A231" s="326">
        <v>43862</v>
      </c>
      <c r="B231" s="332">
        <f>5.9382*100</f>
        <v>593.82000000000005</v>
      </c>
      <c r="C231" s="321">
        <v>57.8994</v>
      </c>
      <c r="D231" s="321">
        <v>2</v>
      </c>
      <c r="E231" s="331">
        <f t="shared" si="58"/>
        <v>59.8994</v>
      </c>
      <c r="F231" s="308">
        <f t="shared" si="61"/>
        <v>-5.4670275474050567E-2</v>
      </c>
      <c r="G231" s="301">
        <v>57.045999999999999</v>
      </c>
      <c r="H231" s="301"/>
      <c r="I231" s="302">
        <f t="shared" si="59"/>
        <v>57.045999999999999</v>
      </c>
      <c r="J231" s="309">
        <f t="shared" si="62"/>
        <v>-6.757262573941536E-2</v>
      </c>
      <c r="K231" s="329">
        <v>57.045999999999999</v>
      </c>
      <c r="L231" s="311">
        <f t="shared" si="60"/>
        <v>57.045999999999999</v>
      </c>
      <c r="M231" s="312">
        <f t="shared" si="63"/>
        <v>-6.757262573941536E-2</v>
      </c>
    </row>
    <row r="232" spans="1:13" ht="15">
      <c r="A232" s="326">
        <v>43877</v>
      </c>
      <c r="B232" s="332">
        <f>(5.7963*100)</f>
        <v>579.63</v>
      </c>
      <c r="C232" s="321">
        <v>52.607300000000002</v>
      </c>
      <c r="D232" s="321">
        <v>2</v>
      </c>
      <c r="E232" s="331">
        <f t="shared" si="58"/>
        <v>54.607300000000002</v>
      </c>
      <c r="F232" s="308">
        <f t="shared" si="61"/>
        <v>-8.8349799831050069E-2</v>
      </c>
      <c r="G232" s="301">
        <v>52.014000000000003</v>
      </c>
      <c r="H232" s="301"/>
      <c r="I232" s="302">
        <f t="shared" si="59"/>
        <v>52.014000000000003</v>
      </c>
      <c r="J232" s="309">
        <f t="shared" si="62"/>
        <v>-8.8209515128142124E-2</v>
      </c>
      <c r="K232" s="329">
        <v>52.014000000000003</v>
      </c>
      <c r="L232" s="311">
        <f t="shared" si="60"/>
        <v>52.014000000000003</v>
      </c>
      <c r="M232" s="312">
        <f t="shared" si="63"/>
        <v>-8.8209515128142124E-2</v>
      </c>
    </row>
    <row r="233" spans="1:13" ht="15">
      <c r="A233" s="326">
        <v>43891</v>
      </c>
      <c r="B233" s="332">
        <f>(5.6793*100)</f>
        <v>567.92999999999995</v>
      </c>
      <c r="C233" s="321">
        <v>51.446899999999999</v>
      </c>
      <c r="D233" s="321">
        <v>2</v>
      </c>
      <c r="E233" s="331">
        <f t="shared" si="58"/>
        <v>53.446899999999999</v>
      </c>
      <c r="F233" s="308">
        <f t="shared" si="61"/>
        <v>-2.1249906148079201E-2</v>
      </c>
      <c r="G233" s="301">
        <v>51.915100000000002</v>
      </c>
      <c r="H233" s="301"/>
      <c r="I233" s="302">
        <f t="shared" si="59"/>
        <v>51.915100000000002</v>
      </c>
      <c r="J233" s="309">
        <f t="shared" si="62"/>
        <v>-1.9014111585342608E-3</v>
      </c>
      <c r="K233" s="329">
        <v>51.915100000000002</v>
      </c>
      <c r="L233" s="311">
        <f t="shared" si="60"/>
        <v>51.915100000000002</v>
      </c>
      <c r="M233" s="312">
        <f t="shared" si="63"/>
        <v>-1.9014111585342608E-3</v>
      </c>
    </row>
    <row r="234" spans="1:13" ht="15">
      <c r="A234" s="326">
        <v>43906</v>
      </c>
      <c r="B234" s="332">
        <f>5.7553*100</f>
        <v>575.53</v>
      </c>
      <c r="C234" s="321">
        <v>44.002899999999997</v>
      </c>
      <c r="D234" s="321">
        <v>2</v>
      </c>
      <c r="E234" s="331">
        <f t="shared" si="58"/>
        <v>46.002899999999997</v>
      </c>
      <c r="F234" s="308">
        <f t="shared" ref="F234:F272" si="64">E234/E233-1</f>
        <v>-0.13927842400588253</v>
      </c>
      <c r="G234" s="301">
        <v>45.205399999999997</v>
      </c>
      <c r="H234" s="301"/>
      <c r="I234" s="302">
        <f t="shared" si="59"/>
        <v>45.205399999999997</v>
      </c>
      <c r="J234" s="309">
        <f t="shared" ref="J234:J272" si="65">I234/I233-1</f>
        <v>-0.12924370751476943</v>
      </c>
      <c r="K234" s="329">
        <v>45.205399999999997</v>
      </c>
      <c r="L234" s="311">
        <f t="shared" si="60"/>
        <v>45.205399999999997</v>
      </c>
      <c r="M234" s="312">
        <f t="shared" ref="M234:M275" si="66">L234/L233-1</f>
        <v>-0.12924370751476943</v>
      </c>
    </row>
    <row r="235" spans="1:13" ht="15">
      <c r="A235" s="326">
        <v>43922</v>
      </c>
      <c r="B235" s="332">
        <f>6.1036*100</f>
        <v>610.36</v>
      </c>
      <c r="C235" s="321">
        <v>38.5809</v>
      </c>
      <c r="D235" s="321">
        <v>2</v>
      </c>
      <c r="E235" s="331">
        <f t="shared" si="58"/>
        <v>40.5809</v>
      </c>
      <c r="F235" s="308">
        <f t="shared" si="64"/>
        <v>-0.11786213477845953</v>
      </c>
      <c r="G235" s="301">
        <v>35.214799999999997</v>
      </c>
      <c r="H235" s="301"/>
      <c r="I235" s="302">
        <f t="shared" si="59"/>
        <v>35.214799999999997</v>
      </c>
      <c r="J235" s="309">
        <f t="shared" si="65"/>
        <v>-0.22100457025045683</v>
      </c>
      <c r="K235" s="329">
        <v>35.214799999999997</v>
      </c>
      <c r="L235" s="311">
        <f t="shared" si="60"/>
        <v>35.214799999999997</v>
      </c>
      <c r="M235" s="312">
        <f t="shared" si="66"/>
        <v>-0.22100457025045683</v>
      </c>
    </row>
    <row r="236" spans="1:13" ht="15">
      <c r="A236" s="326">
        <v>43937</v>
      </c>
      <c r="B236" s="332">
        <f>6.145*100</f>
        <v>614.5</v>
      </c>
      <c r="C236" s="321">
        <v>26.454899999999999</v>
      </c>
      <c r="D236" s="321">
        <v>2</v>
      </c>
      <c r="E236" s="331">
        <f t="shared" si="58"/>
        <v>28.454899999999999</v>
      </c>
      <c r="F236" s="308">
        <f t="shared" si="64"/>
        <v>-0.29881052416284515</v>
      </c>
      <c r="G236" s="301">
        <v>33.846400000000003</v>
      </c>
      <c r="H236" s="301"/>
      <c r="I236" s="302">
        <f t="shared" si="59"/>
        <v>33.846400000000003</v>
      </c>
      <c r="J236" s="309">
        <f t="shared" si="65"/>
        <v>-3.8858661699058161E-2</v>
      </c>
      <c r="K236" s="329">
        <v>33.846400000000003</v>
      </c>
      <c r="L236" s="311">
        <f t="shared" si="60"/>
        <v>33.846400000000003</v>
      </c>
      <c r="M236" s="312">
        <f t="shared" si="66"/>
        <v>-3.8858661699058161E-2</v>
      </c>
    </row>
    <row r="237" spans="1:13" ht="15">
      <c r="A237" s="326">
        <v>43952</v>
      </c>
      <c r="B237" s="332">
        <f>6.1161*100</f>
        <v>611.61</v>
      </c>
      <c r="C237" s="321">
        <v>22.706306984075809</v>
      </c>
      <c r="D237" s="321">
        <v>2</v>
      </c>
      <c r="E237" s="331">
        <f t="shared" si="58"/>
        <v>24.706306984075809</v>
      </c>
      <c r="F237" s="308">
        <f t="shared" si="64"/>
        <v>-0.13173804919097198</v>
      </c>
      <c r="G237" s="301">
        <v>29.336251404814817</v>
      </c>
      <c r="H237" s="301"/>
      <c r="I237" s="302">
        <f t="shared" si="59"/>
        <v>29.336251404814817</v>
      </c>
      <c r="J237" s="309">
        <f t="shared" si="65"/>
        <v>-0.13325342119649908</v>
      </c>
      <c r="K237" s="329">
        <v>29.336251404814817</v>
      </c>
      <c r="L237" s="311">
        <f t="shared" si="60"/>
        <v>29.336251404814817</v>
      </c>
      <c r="M237" s="312">
        <f t="shared" si="66"/>
        <v>-0.13325342119649908</v>
      </c>
    </row>
    <row r="238" spans="1:13" ht="15">
      <c r="A238" s="326">
        <v>43967</v>
      </c>
      <c r="B238" s="332">
        <f>6.1002*100</f>
        <v>610.02</v>
      </c>
      <c r="C238" s="321">
        <v>21.340499999999999</v>
      </c>
      <c r="D238" s="321">
        <v>2</v>
      </c>
      <c r="E238" s="331">
        <f t="shared" si="58"/>
        <v>23.340499999999999</v>
      </c>
      <c r="F238" s="308">
        <f t="shared" si="64"/>
        <v>-5.5281713489439221E-2</v>
      </c>
      <c r="G238" s="301">
        <v>27.720199999999998</v>
      </c>
      <c r="H238" s="301"/>
      <c r="I238" s="302">
        <f t="shared" si="59"/>
        <v>27.720199999999998</v>
      </c>
      <c r="J238" s="309">
        <f t="shared" si="65"/>
        <v>-5.5087181470962698E-2</v>
      </c>
      <c r="K238" s="329">
        <f t="shared" ref="K238:K255" si="67">G238</f>
        <v>27.720199999999998</v>
      </c>
      <c r="L238" s="311">
        <f t="shared" si="60"/>
        <v>27.720199999999998</v>
      </c>
      <c r="M238" s="312">
        <f t="shared" si="66"/>
        <v>-5.5087181470962698E-2</v>
      </c>
    </row>
    <row r="239" spans="1:13" ht="15">
      <c r="A239" s="326">
        <v>43983</v>
      </c>
      <c r="B239" s="332">
        <f>6.1068*100</f>
        <v>610.67999999999995</v>
      </c>
      <c r="C239" s="321">
        <v>28.059000000000001</v>
      </c>
      <c r="D239" s="321">
        <v>2</v>
      </c>
      <c r="E239" s="331">
        <f t="shared" si="58"/>
        <v>30.059000000000001</v>
      </c>
      <c r="F239" s="308">
        <f t="shared" si="64"/>
        <v>0.28784730404232994</v>
      </c>
      <c r="G239" s="301">
        <v>31.8565</v>
      </c>
      <c r="H239" s="301"/>
      <c r="I239" s="302">
        <f t="shared" si="59"/>
        <v>31.8565</v>
      </c>
      <c r="J239" s="309">
        <f t="shared" si="65"/>
        <v>0.14921609512196898</v>
      </c>
      <c r="K239" s="329">
        <f t="shared" si="67"/>
        <v>31.8565</v>
      </c>
      <c r="L239" s="311">
        <f t="shared" si="60"/>
        <v>31.8565</v>
      </c>
      <c r="M239" s="312">
        <f t="shared" si="66"/>
        <v>0.14921609512196898</v>
      </c>
    </row>
    <row r="240" spans="1:13" ht="15">
      <c r="A240" s="326">
        <v>43998</v>
      </c>
      <c r="B240" s="332">
        <f>6.1131*100</f>
        <v>611.31000000000006</v>
      </c>
      <c r="C240" s="321">
        <v>32.388599999999997</v>
      </c>
      <c r="D240" s="321">
        <v>2</v>
      </c>
      <c r="E240" s="331">
        <f t="shared" si="58"/>
        <v>34.388599999999997</v>
      </c>
      <c r="F240" s="308">
        <f t="shared" si="64"/>
        <v>0.14403672776872134</v>
      </c>
      <c r="G240" s="301">
        <v>35.390300000000003</v>
      </c>
      <c r="H240" s="301"/>
      <c r="I240" s="302">
        <f t="shared" si="59"/>
        <v>35.390300000000003</v>
      </c>
      <c r="J240" s="309">
        <f t="shared" si="65"/>
        <v>0.11092869587054466</v>
      </c>
      <c r="K240" s="329">
        <f t="shared" si="67"/>
        <v>35.390300000000003</v>
      </c>
      <c r="L240" s="311">
        <f t="shared" si="60"/>
        <v>35.390300000000003</v>
      </c>
      <c r="M240" s="312">
        <f t="shared" si="66"/>
        <v>0.11092869587054466</v>
      </c>
    </row>
    <row r="241" spans="1:13" ht="15">
      <c r="A241" s="326">
        <v>44013</v>
      </c>
      <c r="B241" s="332">
        <f>6.1097*100</f>
        <v>610.97</v>
      </c>
      <c r="C241" s="321">
        <v>35.567500000000003</v>
      </c>
      <c r="D241" s="321">
        <v>2</v>
      </c>
      <c r="E241" s="331">
        <f t="shared" si="58"/>
        <v>37.567500000000003</v>
      </c>
      <c r="F241" s="308">
        <f t="shared" si="64"/>
        <v>9.2440518078665823E-2</v>
      </c>
      <c r="G241" s="301">
        <v>38.510300000000001</v>
      </c>
      <c r="H241" s="301"/>
      <c r="I241" s="302">
        <f t="shared" si="59"/>
        <v>38.510300000000001</v>
      </c>
      <c r="J241" s="309">
        <f t="shared" si="65"/>
        <v>8.8159749987990921E-2</v>
      </c>
      <c r="K241" s="329">
        <f t="shared" si="67"/>
        <v>38.510300000000001</v>
      </c>
      <c r="L241" s="311">
        <f t="shared" si="60"/>
        <v>38.510300000000001</v>
      </c>
      <c r="M241" s="312">
        <f t="shared" si="66"/>
        <v>8.8159749987990921E-2</v>
      </c>
    </row>
    <row r="242" spans="1:13" ht="15">
      <c r="A242" s="326">
        <v>44028</v>
      </c>
      <c r="B242" s="332">
        <f>6.0676*100</f>
        <v>606.76</v>
      </c>
      <c r="C242" s="321">
        <v>36.456200000000003</v>
      </c>
      <c r="D242" s="321">
        <v>2</v>
      </c>
      <c r="E242" s="331">
        <f t="shared" si="58"/>
        <v>38.456200000000003</v>
      </c>
      <c r="F242" s="308">
        <f t="shared" si="64"/>
        <v>2.3656085712384423E-2</v>
      </c>
      <c r="G242" s="301">
        <v>40.050899999999999</v>
      </c>
      <c r="H242" s="301"/>
      <c r="I242" s="302">
        <f t="shared" si="59"/>
        <v>40.050899999999999</v>
      </c>
      <c r="J242" s="309">
        <f t="shared" si="65"/>
        <v>4.0004881810840054E-2</v>
      </c>
      <c r="K242" s="329">
        <f t="shared" si="67"/>
        <v>40.050899999999999</v>
      </c>
      <c r="L242" s="311">
        <f t="shared" si="60"/>
        <v>40.050899999999999</v>
      </c>
      <c r="M242" s="312">
        <f t="shared" si="66"/>
        <v>4.0004881810840054E-2</v>
      </c>
    </row>
    <row r="243" spans="1:13" ht="15">
      <c r="A243" s="326">
        <v>44044</v>
      </c>
      <c r="B243" s="332">
        <f>6.0958*100</f>
        <v>609.57999999999993</v>
      </c>
      <c r="C243" s="321">
        <v>37.2622</v>
      </c>
      <c r="D243" s="321">
        <v>2</v>
      </c>
      <c r="E243" s="331">
        <f t="shared" si="58"/>
        <v>39.2622</v>
      </c>
      <c r="F243" s="308">
        <f t="shared" si="64"/>
        <v>2.095890909658249E-2</v>
      </c>
      <c r="G243" s="301">
        <v>40.900100000000002</v>
      </c>
      <c r="H243" s="301"/>
      <c r="I243" s="302">
        <f t="shared" si="59"/>
        <v>40.900100000000002</v>
      </c>
      <c r="J243" s="309">
        <f t="shared" si="65"/>
        <v>2.1203019158121394E-2</v>
      </c>
      <c r="K243" s="329">
        <f t="shared" si="67"/>
        <v>40.900100000000002</v>
      </c>
      <c r="L243" s="311">
        <f t="shared" si="60"/>
        <v>40.900100000000002</v>
      </c>
      <c r="M243" s="312">
        <f t="shared" si="66"/>
        <v>2.1203019158121394E-2</v>
      </c>
    </row>
    <row r="244" spans="1:13" ht="15">
      <c r="A244" s="326">
        <v>44059</v>
      </c>
      <c r="B244" s="332">
        <f>6.0871*100</f>
        <v>608.71</v>
      </c>
      <c r="C244" s="321">
        <v>37.028500000000001</v>
      </c>
      <c r="D244" s="321">
        <v>2</v>
      </c>
      <c r="E244" s="331">
        <f t="shared" si="58"/>
        <v>39.028500000000001</v>
      </c>
      <c r="F244" s="308">
        <f t="shared" si="64"/>
        <v>-5.9522899888442282E-3</v>
      </c>
      <c r="G244" s="301">
        <v>40.8247</v>
      </c>
      <c r="H244" s="301"/>
      <c r="I244" s="302">
        <f t="shared" si="59"/>
        <v>40.8247</v>
      </c>
      <c r="J244" s="309">
        <f t="shared" si="65"/>
        <v>-1.8435162750213285E-3</v>
      </c>
      <c r="K244" s="329">
        <f t="shared" si="67"/>
        <v>40.8247</v>
      </c>
      <c r="L244" s="311">
        <f t="shared" si="60"/>
        <v>40.8247</v>
      </c>
      <c r="M244" s="312">
        <f t="shared" si="66"/>
        <v>-1.8435162750213285E-3</v>
      </c>
    </row>
    <row r="245" spans="1:13" ht="15">
      <c r="A245" s="326">
        <v>44075</v>
      </c>
      <c r="B245" s="332">
        <f>6.0813*100</f>
        <v>608.13</v>
      </c>
      <c r="C245" s="321">
        <v>36.774700000000003</v>
      </c>
      <c r="D245" s="321">
        <v>2</v>
      </c>
      <c r="E245" s="331">
        <f t="shared" si="58"/>
        <v>38.774700000000003</v>
      </c>
      <c r="F245" s="308">
        <f t="shared" si="64"/>
        <v>-6.5029401591144564E-3</v>
      </c>
      <c r="G245" s="301">
        <v>40.789900000000003</v>
      </c>
      <c r="H245" s="301"/>
      <c r="I245" s="302">
        <f t="shared" si="59"/>
        <v>40.789900000000003</v>
      </c>
      <c r="J245" s="309">
        <f t="shared" si="65"/>
        <v>-8.5242512498551193E-4</v>
      </c>
      <c r="K245" s="329">
        <f t="shared" si="67"/>
        <v>40.789900000000003</v>
      </c>
      <c r="L245" s="311">
        <f t="shared" si="60"/>
        <v>40.789900000000003</v>
      </c>
      <c r="M245" s="312">
        <f t="shared" si="66"/>
        <v>-8.5242512498551193E-4</v>
      </c>
    </row>
    <row r="246" spans="1:13" ht="15">
      <c r="A246" s="326">
        <v>44090</v>
      </c>
      <c r="B246" s="332">
        <f>6.0847*100</f>
        <v>608.47</v>
      </c>
      <c r="C246" s="321">
        <v>34.1477</v>
      </c>
      <c r="D246" s="321">
        <v>2</v>
      </c>
      <c r="E246" s="331">
        <f t="shared" si="58"/>
        <v>36.1477</v>
      </c>
      <c r="F246" s="308">
        <f t="shared" si="64"/>
        <v>-6.7750362994426827E-2</v>
      </c>
      <c r="G246" s="301">
        <v>37.699800000000003</v>
      </c>
      <c r="H246" s="301"/>
      <c r="I246" s="302">
        <f t="shared" si="59"/>
        <v>37.699800000000003</v>
      </c>
      <c r="J246" s="309">
        <f t="shared" si="65"/>
        <v>-7.5756498544982898E-2</v>
      </c>
      <c r="K246" s="329">
        <f t="shared" si="67"/>
        <v>37.699800000000003</v>
      </c>
      <c r="L246" s="311">
        <f t="shared" si="60"/>
        <v>37.699800000000003</v>
      </c>
      <c r="M246" s="312">
        <f t="shared" si="66"/>
        <v>-7.5756498544982898E-2</v>
      </c>
    </row>
    <row r="247" spans="1:13" ht="15">
      <c r="A247" s="326">
        <v>44105</v>
      </c>
      <c r="B247" s="332">
        <f>6.0886*100</f>
        <v>608.8599999999999</v>
      </c>
      <c r="C247" s="321">
        <v>34.173000000000002</v>
      </c>
      <c r="D247" s="321">
        <v>2</v>
      </c>
      <c r="E247" s="331">
        <f t="shared" si="58"/>
        <v>36.173000000000002</v>
      </c>
      <c r="F247" s="308">
        <f t="shared" si="64"/>
        <v>6.9990621809967735E-4</v>
      </c>
      <c r="G247" s="301">
        <v>36.484999999999999</v>
      </c>
      <c r="H247" s="301"/>
      <c r="I247" s="302">
        <f t="shared" si="59"/>
        <v>36.484999999999999</v>
      </c>
      <c r="J247" s="309">
        <f t="shared" si="65"/>
        <v>-3.2222982615292439E-2</v>
      </c>
      <c r="K247" s="329">
        <f t="shared" si="67"/>
        <v>36.484999999999999</v>
      </c>
      <c r="L247" s="311">
        <f t="shared" si="60"/>
        <v>36.484999999999999</v>
      </c>
      <c r="M247" s="312">
        <f t="shared" si="66"/>
        <v>-3.2222982615292439E-2</v>
      </c>
    </row>
    <row r="248" spans="1:13" ht="15">
      <c r="A248" s="326">
        <v>44120</v>
      </c>
      <c r="B248" s="332">
        <f>6.1418*100</f>
        <v>614.17999999999995</v>
      </c>
      <c r="C248" s="321">
        <v>35.051600000000001</v>
      </c>
      <c r="D248" s="321">
        <v>2</v>
      </c>
      <c r="E248" s="331">
        <f t="shared" si="58"/>
        <v>37.051600000000001</v>
      </c>
      <c r="F248" s="308">
        <f t="shared" si="64"/>
        <v>2.4288834213363586E-2</v>
      </c>
      <c r="G248" s="301">
        <v>37.198999999999998</v>
      </c>
      <c r="H248" s="301"/>
      <c r="I248" s="302">
        <f t="shared" si="59"/>
        <v>37.198999999999998</v>
      </c>
      <c r="J248" s="309">
        <f t="shared" si="65"/>
        <v>1.9569686172399514E-2</v>
      </c>
      <c r="K248" s="329">
        <f t="shared" si="67"/>
        <v>37.198999999999998</v>
      </c>
      <c r="L248" s="311">
        <f t="shared" si="60"/>
        <v>37.198999999999998</v>
      </c>
      <c r="M248" s="312">
        <f t="shared" si="66"/>
        <v>1.9569686172399514E-2</v>
      </c>
    </row>
    <row r="249" spans="1:13" ht="15">
      <c r="A249" s="326">
        <v>44136</v>
      </c>
      <c r="B249" s="332">
        <f>6.133*100</f>
        <v>613.29999999999995</v>
      </c>
      <c r="C249" s="321">
        <v>36.098700000000001</v>
      </c>
      <c r="D249" s="321">
        <v>2</v>
      </c>
      <c r="E249" s="331">
        <f t="shared" si="58"/>
        <v>38.098700000000001</v>
      </c>
      <c r="F249" s="308">
        <f t="shared" si="64"/>
        <v>2.8260587936823178E-2</v>
      </c>
      <c r="G249" s="301">
        <v>37.703699999999998</v>
      </c>
      <c r="H249" s="301"/>
      <c r="I249" s="302">
        <f t="shared" si="59"/>
        <v>37.703699999999998</v>
      </c>
      <c r="J249" s="309">
        <f t="shared" si="65"/>
        <v>1.3567569020672687E-2</v>
      </c>
      <c r="K249" s="329">
        <f t="shared" si="67"/>
        <v>37.703699999999998</v>
      </c>
      <c r="L249" s="311">
        <f t="shared" si="60"/>
        <v>37.703699999999998</v>
      </c>
      <c r="M249" s="312">
        <f t="shared" si="66"/>
        <v>1.3567569020672687E-2</v>
      </c>
    </row>
    <row r="250" spans="1:13" ht="15">
      <c r="A250" s="326">
        <v>44151</v>
      </c>
      <c r="B250" s="332">
        <f>6.126*100</f>
        <v>612.6</v>
      </c>
      <c r="C250" s="321">
        <v>35.591000000000001</v>
      </c>
      <c r="D250" s="321">
        <v>2</v>
      </c>
      <c r="E250" s="331">
        <f t="shared" si="58"/>
        <v>37.591000000000001</v>
      </c>
      <c r="F250" s="308">
        <f t="shared" si="64"/>
        <v>-1.3325914007564554E-2</v>
      </c>
      <c r="G250" s="301">
        <v>36.964100000000002</v>
      </c>
      <c r="H250" s="301"/>
      <c r="I250" s="302">
        <f t="shared" si="59"/>
        <v>36.964100000000002</v>
      </c>
      <c r="J250" s="309">
        <f t="shared" si="65"/>
        <v>-1.9616111946572756E-2</v>
      </c>
      <c r="K250" s="329">
        <f t="shared" si="67"/>
        <v>36.964100000000002</v>
      </c>
      <c r="L250" s="311">
        <f t="shared" si="60"/>
        <v>36.964100000000002</v>
      </c>
      <c r="M250" s="312">
        <f t="shared" si="66"/>
        <v>-1.9616111946572756E-2</v>
      </c>
    </row>
    <row r="251" spans="1:13" ht="15">
      <c r="A251" s="326">
        <v>44166</v>
      </c>
      <c r="B251" s="332">
        <f>6.1814*100</f>
        <v>618.14</v>
      </c>
      <c r="C251" s="321">
        <v>39.1068</v>
      </c>
      <c r="D251" s="321">
        <v>2</v>
      </c>
      <c r="E251" s="331">
        <f t="shared" si="58"/>
        <v>41.1068</v>
      </c>
      <c r="F251" s="308">
        <f t="shared" si="64"/>
        <v>9.3527706099864272E-2</v>
      </c>
      <c r="G251" s="301">
        <v>40.142699999999998</v>
      </c>
      <c r="H251" s="301"/>
      <c r="I251" s="302">
        <f t="shared" si="59"/>
        <v>40.142699999999998</v>
      </c>
      <c r="J251" s="309">
        <f t="shared" si="65"/>
        <v>8.599154314591706E-2</v>
      </c>
      <c r="K251" s="329">
        <f t="shared" si="67"/>
        <v>40.142699999999998</v>
      </c>
      <c r="L251" s="311">
        <f t="shared" si="60"/>
        <v>40.142699999999998</v>
      </c>
      <c r="M251" s="312">
        <f t="shared" si="66"/>
        <v>8.599154314591706E-2</v>
      </c>
    </row>
    <row r="252" spans="1:13" ht="15">
      <c r="A252" s="326">
        <v>44181</v>
      </c>
      <c r="B252" s="332">
        <f>6.2062*100</f>
        <v>620.62</v>
      </c>
      <c r="C252" s="321">
        <v>42.096600000000002</v>
      </c>
      <c r="D252" s="321">
        <v>2</v>
      </c>
      <c r="E252" s="331">
        <f t="shared" si="58"/>
        <v>44.096600000000002</v>
      </c>
      <c r="F252" s="308">
        <f t="shared" si="64"/>
        <v>7.273249194780429E-2</v>
      </c>
      <c r="G252" s="301">
        <v>42.998399999999997</v>
      </c>
      <c r="H252" s="301"/>
      <c r="I252" s="302">
        <f t="shared" si="59"/>
        <v>42.998399999999997</v>
      </c>
      <c r="J252" s="309">
        <f t="shared" si="65"/>
        <v>7.1138712642647262E-2</v>
      </c>
      <c r="K252" s="329">
        <f t="shared" si="67"/>
        <v>42.998399999999997</v>
      </c>
      <c r="L252" s="311">
        <f t="shared" si="60"/>
        <v>42.998399999999997</v>
      </c>
      <c r="M252" s="312">
        <f t="shared" si="66"/>
        <v>7.1138712642647262E-2</v>
      </c>
    </row>
    <row r="253" spans="1:13" ht="15">
      <c r="A253" s="326">
        <v>44197</v>
      </c>
      <c r="B253" s="332">
        <f>6.2233*100</f>
        <v>622.33000000000004</v>
      </c>
      <c r="C253" s="321">
        <v>44.416200000000003</v>
      </c>
      <c r="D253" s="321">
        <v>2</v>
      </c>
      <c r="E253" s="331">
        <f t="shared" si="58"/>
        <v>46.416200000000003</v>
      </c>
      <c r="F253" s="308">
        <f t="shared" si="64"/>
        <v>5.2602694992357701E-2</v>
      </c>
      <c r="G253" s="301">
        <v>44.907699999999998</v>
      </c>
      <c r="H253" s="301"/>
      <c r="I253" s="302">
        <f t="shared" si="59"/>
        <v>44.907699999999998</v>
      </c>
      <c r="J253" s="309">
        <f t="shared" si="65"/>
        <v>4.4403977822430551E-2</v>
      </c>
      <c r="K253" s="329">
        <f t="shared" si="67"/>
        <v>44.907699999999998</v>
      </c>
      <c r="L253" s="311">
        <f t="shared" si="60"/>
        <v>44.907699999999998</v>
      </c>
      <c r="M253" s="312">
        <f t="shared" si="66"/>
        <v>4.4403977822430551E-2</v>
      </c>
    </row>
    <row r="254" spans="1:13" ht="15">
      <c r="A254" s="326">
        <v>44212</v>
      </c>
      <c r="B254" s="332">
        <f>6.2078*100</f>
        <v>620.78</v>
      </c>
      <c r="C254" s="321">
        <v>45.4664</v>
      </c>
      <c r="D254" s="321">
        <v>2</v>
      </c>
      <c r="E254" s="331">
        <f t="shared" si="58"/>
        <v>47.4664</v>
      </c>
      <c r="F254" s="308">
        <f t="shared" si="64"/>
        <v>2.2625721192169879E-2</v>
      </c>
      <c r="G254" s="301">
        <v>45.924100000000003</v>
      </c>
      <c r="H254" s="301"/>
      <c r="I254" s="302">
        <f t="shared" si="59"/>
        <v>45.924100000000003</v>
      </c>
      <c r="J254" s="309">
        <f t="shared" si="65"/>
        <v>2.2633089648323113E-2</v>
      </c>
      <c r="K254" s="329">
        <f t="shared" si="67"/>
        <v>45.924100000000003</v>
      </c>
      <c r="L254" s="311">
        <f t="shared" si="60"/>
        <v>45.924100000000003</v>
      </c>
      <c r="M254" s="312">
        <f t="shared" si="66"/>
        <v>2.2633089648323113E-2</v>
      </c>
    </row>
    <row r="255" spans="1:13" ht="15">
      <c r="A255" s="326">
        <v>44228</v>
      </c>
      <c r="B255" s="332">
        <f>6.1353*100</f>
        <v>613.53</v>
      </c>
      <c r="C255" s="321">
        <v>47.178400000000003</v>
      </c>
      <c r="D255" s="321">
        <v>2</v>
      </c>
      <c r="E255" s="331">
        <f t="shared" si="58"/>
        <v>49.178400000000003</v>
      </c>
      <c r="F255" s="308">
        <f t="shared" si="64"/>
        <v>3.6067618357406461E-2</v>
      </c>
      <c r="G255" s="301">
        <v>47.747700000000002</v>
      </c>
      <c r="H255" s="301"/>
      <c r="I255" s="302">
        <f t="shared" si="59"/>
        <v>47.747700000000002</v>
      </c>
      <c r="J255" s="309">
        <f t="shared" si="65"/>
        <v>3.9708998107747417E-2</v>
      </c>
      <c r="K255" s="329">
        <f t="shared" si="67"/>
        <v>47.747700000000002</v>
      </c>
      <c r="L255" s="311">
        <f t="shared" si="60"/>
        <v>47.747700000000002</v>
      </c>
      <c r="M255" s="312">
        <f t="shared" si="66"/>
        <v>3.9708998107747417E-2</v>
      </c>
    </row>
    <row r="256" spans="1:13" ht="15">
      <c r="A256" s="326">
        <v>44243</v>
      </c>
      <c r="B256" s="332">
        <f>6.1025*100</f>
        <v>610.25</v>
      </c>
      <c r="C256" s="321">
        <f>48.6727</f>
        <v>48.672699999999999</v>
      </c>
      <c r="D256" s="321">
        <v>2</v>
      </c>
      <c r="E256" s="331">
        <f t="shared" si="58"/>
        <v>50.672699999999999</v>
      </c>
      <c r="F256" s="308">
        <f t="shared" si="64"/>
        <v>3.038529110341126E-2</v>
      </c>
      <c r="G256" s="301">
        <f>49.5969</f>
        <v>49.596899999999998</v>
      </c>
      <c r="H256" s="301"/>
      <c r="I256" s="302">
        <f t="shared" si="59"/>
        <v>49.596899999999998</v>
      </c>
      <c r="J256" s="309">
        <f t="shared" si="65"/>
        <v>3.8728567030453798E-2</v>
      </c>
      <c r="K256" s="329">
        <f>49.5969</f>
        <v>49.596899999999998</v>
      </c>
      <c r="L256" s="311">
        <f t="shared" si="60"/>
        <v>49.596899999999998</v>
      </c>
      <c r="M256" s="312">
        <f t="shared" si="66"/>
        <v>3.8728567030453798E-2</v>
      </c>
    </row>
    <row r="257" spans="1:13" ht="15">
      <c r="A257" s="326">
        <v>44256</v>
      </c>
      <c r="B257" s="332">
        <f>6.031*100</f>
        <v>603.1</v>
      </c>
      <c r="C257" s="321">
        <f>52.3189</f>
        <v>52.318899999999999</v>
      </c>
      <c r="D257" s="321">
        <v>2</v>
      </c>
      <c r="E257" s="331">
        <f t="shared" si="58"/>
        <v>54.318899999999999</v>
      </c>
      <c r="F257" s="308">
        <f t="shared" si="64"/>
        <v>7.1955905250756347E-2</v>
      </c>
      <c r="G257" s="301">
        <f>53.7069</f>
        <v>53.706899999999997</v>
      </c>
      <c r="H257" s="301"/>
      <c r="I257" s="302">
        <f t="shared" si="59"/>
        <v>53.706899999999997</v>
      </c>
      <c r="J257" s="309">
        <f t="shared" si="65"/>
        <v>8.2868082480961558E-2</v>
      </c>
      <c r="K257" s="329">
        <f t="shared" ref="K257:K269" si="68">I257</f>
        <v>53.706899999999997</v>
      </c>
      <c r="L257" s="311">
        <f t="shared" si="60"/>
        <v>53.706899999999997</v>
      </c>
      <c r="M257" s="312">
        <f t="shared" si="66"/>
        <v>8.2868082480961558E-2</v>
      </c>
    </row>
    <row r="258" spans="1:13" ht="15">
      <c r="A258" s="326">
        <v>44271</v>
      </c>
      <c r="B258" s="332">
        <f>6.0223*100</f>
        <v>602.23</v>
      </c>
      <c r="C258" s="321">
        <f>53.2471</f>
        <v>53.247100000000003</v>
      </c>
      <c r="D258" s="321">
        <v>2</v>
      </c>
      <c r="E258" s="331">
        <f t="shared" si="58"/>
        <v>55.247100000000003</v>
      </c>
      <c r="F258" s="308">
        <f t="shared" si="64"/>
        <v>1.7087974903762904E-2</v>
      </c>
      <c r="G258" s="301">
        <f>54.461</f>
        <v>54.460999999999999</v>
      </c>
      <c r="H258" s="301"/>
      <c r="I258" s="302">
        <f t="shared" si="59"/>
        <v>54.460999999999999</v>
      </c>
      <c r="J258" s="309">
        <f t="shared" si="65"/>
        <v>1.4041026385808841E-2</v>
      </c>
      <c r="K258" s="329">
        <f t="shared" si="68"/>
        <v>54.460999999999999</v>
      </c>
      <c r="L258" s="311">
        <f t="shared" si="60"/>
        <v>54.460999999999999</v>
      </c>
      <c r="M258" s="312">
        <f t="shared" si="66"/>
        <v>1.4041026385808841E-2</v>
      </c>
    </row>
    <row r="259" spans="1:13" ht="15">
      <c r="A259" s="326">
        <v>44287</v>
      </c>
      <c r="B259" s="332">
        <f>6.0145*100</f>
        <v>601.45000000000005</v>
      </c>
      <c r="C259" s="321">
        <f>52.002</f>
        <v>52.002000000000002</v>
      </c>
      <c r="D259" s="321">
        <v>2</v>
      </c>
      <c r="E259" s="331">
        <f t="shared" si="58"/>
        <v>54.002000000000002</v>
      </c>
      <c r="F259" s="308">
        <f t="shared" si="64"/>
        <v>-2.253692954019304E-2</v>
      </c>
      <c r="G259" s="301">
        <f>53.0654</f>
        <v>53.065399999999997</v>
      </c>
      <c r="H259" s="301"/>
      <c r="I259" s="302">
        <f t="shared" si="59"/>
        <v>53.065399999999997</v>
      </c>
      <c r="J259" s="309">
        <f t="shared" si="65"/>
        <v>-2.5625677090027721E-2</v>
      </c>
      <c r="K259" s="329">
        <f t="shared" si="68"/>
        <v>53.065399999999997</v>
      </c>
      <c r="L259" s="311">
        <f t="shared" si="60"/>
        <v>53.065399999999997</v>
      </c>
      <c r="M259" s="312">
        <f t="shared" si="66"/>
        <v>-2.5625677090027721E-2</v>
      </c>
    </row>
    <row r="260" spans="1:13" ht="15">
      <c r="A260" s="326">
        <v>44302</v>
      </c>
      <c r="B260" s="332">
        <f>6.0124*100</f>
        <v>601.24</v>
      </c>
      <c r="C260" s="321">
        <f>50.8902</f>
        <v>50.8902</v>
      </c>
      <c r="D260" s="321">
        <v>2</v>
      </c>
      <c r="E260" s="331">
        <f t="shared" si="58"/>
        <v>52.8902</v>
      </c>
      <c r="F260" s="308">
        <f t="shared" si="64"/>
        <v>-2.0588126365690185E-2</v>
      </c>
      <c r="G260" s="301">
        <v>51.747300000000003</v>
      </c>
      <c r="H260" s="301"/>
      <c r="I260" s="302">
        <f t="shared" si="59"/>
        <v>51.747300000000003</v>
      </c>
      <c r="J260" s="309">
        <f t="shared" si="65"/>
        <v>-2.4839160733736043E-2</v>
      </c>
      <c r="K260" s="329">
        <f t="shared" si="68"/>
        <v>51.747300000000003</v>
      </c>
      <c r="L260" s="311">
        <f t="shared" si="60"/>
        <v>51.747300000000003</v>
      </c>
      <c r="M260" s="312">
        <f t="shared" si="66"/>
        <v>-2.4839160733736043E-2</v>
      </c>
    </row>
    <row r="261" spans="1:13" ht="15">
      <c r="A261" s="326">
        <v>44317</v>
      </c>
      <c r="B261" s="332">
        <f>6.0682*100</f>
        <v>606.82000000000005</v>
      </c>
      <c r="C261" s="321">
        <f>52.7329</f>
        <v>52.732900000000001</v>
      </c>
      <c r="D261" s="321">
        <v>2</v>
      </c>
      <c r="E261" s="331">
        <f t="shared" si="58"/>
        <v>54.732900000000001</v>
      </c>
      <c r="F261" s="308">
        <f t="shared" si="64"/>
        <v>3.4840102703336262E-2</v>
      </c>
      <c r="G261" s="301">
        <v>53.445700000000002</v>
      </c>
      <c r="H261" s="301"/>
      <c r="I261" s="302">
        <f t="shared" si="59"/>
        <v>53.445700000000002</v>
      </c>
      <c r="J261" s="309">
        <f t="shared" si="65"/>
        <v>3.2821036073379606E-2</v>
      </c>
      <c r="K261" s="329">
        <f t="shared" si="68"/>
        <v>53.445700000000002</v>
      </c>
      <c r="L261" s="311">
        <f t="shared" si="60"/>
        <v>53.445700000000002</v>
      </c>
      <c r="M261" s="312">
        <f t="shared" si="66"/>
        <v>3.2821036073379606E-2</v>
      </c>
    </row>
    <row r="262" spans="1:13" ht="15">
      <c r="A262" s="326">
        <v>44321</v>
      </c>
      <c r="B262" s="332">
        <f>6.0682*100</f>
        <v>606.82000000000005</v>
      </c>
      <c r="C262" s="321">
        <f>52.7329</f>
        <v>52.732900000000001</v>
      </c>
      <c r="D262" s="321">
        <v>2</v>
      </c>
      <c r="E262" s="331">
        <f t="shared" si="58"/>
        <v>54.732900000000001</v>
      </c>
      <c r="F262" s="308">
        <f t="shared" si="64"/>
        <v>0</v>
      </c>
      <c r="G262" s="301">
        <v>53.445700000000002</v>
      </c>
      <c r="H262" s="301"/>
      <c r="I262" s="302">
        <f t="shared" ref="I262:I267" si="69">G262+H262</f>
        <v>53.445700000000002</v>
      </c>
      <c r="J262" s="309">
        <f t="shared" si="65"/>
        <v>0</v>
      </c>
      <c r="K262" s="329">
        <f t="shared" si="68"/>
        <v>53.445700000000002</v>
      </c>
      <c r="L262" s="311">
        <f t="shared" si="60"/>
        <v>53.445700000000002</v>
      </c>
      <c r="M262" s="312">
        <f t="shared" si="66"/>
        <v>0</v>
      </c>
    </row>
    <row r="263" spans="1:13" ht="15">
      <c r="A263" s="326">
        <v>44332</v>
      </c>
      <c r="B263" s="332">
        <f>6.0468*100</f>
        <v>604.68000000000006</v>
      </c>
      <c r="C263" s="321">
        <f>54.8162</f>
        <v>54.816200000000002</v>
      </c>
      <c r="D263" s="321">
        <v>2</v>
      </c>
      <c r="E263" s="331">
        <f t="shared" si="58"/>
        <v>56.816200000000002</v>
      </c>
      <c r="F263" s="308">
        <f t="shared" si="64"/>
        <v>3.8063029731660425E-2</v>
      </c>
      <c r="G263" s="301">
        <v>55.573500000000003</v>
      </c>
      <c r="H263" s="301"/>
      <c r="I263" s="302">
        <f t="shared" si="69"/>
        <v>55.573500000000003</v>
      </c>
      <c r="J263" s="309">
        <f t="shared" si="65"/>
        <v>3.981237031229834E-2</v>
      </c>
      <c r="K263" s="329">
        <f t="shared" si="68"/>
        <v>55.573500000000003</v>
      </c>
      <c r="L263" s="311">
        <f t="shared" si="60"/>
        <v>55.573500000000003</v>
      </c>
      <c r="M263" s="312">
        <f t="shared" si="66"/>
        <v>3.981237031229834E-2</v>
      </c>
    </row>
    <row r="264" spans="1:13" ht="15">
      <c r="A264" s="326">
        <v>44348</v>
      </c>
      <c r="B264" s="332">
        <f>6.0862*100</f>
        <v>608.62</v>
      </c>
      <c r="C264" s="321">
        <f>55.25</f>
        <v>55.25</v>
      </c>
      <c r="D264" s="321">
        <v>2</v>
      </c>
      <c r="E264" s="331">
        <f t="shared" si="58"/>
        <v>57.25</v>
      </c>
      <c r="F264" s="308">
        <f t="shared" si="64"/>
        <v>7.6351463139034959E-3</v>
      </c>
      <c r="G264" s="301">
        <v>56.2956</v>
      </c>
      <c r="H264" s="301"/>
      <c r="I264" s="302">
        <f t="shared" si="69"/>
        <v>56.2956</v>
      </c>
      <c r="J264" s="309">
        <f t="shared" si="65"/>
        <v>1.2993603066209669E-2</v>
      </c>
      <c r="K264" s="329">
        <f t="shared" si="68"/>
        <v>56.2956</v>
      </c>
      <c r="L264" s="311">
        <f t="shared" si="60"/>
        <v>56.2956</v>
      </c>
      <c r="M264" s="312">
        <f t="shared" si="66"/>
        <v>1.2993603066209669E-2</v>
      </c>
    </row>
    <row r="265" spans="1:13" ht="15">
      <c r="A265" s="326">
        <v>44363</v>
      </c>
      <c r="B265" s="332">
        <f>6.0849*100</f>
        <v>608.49</v>
      </c>
      <c r="C265" s="321">
        <f>56.9794</f>
        <v>56.979399999999998</v>
      </c>
      <c r="D265" s="321">
        <v>2</v>
      </c>
      <c r="E265" s="331">
        <f t="shared" si="58"/>
        <v>58.979399999999998</v>
      </c>
      <c r="F265" s="308">
        <f t="shared" si="64"/>
        <v>3.0207860262008612E-2</v>
      </c>
      <c r="G265" s="301">
        <v>58.229500000000002</v>
      </c>
      <c r="H265" s="301"/>
      <c r="I265" s="302">
        <f t="shared" si="69"/>
        <v>58.229500000000002</v>
      </c>
      <c r="J265" s="309">
        <f t="shared" si="65"/>
        <v>3.4352595940002395E-2</v>
      </c>
      <c r="K265" s="329">
        <f t="shared" si="68"/>
        <v>58.229500000000002</v>
      </c>
      <c r="L265" s="311">
        <f t="shared" si="60"/>
        <v>58.229500000000002</v>
      </c>
      <c r="M265" s="312">
        <f t="shared" si="66"/>
        <v>3.4352595940002395E-2</v>
      </c>
    </row>
    <row r="266" spans="1:13" ht="15">
      <c r="A266" s="326">
        <v>44378</v>
      </c>
      <c r="B266" s="332">
        <f>6.1299*100</f>
        <v>612.99</v>
      </c>
      <c r="C266" s="321">
        <f>58.7236</f>
        <v>58.723599999999998</v>
      </c>
      <c r="D266" s="321">
        <v>2</v>
      </c>
      <c r="E266" s="331">
        <f t="shared" si="58"/>
        <v>60.723599999999998</v>
      </c>
      <c r="F266" s="308">
        <f t="shared" si="64"/>
        <v>2.9573037365588695E-2</v>
      </c>
      <c r="G266" s="301">
        <v>59.950699999999998</v>
      </c>
      <c r="H266" s="301"/>
      <c r="I266" s="302">
        <f t="shared" si="69"/>
        <v>59.950699999999998</v>
      </c>
      <c r="J266" s="309">
        <f t="shared" si="65"/>
        <v>2.9558900557277612E-2</v>
      </c>
      <c r="K266" s="329">
        <f t="shared" si="68"/>
        <v>59.950699999999998</v>
      </c>
      <c r="L266" s="311">
        <f t="shared" si="60"/>
        <v>59.950699999999998</v>
      </c>
      <c r="M266" s="312">
        <f t="shared" si="66"/>
        <v>2.9558900557277612E-2</v>
      </c>
    </row>
    <row r="267" spans="1:13" ht="15">
      <c r="A267" s="326">
        <v>44393</v>
      </c>
      <c r="B267" s="332">
        <f>6.2118*100</f>
        <v>621.18000000000006</v>
      </c>
      <c r="C267" s="321">
        <f>59.0662</f>
        <v>59.066200000000002</v>
      </c>
      <c r="D267" s="321">
        <v>2</v>
      </c>
      <c r="E267" s="331">
        <f t="shared" si="58"/>
        <v>61.066200000000002</v>
      </c>
      <c r="F267" s="308">
        <f t="shared" si="64"/>
        <v>5.6419579866806568E-3</v>
      </c>
      <c r="G267" s="301">
        <v>60.212600000000002</v>
      </c>
      <c r="H267" s="301"/>
      <c r="I267" s="302">
        <f t="shared" si="69"/>
        <v>60.212600000000002</v>
      </c>
      <c r="J267" s="309">
        <f t="shared" si="65"/>
        <v>4.3685895243925632E-3</v>
      </c>
      <c r="K267" s="329">
        <f t="shared" si="68"/>
        <v>60.212600000000002</v>
      </c>
      <c r="L267" s="311">
        <f t="shared" si="60"/>
        <v>60.212600000000002</v>
      </c>
      <c r="M267" s="312">
        <f t="shared" si="66"/>
        <v>4.3685895243925632E-3</v>
      </c>
    </row>
    <row r="268" spans="1:13" ht="15">
      <c r="A268" s="326">
        <v>44409</v>
      </c>
      <c r="B268" s="332">
        <f>6.2602*100</f>
        <v>626.02</v>
      </c>
      <c r="C268" s="321">
        <f>58.8004</f>
        <v>58.800400000000003</v>
      </c>
      <c r="D268" s="321">
        <v>2</v>
      </c>
      <c r="E268" s="331">
        <f t="shared" ref="E268:E338" si="70">C268+D268</f>
        <v>60.800400000000003</v>
      </c>
      <c r="F268" s="308">
        <f t="shared" si="64"/>
        <v>-4.3526533499710363E-3</v>
      </c>
      <c r="G268" s="301">
        <v>59.529699999999998</v>
      </c>
      <c r="H268" s="301"/>
      <c r="I268" s="302">
        <f>G268+H268</f>
        <v>59.529699999999998</v>
      </c>
      <c r="J268" s="309">
        <f t="shared" si="65"/>
        <v>-1.1341480022453831E-2</v>
      </c>
      <c r="K268" s="329">
        <f t="shared" si="68"/>
        <v>59.529699999999998</v>
      </c>
      <c r="L268" s="311">
        <f t="shared" si="60"/>
        <v>59.529699999999998</v>
      </c>
      <c r="M268" s="312">
        <f t="shared" si="66"/>
        <v>-1.1341480022453831E-2</v>
      </c>
    </row>
    <row r="269" spans="1:13" ht="15">
      <c r="A269" s="326">
        <v>44424</v>
      </c>
      <c r="B269" s="332">
        <f>6.3471*100</f>
        <v>634.71</v>
      </c>
      <c r="C269" s="321">
        <v>58.622500000000002</v>
      </c>
      <c r="D269" s="321">
        <v>2</v>
      </c>
      <c r="E269" s="331">
        <f t="shared" si="70"/>
        <v>60.622500000000002</v>
      </c>
      <c r="F269" s="308">
        <f t="shared" si="64"/>
        <v>-2.9259675923184458E-3</v>
      </c>
      <c r="G269" s="301">
        <v>59.2211</v>
      </c>
      <c r="H269" s="301"/>
      <c r="I269" s="302">
        <f>G269+H269</f>
        <v>59.2211</v>
      </c>
      <c r="J269" s="309">
        <f t="shared" si="65"/>
        <v>-5.183966994626199E-3</v>
      </c>
      <c r="K269" s="329">
        <f t="shared" si="68"/>
        <v>59.2211</v>
      </c>
      <c r="L269" s="311">
        <f t="shared" si="60"/>
        <v>59.2211</v>
      </c>
      <c r="M269" s="312">
        <f t="shared" si="66"/>
        <v>-5.183966994626199E-3</v>
      </c>
    </row>
    <row r="270" spans="1:13" ht="15">
      <c r="A270" s="326">
        <v>44440</v>
      </c>
      <c r="B270" s="332">
        <f>6.3979*100</f>
        <v>639.79</v>
      </c>
      <c r="C270" s="321">
        <v>56.898800000000001</v>
      </c>
      <c r="D270" s="321">
        <v>2</v>
      </c>
      <c r="E270" s="331">
        <f t="shared" si="70"/>
        <v>58.898800000000001</v>
      </c>
      <c r="F270" s="308">
        <f t="shared" si="64"/>
        <v>-2.8433337457214769E-2</v>
      </c>
      <c r="G270" s="301">
        <v>57.824300000000001</v>
      </c>
      <c r="H270" s="301"/>
      <c r="I270" s="302">
        <f t="shared" ref="I270:I276" si="71">G270+H270</f>
        <v>57.824300000000001</v>
      </c>
      <c r="J270" s="309">
        <f t="shared" si="65"/>
        <v>-2.3586188030955135E-2</v>
      </c>
      <c r="K270" s="329">
        <f t="shared" ref="K270:K275" si="72">I270</f>
        <v>57.824300000000001</v>
      </c>
      <c r="L270" s="311">
        <f t="shared" ref="L270:L278" si="73">K270</f>
        <v>57.824300000000001</v>
      </c>
      <c r="M270" s="312">
        <f t="shared" si="66"/>
        <v>-2.3586188030955135E-2</v>
      </c>
    </row>
    <row r="271" spans="1:13" ht="15">
      <c r="A271" s="326">
        <v>44455</v>
      </c>
      <c r="B271" s="332">
        <f>6.3874*100</f>
        <v>638.74</v>
      </c>
      <c r="C271" s="321">
        <v>59.449100000000001</v>
      </c>
      <c r="D271" s="321">
        <v>2</v>
      </c>
      <c r="E271" s="331">
        <f t="shared" si="70"/>
        <v>61.449100000000001</v>
      </c>
      <c r="F271" s="308">
        <f t="shared" si="64"/>
        <v>4.3299693711926324E-2</v>
      </c>
      <c r="G271" s="301">
        <v>60.563299999999998</v>
      </c>
      <c r="H271" s="301"/>
      <c r="I271" s="302">
        <f t="shared" si="71"/>
        <v>60.563299999999998</v>
      </c>
      <c r="J271" s="309">
        <f t="shared" si="65"/>
        <v>4.7367629180119719E-2</v>
      </c>
      <c r="K271" s="329">
        <f t="shared" si="72"/>
        <v>60.563299999999998</v>
      </c>
      <c r="L271" s="311">
        <f t="shared" si="73"/>
        <v>60.563299999999998</v>
      </c>
      <c r="M271" s="312">
        <f t="shared" si="66"/>
        <v>4.7367629180119719E-2</v>
      </c>
    </row>
    <row r="272" spans="1:13" ht="15">
      <c r="A272" s="326">
        <v>44470</v>
      </c>
      <c r="B272" s="332">
        <f>6.3822*100</f>
        <v>638.22</v>
      </c>
      <c r="C272" s="321">
        <v>61.554900000000004</v>
      </c>
      <c r="D272" s="321">
        <v>2</v>
      </c>
      <c r="E272" s="331">
        <f t="shared" si="70"/>
        <v>63.554900000000004</v>
      </c>
      <c r="F272" s="308">
        <f t="shared" si="64"/>
        <v>3.4269012890343342E-2</v>
      </c>
      <c r="G272" s="301">
        <v>62.675800000000002</v>
      </c>
      <c r="H272" s="301"/>
      <c r="I272" s="302">
        <f t="shared" si="71"/>
        <v>62.675800000000002</v>
      </c>
      <c r="J272" s="309">
        <f t="shared" si="65"/>
        <v>3.4880860190907859E-2</v>
      </c>
      <c r="K272" s="329">
        <f t="shared" si="72"/>
        <v>62.675800000000002</v>
      </c>
      <c r="L272" s="311">
        <f t="shared" si="73"/>
        <v>62.675800000000002</v>
      </c>
      <c r="M272" s="312">
        <f t="shared" si="66"/>
        <v>3.4880860190907859E-2</v>
      </c>
    </row>
    <row r="273" spans="1:13" ht="15">
      <c r="A273" s="326">
        <v>44485</v>
      </c>
      <c r="B273" s="332">
        <f>6.449*100</f>
        <v>644.9</v>
      </c>
      <c r="C273" s="321">
        <v>66.921400000000006</v>
      </c>
      <c r="D273" s="321">
        <v>2</v>
      </c>
      <c r="E273" s="331">
        <f t="shared" si="70"/>
        <v>68.921400000000006</v>
      </c>
      <c r="F273" s="308">
        <f t="shared" ref="F273:F278" si="74">E273/E272-1</f>
        <v>8.443880802267012E-2</v>
      </c>
      <c r="G273" s="301">
        <v>67.783799999999999</v>
      </c>
      <c r="H273" s="301"/>
      <c r="I273" s="302">
        <f t="shared" si="71"/>
        <v>67.783799999999999</v>
      </c>
      <c r="J273" s="309">
        <f t="shared" ref="J273:J328" si="75">I273/I272-1</f>
        <v>8.1498760287064487E-2</v>
      </c>
      <c r="K273" s="329">
        <f t="shared" si="72"/>
        <v>67.783799999999999</v>
      </c>
      <c r="L273" s="311">
        <f t="shared" si="73"/>
        <v>67.783799999999999</v>
      </c>
      <c r="M273" s="312">
        <f t="shared" si="66"/>
        <v>8.1498760287064487E-2</v>
      </c>
    </row>
    <row r="274" spans="1:13" ht="15">
      <c r="A274" s="326">
        <v>44501</v>
      </c>
      <c r="B274" s="332">
        <f>6.4875*100</f>
        <v>648.75</v>
      </c>
      <c r="C274" s="321">
        <f>70.5359</f>
        <v>70.535899999999998</v>
      </c>
      <c r="D274" s="321">
        <v>2</v>
      </c>
      <c r="E274" s="331">
        <f t="shared" si="70"/>
        <v>72.535899999999998</v>
      </c>
      <c r="F274" s="308">
        <f t="shared" si="74"/>
        <v>5.2443798297771016E-2</v>
      </c>
      <c r="G274" s="301">
        <v>71.3155</v>
      </c>
      <c r="H274" s="301"/>
      <c r="I274" s="302">
        <f t="shared" si="71"/>
        <v>71.3155</v>
      </c>
      <c r="J274" s="309">
        <f>I274/I273-1</f>
        <v>5.2102419752212192E-2</v>
      </c>
      <c r="K274" s="329">
        <f t="shared" si="72"/>
        <v>71.3155</v>
      </c>
      <c r="L274" s="311">
        <f t="shared" si="73"/>
        <v>71.3155</v>
      </c>
      <c r="M274" s="312">
        <f t="shared" si="66"/>
        <v>5.2102419752212192E-2</v>
      </c>
    </row>
    <row r="275" spans="1:13" ht="15">
      <c r="A275" s="326">
        <v>44516</v>
      </c>
      <c r="B275" s="332">
        <f>6.5604*100</f>
        <v>656.04</v>
      </c>
      <c r="C275" s="321">
        <v>69.405299999999997</v>
      </c>
      <c r="D275" s="321">
        <v>2</v>
      </c>
      <c r="E275" s="331">
        <f t="shared" si="70"/>
        <v>71.405299999999997</v>
      </c>
      <c r="F275" s="308">
        <f>E275/E274-1</f>
        <v>-1.5586764622759208E-2</v>
      </c>
      <c r="G275" s="301">
        <v>70.361099999999993</v>
      </c>
      <c r="H275" s="301"/>
      <c r="I275" s="302">
        <f t="shared" si="71"/>
        <v>70.361099999999993</v>
      </c>
      <c r="J275" s="309">
        <f t="shared" si="75"/>
        <v>-1.33827849485737E-2</v>
      </c>
      <c r="K275" s="329">
        <f t="shared" si="72"/>
        <v>70.361099999999993</v>
      </c>
      <c r="L275" s="311">
        <f t="shared" si="73"/>
        <v>70.361099999999993</v>
      </c>
      <c r="M275" s="312">
        <f t="shared" si="66"/>
        <v>-1.33827849485737E-2</v>
      </c>
    </row>
    <row r="276" spans="1:13" ht="15">
      <c r="A276" s="326">
        <v>44531</v>
      </c>
      <c r="B276" s="332">
        <f>6.5177*100</f>
        <v>651.77</v>
      </c>
      <c r="C276" s="321">
        <f>66.13</f>
        <v>66.13</v>
      </c>
      <c r="D276" s="321">
        <v>2</v>
      </c>
      <c r="E276" s="331">
        <f t="shared" si="70"/>
        <v>68.13</v>
      </c>
      <c r="F276" s="308">
        <f t="shared" si="74"/>
        <v>-4.5869144167169695E-2</v>
      </c>
      <c r="G276" s="301">
        <v>72.397433333333296</v>
      </c>
      <c r="H276" s="301"/>
      <c r="I276" s="302">
        <f t="shared" si="71"/>
        <v>72.397433333333296</v>
      </c>
      <c r="J276" s="309">
        <f t="shared" si="75"/>
        <v>2.8941181040849306E-2</v>
      </c>
      <c r="K276" s="329">
        <v>66.9465</v>
      </c>
      <c r="L276" s="311">
        <f t="shared" si="73"/>
        <v>66.9465</v>
      </c>
      <c r="M276" s="312">
        <f t="shared" ref="M276:M291" si="76">L276/L275-1</f>
        <v>-4.852965630156425E-2</v>
      </c>
    </row>
    <row r="277" spans="1:13" ht="15">
      <c r="A277" s="326">
        <v>44546</v>
      </c>
      <c r="B277" s="332">
        <f>6.4482*100</f>
        <v>644.81999999999994</v>
      </c>
      <c r="C277" s="321">
        <f>62.3751</f>
        <v>62.375100000000003</v>
      </c>
      <c r="D277" s="321">
        <v>2</v>
      </c>
      <c r="E277" s="331">
        <f>C277+D277</f>
        <v>64.375100000000003</v>
      </c>
      <c r="F277" s="308">
        <f>E277/E276-1</f>
        <v>-5.511375311903699E-2</v>
      </c>
      <c r="G277" s="301">
        <v>62.567999999999998</v>
      </c>
      <c r="H277" s="301"/>
      <c r="I277" s="302">
        <f t="shared" ref="I277:I338" si="77">G277+H277</f>
        <v>62.567999999999998</v>
      </c>
      <c r="J277" s="309">
        <f>I277/I276-1</f>
        <v>-0.13577046700090156</v>
      </c>
      <c r="K277" s="329">
        <f>G277</f>
        <v>62.567999999999998</v>
      </c>
      <c r="L277" s="311">
        <f t="shared" ref="L277:L338" si="78">K277</f>
        <v>62.567999999999998</v>
      </c>
      <c r="M277" s="312">
        <f t="shared" si="76"/>
        <v>-6.5402971029105417E-2</v>
      </c>
    </row>
    <row r="278" spans="1:13" ht="15">
      <c r="A278" s="326">
        <v>44562</v>
      </c>
      <c r="B278" s="332">
        <f>6.71*100</f>
        <v>671</v>
      </c>
      <c r="C278" s="321">
        <v>64.039599999999993</v>
      </c>
      <c r="D278" s="321">
        <v>2</v>
      </c>
      <c r="E278" s="331">
        <f t="shared" si="70"/>
        <v>66.039599999999993</v>
      </c>
      <c r="F278" s="308">
        <f t="shared" si="74"/>
        <v>2.5856270514531099E-2</v>
      </c>
      <c r="G278" s="301">
        <v>63.674999999999997</v>
      </c>
      <c r="H278" s="301"/>
      <c r="I278" s="302">
        <f t="shared" si="77"/>
        <v>63.674999999999997</v>
      </c>
      <c r="J278" s="309">
        <f t="shared" si="75"/>
        <v>1.7692750287686909E-2</v>
      </c>
      <c r="K278" s="329">
        <v>63.674999999999997</v>
      </c>
      <c r="L278" s="311">
        <f t="shared" si="73"/>
        <v>63.674999999999997</v>
      </c>
      <c r="M278" s="312">
        <f t="shared" si="76"/>
        <v>1.7692750287686909E-2</v>
      </c>
    </row>
    <row r="279" spans="1:13" ht="15">
      <c r="A279" s="326">
        <v>44577</v>
      </c>
      <c r="B279" s="332">
        <f>6.7333*100</f>
        <v>673.32999999999993</v>
      </c>
      <c r="C279" s="321">
        <v>69.045900000000003</v>
      </c>
      <c r="D279" s="321">
        <v>2</v>
      </c>
      <c r="E279" s="331">
        <f t="shared" si="70"/>
        <v>71.045900000000003</v>
      </c>
      <c r="F279" s="308">
        <f>E279/E278-1</f>
        <v>7.5807545775565144E-2</v>
      </c>
      <c r="G279" s="301">
        <f>68.2908</f>
        <v>68.290800000000004</v>
      </c>
      <c r="H279" s="301"/>
      <c r="I279" s="302">
        <f t="shared" si="77"/>
        <v>68.290800000000004</v>
      </c>
      <c r="J279" s="309">
        <f t="shared" si="75"/>
        <v>7.2489988221437152E-2</v>
      </c>
      <c r="K279" s="329">
        <f>68.2908</f>
        <v>68.290800000000004</v>
      </c>
      <c r="L279" s="311">
        <f t="shared" si="78"/>
        <v>68.290800000000004</v>
      </c>
      <c r="M279" s="312">
        <f t="shared" si="76"/>
        <v>7.2489988221437152E-2</v>
      </c>
    </row>
    <row r="280" spans="1:13" ht="15">
      <c r="A280" s="326">
        <v>44593</v>
      </c>
      <c r="B280" s="332">
        <f>6.8099*100</f>
        <v>680.99</v>
      </c>
      <c r="C280" s="321">
        <v>75.339299999999994</v>
      </c>
      <c r="D280" s="321">
        <v>2</v>
      </c>
      <c r="E280" s="331">
        <f t="shared" si="70"/>
        <v>77.339299999999994</v>
      </c>
      <c r="F280" s="308">
        <f>E280/E279-1</f>
        <v>8.8582170118191028E-2</v>
      </c>
      <c r="G280" s="301">
        <v>74.088700000000003</v>
      </c>
      <c r="H280" s="301"/>
      <c r="I280" s="302">
        <v>74.088700000000003</v>
      </c>
      <c r="J280" s="309">
        <f t="shared" si="75"/>
        <v>8.4900162247330435E-2</v>
      </c>
      <c r="K280" s="329">
        <v>74.088700000000003</v>
      </c>
      <c r="L280" s="311">
        <v>74.088700000000003</v>
      </c>
      <c r="M280" s="312">
        <f t="shared" si="76"/>
        <v>8.4900162247330435E-2</v>
      </c>
    </row>
    <row r="281" spans="1:13" ht="15">
      <c r="A281" s="326">
        <v>44608</v>
      </c>
      <c r="B281" s="332">
        <f>7.0314*100</f>
        <v>703.14</v>
      </c>
      <c r="C281" s="321">
        <f>77.9747</f>
        <v>77.974699999999999</v>
      </c>
      <c r="D281" s="321">
        <v>2</v>
      </c>
      <c r="E281" s="331">
        <f t="shared" si="70"/>
        <v>79.974699999999999</v>
      </c>
      <c r="F281" s="308">
        <f t="shared" ref="F281:F324" si="79">E281/E280-1</f>
        <v>3.4075819150160447E-2</v>
      </c>
      <c r="G281" s="301">
        <f>78.8921</f>
        <v>78.892099999999999</v>
      </c>
      <c r="H281" s="301"/>
      <c r="I281" s="302">
        <f t="shared" si="77"/>
        <v>78.892099999999999</v>
      </c>
      <c r="J281" s="309">
        <f t="shared" si="75"/>
        <v>6.4833098704660808E-2</v>
      </c>
      <c r="K281" s="329">
        <f>78.8921</f>
        <v>78.892099999999999</v>
      </c>
      <c r="L281" s="311">
        <f t="shared" si="78"/>
        <v>78.892099999999999</v>
      </c>
      <c r="M281" s="312">
        <f t="shared" si="76"/>
        <v>6.4833098704660808E-2</v>
      </c>
    </row>
    <row r="282" spans="1:13" ht="15">
      <c r="A282" s="326">
        <v>44621</v>
      </c>
      <c r="B282" s="332">
        <f>7.3471*100</f>
        <v>734.71</v>
      </c>
      <c r="C282" s="321">
        <f>79.4958</f>
        <v>79.495800000000003</v>
      </c>
      <c r="D282" s="321">
        <v>2</v>
      </c>
      <c r="E282" s="331">
        <f t="shared" si="70"/>
        <v>81.495800000000003</v>
      </c>
      <c r="F282" s="308">
        <f>E282/E281-1</f>
        <v>1.9019765000681588E-2</v>
      </c>
      <c r="G282" s="301">
        <f>80.9236</f>
        <v>80.923599999999993</v>
      </c>
      <c r="H282" s="301"/>
      <c r="I282" s="302">
        <f t="shared" si="77"/>
        <v>80.923599999999993</v>
      </c>
      <c r="J282" s="309">
        <f t="shared" si="75"/>
        <v>2.5750360302235542E-2</v>
      </c>
      <c r="K282" s="329">
        <f>80.9236</f>
        <v>80.923599999999993</v>
      </c>
      <c r="L282" s="311">
        <f t="shared" si="78"/>
        <v>80.923599999999993</v>
      </c>
      <c r="M282" s="312">
        <f t="shared" si="76"/>
        <v>2.5750360302235542E-2</v>
      </c>
    </row>
    <row r="283" spans="1:13" ht="15">
      <c r="A283" s="326">
        <v>44636</v>
      </c>
      <c r="B283" s="332">
        <f>8.6801*100</f>
        <v>868.01</v>
      </c>
      <c r="C283" s="321">
        <v>102.67610000000001</v>
      </c>
      <c r="D283" s="321">
        <v>2</v>
      </c>
      <c r="E283" s="331">
        <f t="shared" si="70"/>
        <v>104.67610000000001</v>
      </c>
      <c r="F283" s="308">
        <f t="shared" si="79"/>
        <v>0.28443551692234448</v>
      </c>
      <c r="G283" s="301">
        <v>110.35290000000001</v>
      </c>
      <c r="H283" s="301"/>
      <c r="I283" s="302">
        <f t="shared" si="77"/>
        <v>110.35290000000001</v>
      </c>
      <c r="J283" s="309">
        <f t="shared" si="75"/>
        <v>0.36366770633041545</v>
      </c>
      <c r="K283" s="329">
        <v>110.35290000000001</v>
      </c>
      <c r="L283" s="311">
        <f t="shared" si="78"/>
        <v>110.35290000000001</v>
      </c>
      <c r="M283" s="312">
        <f t="shared" si="76"/>
        <v>0.36366770633041545</v>
      </c>
    </row>
    <row r="284" spans="1:13" ht="15">
      <c r="A284" s="400">
        <v>44652</v>
      </c>
      <c r="B284" s="399">
        <f>8.6256*100</f>
        <v>862.56000000000006</v>
      </c>
      <c r="C284" s="321">
        <v>104.9794</v>
      </c>
      <c r="D284" s="321">
        <v>2</v>
      </c>
      <c r="E284" s="331">
        <f t="shared" si="70"/>
        <v>106.9794</v>
      </c>
      <c r="F284" s="308">
        <f>E284/E283-1</f>
        <v>2.2004067786247195E-2</v>
      </c>
      <c r="G284" s="301">
        <v>110.02970000000001</v>
      </c>
      <c r="H284" s="301"/>
      <c r="I284" s="302">
        <f t="shared" si="77"/>
        <v>110.02970000000001</v>
      </c>
      <c r="J284" s="309">
        <f t="shared" si="75"/>
        <v>-2.9287857410181806E-3</v>
      </c>
      <c r="K284" s="329">
        <v>110.02970000000001</v>
      </c>
      <c r="L284" s="311">
        <f t="shared" si="78"/>
        <v>110.02970000000001</v>
      </c>
      <c r="M284" s="312">
        <f t="shared" si="76"/>
        <v>-2.9287857410181806E-3</v>
      </c>
    </row>
    <row r="285" spans="1:13" ht="15">
      <c r="A285" s="401">
        <v>44667</v>
      </c>
      <c r="B285" s="399">
        <f>8.2543*100</f>
        <v>825.43000000000006</v>
      </c>
      <c r="C285" s="321">
        <v>106.59</v>
      </c>
      <c r="D285" s="321">
        <v>2</v>
      </c>
      <c r="E285" s="331">
        <f t="shared" si="70"/>
        <v>108.59</v>
      </c>
      <c r="F285" s="308">
        <f t="shared" si="79"/>
        <v>1.5055234933080586E-2</v>
      </c>
      <c r="G285" s="301">
        <v>106.53100000000001</v>
      </c>
      <c r="H285" s="301"/>
      <c r="I285" s="302">
        <f t="shared" si="77"/>
        <v>106.53100000000001</v>
      </c>
      <c r="J285" s="309">
        <f t="shared" si="75"/>
        <v>-3.179777823623986E-2</v>
      </c>
      <c r="K285" s="329">
        <v>106.53100000000001</v>
      </c>
      <c r="L285" s="311">
        <f t="shared" si="78"/>
        <v>106.53100000000001</v>
      </c>
      <c r="M285" s="312">
        <f t="shared" si="76"/>
        <v>-3.179777823623986E-2</v>
      </c>
    </row>
    <row r="286" spans="1:13" ht="15">
      <c r="A286" s="401">
        <v>44682</v>
      </c>
      <c r="B286" s="398">
        <f>8.2578*100</f>
        <v>825.78</v>
      </c>
      <c r="C286" s="321">
        <v>114.6309</v>
      </c>
      <c r="D286" s="321">
        <v>2</v>
      </c>
      <c r="E286" s="331">
        <f t="shared" si="70"/>
        <v>116.6309</v>
      </c>
      <c r="F286" s="308">
        <f>E286/E285-1</f>
        <v>7.4048254903766431E-2</v>
      </c>
      <c r="G286" s="301">
        <v>113.9344</v>
      </c>
      <c r="H286" s="301"/>
      <c r="I286" s="302">
        <f t="shared" si="77"/>
        <v>113.9344</v>
      </c>
      <c r="J286" s="309">
        <f t="shared" si="75"/>
        <v>6.9495264289267888E-2</v>
      </c>
      <c r="K286" s="329">
        <v>113.9344</v>
      </c>
      <c r="L286" s="311">
        <f t="shared" si="78"/>
        <v>113.9344</v>
      </c>
      <c r="M286" s="312">
        <f t="shared" si="76"/>
        <v>6.9495264289267888E-2</v>
      </c>
    </row>
    <row r="287" spans="1:13" ht="15">
      <c r="A287" s="400">
        <v>44697</v>
      </c>
      <c r="B287" s="398">
        <f>8.2736*100</f>
        <v>827.36</v>
      </c>
      <c r="C287" s="321">
        <v>124.4418</v>
      </c>
      <c r="D287" s="321">
        <v>2</v>
      </c>
      <c r="E287" s="331">
        <f t="shared" si="70"/>
        <v>126.4418</v>
      </c>
      <c r="F287" s="308">
        <f t="shared" si="79"/>
        <v>8.4119217119991374E-2</v>
      </c>
      <c r="G287" s="301">
        <v>115.76309999999999</v>
      </c>
      <c r="H287" s="301"/>
      <c r="I287" s="302">
        <f t="shared" si="77"/>
        <v>115.76309999999999</v>
      </c>
      <c r="J287" s="309">
        <f t="shared" si="75"/>
        <v>1.6050464126725617E-2</v>
      </c>
      <c r="K287" s="329">
        <v>115.76309999999999</v>
      </c>
      <c r="L287" s="311">
        <f t="shared" si="78"/>
        <v>115.76309999999999</v>
      </c>
      <c r="M287" s="312">
        <f t="shared" si="76"/>
        <v>1.6050464126725617E-2</v>
      </c>
    </row>
    <row r="288" spans="1:13" ht="15">
      <c r="A288" s="400">
        <v>44713</v>
      </c>
      <c r="B288" s="398">
        <f>8.5033*100</f>
        <v>850.32999999999993</v>
      </c>
      <c r="C288" s="321">
        <v>115.2741</v>
      </c>
      <c r="D288" s="321">
        <v>2</v>
      </c>
      <c r="E288" s="331">
        <f t="shared" si="70"/>
        <v>117.2741</v>
      </c>
      <c r="F288" s="308">
        <f t="shared" si="79"/>
        <v>-7.2505294926203168E-2</v>
      </c>
      <c r="G288" s="301">
        <v>110.3802</v>
      </c>
      <c r="H288" s="301"/>
      <c r="I288" s="302">
        <f t="shared" si="77"/>
        <v>110.3802</v>
      </c>
      <c r="J288" s="309">
        <f t="shared" si="75"/>
        <v>-4.6499273084428361E-2</v>
      </c>
      <c r="K288" s="329">
        <v>110.38</v>
      </c>
      <c r="L288" s="311">
        <f t="shared" si="78"/>
        <v>110.38</v>
      </c>
      <c r="M288" s="312">
        <f t="shared" si="76"/>
        <v>-4.6501000750670984E-2</v>
      </c>
    </row>
    <row r="289" spans="1:13" ht="15">
      <c r="A289" s="400">
        <v>44728</v>
      </c>
      <c r="B289" s="398">
        <f>8.5813*100</f>
        <v>858.13000000000011</v>
      </c>
      <c r="C289" s="321">
        <v>133.0266</v>
      </c>
      <c r="D289" s="321">
        <v>2</v>
      </c>
      <c r="E289" s="331">
        <f t="shared" si="70"/>
        <v>135.0266</v>
      </c>
      <c r="F289" s="308">
        <f>E289/E288-1</f>
        <v>0.15137613505454306</v>
      </c>
      <c r="G289" s="301">
        <v>128.32210000000001</v>
      </c>
      <c r="H289" s="301"/>
      <c r="I289" s="302">
        <f t="shared" si="77"/>
        <v>128.32210000000001</v>
      </c>
      <c r="J289" s="309">
        <f>I289/I288-1</f>
        <v>0.16254636248167698</v>
      </c>
      <c r="K289" s="329">
        <v>128.32210000000001</v>
      </c>
      <c r="L289" s="311">
        <f t="shared" si="78"/>
        <v>128.32210000000001</v>
      </c>
      <c r="M289" s="312">
        <f>L289/L288-1</f>
        <v>0.1625484689255301</v>
      </c>
    </row>
    <row r="290" spans="1:13" ht="15">
      <c r="A290" s="400">
        <v>44743</v>
      </c>
      <c r="B290" s="398">
        <f>8.6826*100</f>
        <v>868.2600000000001</v>
      </c>
      <c r="C290" s="321">
        <v>137.10910000000001</v>
      </c>
      <c r="D290" s="321">
        <v>2</v>
      </c>
      <c r="E290" s="331">
        <f t="shared" si="70"/>
        <v>139.10910000000001</v>
      </c>
      <c r="F290" s="308">
        <f t="shared" si="79"/>
        <v>3.0234783368610518E-2</v>
      </c>
      <c r="G290" s="301">
        <v>133.5318</v>
      </c>
      <c r="H290" s="301"/>
      <c r="I290" s="302">
        <f t="shared" si="77"/>
        <v>133.5318</v>
      </c>
      <c r="J290" s="309">
        <f t="shared" si="75"/>
        <v>4.0598618632332162E-2</v>
      </c>
      <c r="K290" s="329">
        <v>133.5318</v>
      </c>
      <c r="L290" s="311">
        <f t="shared" si="78"/>
        <v>133.5318</v>
      </c>
      <c r="M290" s="312">
        <f t="shared" si="76"/>
        <v>4.0598618632332162E-2</v>
      </c>
    </row>
    <row r="291" spans="1:13" ht="15">
      <c r="A291" s="400">
        <v>44758</v>
      </c>
      <c r="B291" s="398">
        <f>8.7557*100</f>
        <v>875.56999999999994</v>
      </c>
      <c r="C291" s="321">
        <v>121.2961</v>
      </c>
      <c r="D291" s="321">
        <v>2</v>
      </c>
      <c r="E291" s="331">
        <f t="shared" si="70"/>
        <v>123.2961</v>
      </c>
      <c r="F291" s="308">
        <f t="shared" si="79"/>
        <v>-0.1136733686006165</v>
      </c>
      <c r="G291" s="301">
        <v>121.6893</v>
      </c>
      <c r="H291" s="301"/>
      <c r="I291" s="302">
        <f t="shared" si="77"/>
        <v>121.6893</v>
      </c>
      <c r="J291" s="309">
        <f t="shared" si="75"/>
        <v>-8.8686739787825819E-2</v>
      </c>
      <c r="K291" s="329">
        <v>121.6893</v>
      </c>
      <c r="L291" s="311">
        <f t="shared" si="78"/>
        <v>121.6893</v>
      </c>
      <c r="M291" s="312">
        <f t="shared" si="76"/>
        <v>-8.8686739787825819E-2</v>
      </c>
    </row>
    <row r="292" spans="1:13" ht="15">
      <c r="A292" s="400">
        <v>44774</v>
      </c>
      <c r="B292" s="398">
        <f>9.2675*100</f>
        <v>926.75</v>
      </c>
      <c r="C292" s="321">
        <v>113.84739999999999</v>
      </c>
      <c r="D292" s="321">
        <v>2</v>
      </c>
      <c r="E292" s="331">
        <f t="shared" si="70"/>
        <v>115.84739999999999</v>
      </c>
      <c r="F292" s="308">
        <f t="shared" si="79"/>
        <v>-6.0413103090852016E-2</v>
      </c>
      <c r="G292" s="301">
        <v>113.3391</v>
      </c>
      <c r="H292" s="301"/>
      <c r="I292" s="302">
        <f t="shared" si="77"/>
        <v>113.3391</v>
      </c>
      <c r="J292" s="309">
        <f t="shared" si="75"/>
        <v>-6.8619015805005068E-2</v>
      </c>
      <c r="K292" s="329">
        <v>113.3391</v>
      </c>
      <c r="L292" s="311">
        <f t="shared" si="78"/>
        <v>113.3391</v>
      </c>
      <c r="M292" s="312">
        <f t="shared" ref="M292:M328" si="80">L292/L291-1</f>
        <v>-6.8619015805005068E-2</v>
      </c>
    </row>
    <row r="293" spans="1:13" ht="15">
      <c r="A293" s="400">
        <v>44789</v>
      </c>
      <c r="B293" s="398">
        <f>9.7949*100</f>
        <v>979.49</v>
      </c>
      <c r="C293" s="321">
        <v>109.44199999999999</v>
      </c>
      <c r="D293" s="321">
        <v>2</v>
      </c>
      <c r="E293" s="331">
        <f t="shared" si="70"/>
        <v>111.44199999999999</v>
      </c>
      <c r="F293" s="308">
        <f t="shared" si="79"/>
        <v>-3.8027612186376181E-2</v>
      </c>
      <c r="G293" s="301">
        <v>106.5234</v>
      </c>
      <c r="H293" s="301"/>
      <c r="I293" s="302">
        <f t="shared" si="77"/>
        <v>106.5234</v>
      </c>
      <c r="J293" s="309">
        <f t="shared" si="75"/>
        <v>-6.0135469577577427E-2</v>
      </c>
      <c r="K293" s="329">
        <v>106.5234</v>
      </c>
      <c r="L293" s="311">
        <f t="shared" si="78"/>
        <v>106.5234</v>
      </c>
      <c r="M293" s="312">
        <f t="shared" si="80"/>
        <v>-6.0135469577577427E-2</v>
      </c>
    </row>
    <row r="294" spans="1:13" ht="15">
      <c r="A294" s="400">
        <v>44805</v>
      </c>
      <c r="B294" s="398">
        <f>10.7308*100</f>
        <v>1073.08</v>
      </c>
      <c r="C294" s="321">
        <v>116.0476</v>
      </c>
      <c r="D294" s="321">
        <v>2</v>
      </c>
      <c r="E294" s="331">
        <f t="shared" si="70"/>
        <v>118.0476</v>
      </c>
      <c r="F294" s="308">
        <f t="shared" si="79"/>
        <v>5.9273882378277687E-2</v>
      </c>
      <c r="G294" s="301">
        <v>112.17529999999999</v>
      </c>
      <c r="H294" s="301"/>
      <c r="I294" s="302">
        <f t="shared" si="77"/>
        <v>112.17529999999999</v>
      </c>
      <c r="J294" s="309">
        <f t="shared" si="75"/>
        <v>5.3057825792267144E-2</v>
      </c>
      <c r="K294" s="329">
        <v>112.17529999999999</v>
      </c>
      <c r="L294" s="311">
        <f t="shared" si="78"/>
        <v>112.17529999999999</v>
      </c>
      <c r="M294" s="312">
        <f t="shared" si="80"/>
        <v>5.3057825792267144E-2</v>
      </c>
    </row>
    <row r="295" spans="1:13" ht="15">
      <c r="A295" s="400">
        <v>44820</v>
      </c>
      <c r="B295" s="398">
        <f>(10.9103*100)</f>
        <v>1091.03</v>
      </c>
      <c r="C295" s="321">
        <v>113.2758</v>
      </c>
      <c r="D295" s="321">
        <v>2</v>
      </c>
      <c r="E295" s="331">
        <f t="shared" si="70"/>
        <v>115.2758</v>
      </c>
      <c r="F295" s="308">
        <f t="shared" si="79"/>
        <v>-2.3480358770529897E-2</v>
      </c>
      <c r="G295" s="301">
        <v>111.6709</v>
      </c>
      <c r="H295" s="301"/>
      <c r="I295" s="302">
        <f t="shared" si="77"/>
        <v>111.6709</v>
      </c>
      <c r="J295" s="309">
        <f t="shared" si="75"/>
        <v>-4.4965335506121917E-3</v>
      </c>
      <c r="K295" s="329">
        <v>111.67</v>
      </c>
      <c r="L295" s="311">
        <f t="shared" si="78"/>
        <v>111.67</v>
      </c>
      <c r="M295" s="312">
        <f t="shared" si="80"/>
        <v>-4.5045567072251602E-3</v>
      </c>
    </row>
    <row r="296" spans="1:13" ht="15">
      <c r="A296" s="400">
        <v>44835</v>
      </c>
      <c r="B296" s="398">
        <f>11.3746*100</f>
        <v>1137.4599999999998</v>
      </c>
      <c r="C296" s="321">
        <v>104.94119999999999</v>
      </c>
      <c r="D296" s="321">
        <v>2</v>
      </c>
      <c r="E296" s="331">
        <f t="shared" si="70"/>
        <v>106.94119999999999</v>
      </c>
      <c r="F296" s="308">
        <f t="shared" si="79"/>
        <v>-7.2301385026172116E-2</v>
      </c>
      <c r="G296" s="301">
        <v>103.9081</v>
      </c>
      <c r="H296" s="301"/>
      <c r="I296" s="302">
        <f t="shared" si="77"/>
        <v>103.9081</v>
      </c>
      <c r="J296" s="309">
        <f t="shared" si="75"/>
        <v>-6.9514976596409594E-2</v>
      </c>
      <c r="K296" s="329">
        <v>103.9081</v>
      </c>
      <c r="L296" s="311">
        <f t="shared" si="78"/>
        <v>103.9081</v>
      </c>
      <c r="M296" s="312">
        <f t="shared" si="80"/>
        <v>-6.950747738873464E-2</v>
      </c>
    </row>
    <row r="297" spans="1:13" ht="15">
      <c r="A297" s="400">
        <v>44850</v>
      </c>
      <c r="B297" s="398">
        <f>(11.966*100)</f>
        <v>1196.5999999999999</v>
      </c>
      <c r="C297" s="321">
        <v>106.6991</v>
      </c>
      <c r="D297" s="321">
        <v>2</v>
      </c>
      <c r="E297" s="331">
        <f t="shared" si="70"/>
        <v>108.6991</v>
      </c>
      <c r="F297" s="308">
        <f t="shared" si="79"/>
        <v>1.6438005184157278E-2</v>
      </c>
      <c r="G297" s="301">
        <v>112.0313</v>
      </c>
      <c r="H297" s="301"/>
      <c r="I297" s="302">
        <f t="shared" si="77"/>
        <v>112.0313</v>
      </c>
      <c r="J297" s="309">
        <f t="shared" si="75"/>
        <v>7.8176773514287978E-2</v>
      </c>
      <c r="K297" s="329">
        <v>112.0313</v>
      </c>
      <c r="L297" s="311">
        <f t="shared" si="78"/>
        <v>112.0313</v>
      </c>
      <c r="M297" s="312">
        <f t="shared" si="80"/>
        <v>7.8176773514287978E-2</v>
      </c>
    </row>
    <row r="298" spans="1:13" ht="15">
      <c r="A298" s="400">
        <v>44866</v>
      </c>
      <c r="B298" s="398">
        <f>15.6985*100</f>
        <v>1569.85</v>
      </c>
      <c r="C298" s="321">
        <v>109.42140000000001</v>
      </c>
      <c r="D298" s="321">
        <v>2</v>
      </c>
      <c r="E298" s="331">
        <f t="shared" si="70"/>
        <v>111.42140000000001</v>
      </c>
      <c r="F298" s="308">
        <f t="shared" si="79"/>
        <v>2.5044365592723494E-2</v>
      </c>
      <c r="G298" s="301">
        <v>122.4786</v>
      </c>
      <c r="H298" s="301"/>
      <c r="I298" s="302">
        <f t="shared" si="77"/>
        <v>122.4786</v>
      </c>
      <c r="J298" s="309">
        <f t="shared" si="75"/>
        <v>9.3253403289973447E-2</v>
      </c>
      <c r="K298" s="329">
        <v>122.4786</v>
      </c>
      <c r="L298" s="311">
        <f t="shared" si="78"/>
        <v>122.4786</v>
      </c>
      <c r="M298" s="312">
        <f t="shared" si="80"/>
        <v>9.3253403289973447E-2</v>
      </c>
    </row>
    <row r="299" spans="1:13" ht="15">
      <c r="A299" s="400">
        <v>44881</v>
      </c>
      <c r="B299" s="398">
        <f>(16.0705*100)</f>
        <v>1607.05</v>
      </c>
      <c r="C299" s="321">
        <v>109.6435</v>
      </c>
      <c r="D299" s="321">
        <v>2</v>
      </c>
      <c r="E299" s="331">
        <f t="shared" si="70"/>
        <v>111.6435</v>
      </c>
      <c r="F299" s="308">
        <f t="shared" si="79"/>
        <v>1.9933334170993966E-3</v>
      </c>
      <c r="G299" s="301">
        <v>112.0458</v>
      </c>
      <c r="H299" s="301"/>
      <c r="I299" s="302">
        <f t="shared" si="77"/>
        <v>112.0458</v>
      </c>
      <c r="J299" s="309">
        <f t="shared" si="75"/>
        <v>-8.5180594814114441E-2</v>
      </c>
      <c r="K299" s="329">
        <v>112.0458</v>
      </c>
      <c r="L299" s="311">
        <f t="shared" si="78"/>
        <v>112.0458</v>
      </c>
      <c r="M299" s="312">
        <f t="shared" si="80"/>
        <v>-8.5180594814114441E-2</v>
      </c>
    </row>
    <row r="300" spans="1:13" ht="15">
      <c r="A300" s="400">
        <v>44896</v>
      </c>
      <c r="B300" s="398">
        <f>(15.897*100)</f>
        <v>1589.7</v>
      </c>
      <c r="C300" s="321">
        <v>106.95829999999999</v>
      </c>
      <c r="D300" s="321">
        <v>2</v>
      </c>
      <c r="E300" s="331">
        <f t="shared" si="70"/>
        <v>108.95829999999999</v>
      </c>
      <c r="F300" s="308">
        <f t="shared" si="79"/>
        <v>-2.4051556964803211E-2</v>
      </c>
      <c r="G300" s="301">
        <v>101.2591</v>
      </c>
      <c r="H300" s="301"/>
      <c r="I300" s="302">
        <f t="shared" si="77"/>
        <v>101.2591</v>
      </c>
      <c r="J300" s="309">
        <f t="shared" si="75"/>
        <v>-9.6270453689473401E-2</v>
      </c>
      <c r="K300" s="329">
        <v>101.2591</v>
      </c>
      <c r="L300" s="311">
        <f t="shared" si="78"/>
        <v>101.2591</v>
      </c>
      <c r="M300" s="312">
        <f t="shared" si="80"/>
        <v>-9.6270453689473401E-2</v>
      </c>
    </row>
    <row r="301" spans="1:13" ht="15">
      <c r="A301" s="400">
        <v>44911</v>
      </c>
      <c r="B301" s="398">
        <f>(13.8247*100)</f>
        <v>1382.47</v>
      </c>
      <c r="C301" s="321">
        <v>98.671999999999997</v>
      </c>
      <c r="D301" s="321">
        <v>2</v>
      </c>
      <c r="E301" s="331">
        <f t="shared" si="70"/>
        <v>100.672</v>
      </c>
      <c r="F301" s="308">
        <f t="shared" si="79"/>
        <v>-7.6050195349964156E-2</v>
      </c>
      <c r="G301" s="301">
        <v>94.722999999999999</v>
      </c>
      <c r="H301" s="301"/>
      <c r="I301" s="302">
        <f t="shared" si="77"/>
        <v>94.722999999999999</v>
      </c>
      <c r="J301" s="309">
        <f t="shared" si="75"/>
        <v>-6.4548272698453868E-2</v>
      </c>
      <c r="K301" s="329">
        <v>94.722999999999999</v>
      </c>
      <c r="L301" s="311">
        <f t="shared" si="78"/>
        <v>94.722999999999999</v>
      </c>
      <c r="M301" s="312">
        <f t="shared" si="80"/>
        <v>-6.4548272698453868E-2</v>
      </c>
    </row>
    <row r="302" spans="1:13" ht="15">
      <c r="A302" s="400">
        <v>44927</v>
      </c>
      <c r="B302" s="398">
        <f>(13.9736*100)</f>
        <v>1397.36</v>
      </c>
      <c r="C302" s="321">
        <v>99.103300000000004</v>
      </c>
      <c r="D302" s="321">
        <v>2</v>
      </c>
      <c r="E302" s="331">
        <f t="shared" si="70"/>
        <v>101.1033</v>
      </c>
      <c r="F302" s="308">
        <f t="shared" si="79"/>
        <v>4.2842101080737827E-3</v>
      </c>
      <c r="G302" s="301">
        <v>95.3947</v>
      </c>
      <c r="H302" s="301"/>
      <c r="I302" s="302">
        <f t="shared" si="77"/>
        <v>95.3947</v>
      </c>
      <c r="J302" s="309">
        <f t="shared" si="75"/>
        <v>7.091202770182603E-3</v>
      </c>
      <c r="K302" s="329">
        <v>95.3947</v>
      </c>
      <c r="L302" s="311">
        <f t="shared" si="78"/>
        <v>95.3947</v>
      </c>
      <c r="M302" s="312">
        <f t="shared" si="80"/>
        <v>7.091202770182603E-3</v>
      </c>
    </row>
    <row r="303" spans="1:13" ht="15">
      <c r="A303" s="400">
        <v>44942</v>
      </c>
      <c r="B303" s="398">
        <f>(13.5993*100)</f>
        <v>1359.9299999999998</v>
      </c>
      <c r="C303" s="321">
        <v>98.990399999999994</v>
      </c>
      <c r="D303" s="321">
        <v>2</v>
      </c>
      <c r="E303" s="331">
        <f t="shared" si="70"/>
        <v>100.99039999999999</v>
      </c>
      <c r="F303" s="308">
        <f t="shared" si="79"/>
        <v>-1.1166796731660877E-3</v>
      </c>
      <c r="G303" s="301">
        <v>94.877200000000002</v>
      </c>
      <c r="H303" s="301"/>
      <c r="I303" s="302">
        <f t="shared" si="77"/>
        <v>94.877200000000002</v>
      </c>
      <c r="J303" s="309">
        <f t="shared" si="75"/>
        <v>-5.4248296813135255E-3</v>
      </c>
      <c r="K303" s="329">
        <v>94.877200000000002</v>
      </c>
      <c r="L303" s="311">
        <f t="shared" si="78"/>
        <v>94.877200000000002</v>
      </c>
      <c r="M303" s="312">
        <f t="shared" si="80"/>
        <v>-5.4248296813135255E-3</v>
      </c>
    </row>
    <row r="304" spans="1:13" ht="15">
      <c r="A304" s="400">
        <v>44958</v>
      </c>
      <c r="B304" s="398">
        <f>13.6332*100</f>
        <v>1363.32</v>
      </c>
      <c r="C304" s="321">
        <v>107.7946</v>
      </c>
      <c r="D304" s="321">
        <v>2</v>
      </c>
      <c r="E304" s="331">
        <f t="shared" si="70"/>
        <v>109.7946</v>
      </c>
      <c r="F304" s="308">
        <f t="shared" si="79"/>
        <v>8.7178583310889124E-2</v>
      </c>
      <c r="G304" s="301">
        <v>100.6007</v>
      </c>
      <c r="H304" s="301"/>
      <c r="I304" s="302">
        <f t="shared" si="77"/>
        <v>100.6007</v>
      </c>
      <c r="J304" s="309">
        <f t="shared" si="75"/>
        <v>6.0325346869426921E-2</v>
      </c>
      <c r="K304" s="329">
        <v>100.6007</v>
      </c>
      <c r="L304" s="311">
        <f t="shared" si="78"/>
        <v>100.6007</v>
      </c>
      <c r="M304" s="312">
        <f t="shared" si="80"/>
        <v>6.0325346869426921E-2</v>
      </c>
    </row>
    <row r="305" spans="1:13" ht="15">
      <c r="A305" s="400">
        <v>44973</v>
      </c>
      <c r="B305" s="398">
        <f>13.5315*100</f>
        <v>1353.1499999999999</v>
      </c>
      <c r="C305" s="321">
        <v>98.068700000000007</v>
      </c>
      <c r="D305" s="321">
        <v>2</v>
      </c>
      <c r="E305" s="331">
        <f t="shared" si="70"/>
        <v>100.06870000000001</v>
      </c>
      <c r="F305" s="308">
        <f t="shared" si="79"/>
        <v>-8.8582680751148057E-2</v>
      </c>
      <c r="G305" s="301">
        <v>91.482399999999998</v>
      </c>
      <c r="H305" s="301"/>
      <c r="I305" s="302">
        <f t="shared" si="77"/>
        <v>91.482399999999998</v>
      </c>
      <c r="J305" s="309">
        <f t="shared" si="75"/>
        <v>-9.0638534324313902E-2</v>
      </c>
      <c r="K305" s="329">
        <v>91.482399999999998</v>
      </c>
      <c r="L305" s="311">
        <f t="shared" si="78"/>
        <v>91.482399999999998</v>
      </c>
      <c r="M305" s="312">
        <f t="shared" si="80"/>
        <v>-9.0638534324313902E-2</v>
      </c>
    </row>
    <row r="306" spans="1:13" ht="15">
      <c r="A306" s="400">
        <v>44986</v>
      </c>
      <c r="B306" s="398">
        <f>(14.0264*100)</f>
        <v>1402.64</v>
      </c>
      <c r="C306" s="321">
        <v>91.947400000000002</v>
      </c>
      <c r="D306" s="321">
        <v>2</v>
      </c>
      <c r="E306" s="331">
        <f t="shared" si="70"/>
        <v>93.947400000000002</v>
      </c>
      <c r="F306" s="308">
        <f t="shared" si="79"/>
        <v>-6.1170975539804218E-2</v>
      </c>
      <c r="G306" s="301">
        <v>87.679900000000004</v>
      </c>
      <c r="H306" s="301"/>
      <c r="I306" s="302">
        <f t="shared" si="77"/>
        <v>87.679900000000004</v>
      </c>
      <c r="J306" s="309">
        <f t="shared" si="75"/>
        <v>-4.1565372137154166E-2</v>
      </c>
      <c r="K306" s="329">
        <v>87.679900000000004</v>
      </c>
      <c r="L306" s="311">
        <f t="shared" si="78"/>
        <v>87.679900000000004</v>
      </c>
      <c r="M306" s="312">
        <f t="shared" si="80"/>
        <v>-4.1565372137154166E-2</v>
      </c>
    </row>
    <row r="307" spans="1:13" ht="15">
      <c r="A307" s="400">
        <v>45001</v>
      </c>
      <c r="B307" s="398">
        <f>(13.5659*100)</f>
        <v>1356.59</v>
      </c>
      <c r="C307" s="321">
        <v>92.318200000000004</v>
      </c>
      <c r="D307" s="321">
        <v>2</v>
      </c>
      <c r="E307" s="331">
        <f t="shared" si="70"/>
        <v>94.318200000000004</v>
      </c>
      <c r="F307" s="308">
        <f t="shared" si="79"/>
        <v>3.9468894296170731E-3</v>
      </c>
      <c r="G307" s="301">
        <v>89.41</v>
      </c>
      <c r="H307" s="301"/>
      <c r="I307" s="302">
        <f t="shared" si="77"/>
        <v>89.41</v>
      </c>
      <c r="J307" s="309">
        <f t="shared" si="75"/>
        <v>1.9732002431572138E-2</v>
      </c>
      <c r="K307" s="329">
        <v>89.41</v>
      </c>
      <c r="L307" s="311">
        <f t="shared" si="78"/>
        <v>89.41</v>
      </c>
      <c r="M307" s="312">
        <f t="shared" si="80"/>
        <v>1.9732002431572138E-2</v>
      </c>
    </row>
    <row r="308" spans="1:13" ht="15">
      <c r="A308" s="400">
        <v>45017</v>
      </c>
      <c r="B308" s="398">
        <f>(12.9669*100)</f>
        <v>1296.69</v>
      </c>
      <c r="C308" s="321">
        <v>85.783100000000005</v>
      </c>
      <c r="D308" s="321">
        <v>2</v>
      </c>
      <c r="E308" s="331">
        <f t="shared" si="70"/>
        <v>87.783100000000005</v>
      </c>
      <c r="F308" s="308">
        <f t="shared" si="79"/>
        <v>-6.9287793872232495E-2</v>
      </c>
      <c r="G308" s="301">
        <v>85.563199999999995</v>
      </c>
      <c r="H308" s="301"/>
      <c r="I308" s="302">
        <f t="shared" si="77"/>
        <v>85.563199999999995</v>
      </c>
      <c r="J308" s="309">
        <f t="shared" si="75"/>
        <v>-4.3024270215859528E-2</v>
      </c>
      <c r="K308" s="329">
        <v>85.563199999999995</v>
      </c>
      <c r="L308" s="311">
        <f t="shared" si="78"/>
        <v>85.563199999999995</v>
      </c>
      <c r="M308" s="312">
        <f t="shared" si="80"/>
        <v>-4.3024270215859528E-2</v>
      </c>
    </row>
    <row r="309" spans="1:13" ht="15">
      <c r="A309" s="400">
        <v>45032</v>
      </c>
      <c r="B309" s="398">
        <f>(12.8596*100)</f>
        <v>1285.96</v>
      </c>
      <c r="C309" s="321">
        <v>87.495999999999995</v>
      </c>
      <c r="D309" s="321">
        <v>2</v>
      </c>
      <c r="E309" s="331">
        <f t="shared" si="70"/>
        <v>89.495999999999995</v>
      </c>
      <c r="F309" s="308">
        <f t="shared" si="79"/>
        <v>1.9512867510944387E-2</v>
      </c>
      <c r="G309" s="301">
        <v>84.946299999999994</v>
      </c>
      <c r="H309" s="301"/>
      <c r="I309" s="302">
        <f t="shared" si="77"/>
        <v>84.946299999999994</v>
      </c>
      <c r="J309" s="309">
        <f t="shared" si="75"/>
        <v>-7.209875273482047E-3</v>
      </c>
      <c r="K309" s="329">
        <v>84.946299999999994</v>
      </c>
      <c r="L309" s="311">
        <f t="shared" si="78"/>
        <v>84.946299999999994</v>
      </c>
      <c r="M309" s="312">
        <f t="shared" si="80"/>
        <v>-7.209875273482047E-3</v>
      </c>
    </row>
    <row r="310" spans="1:13" ht="15">
      <c r="A310" s="400">
        <v>45047</v>
      </c>
      <c r="B310" s="398">
        <f>13.0549*100</f>
        <v>1305.49</v>
      </c>
      <c r="C310" s="321">
        <v>85.584000000000003</v>
      </c>
      <c r="D310" s="321">
        <v>2</v>
      </c>
      <c r="E310" s="331">
        <f t="shared" si="70"/>
        <v>87.584000000000003</v>
      </c>
      <c r="F310" s="308">
        <f t="shared" si="79"/>
        <v>-2.1364083310985826E-2</v>
      </c>
      <c r="G310" s="301">
        <v>82.519599999999997</v>
      </c>
      <c r="H310" s="301"/>
      <c r="I310" s="302">
        <f t="shared" si="77"/>
        <v>82.519599999999997</v>
      </c>
      <c r="J310" s="309">
        <f t="shared" si="75"/>
        <v>-2.8567459677466767E-2</v>
      </c>
      <c r="K310" s="329">
        <v>82.519599999999997</v>
      </c>
      <c r="L310" s="311">
        <f t="shared" si="78"/>
        <v>82.519599999999997</v>
      </c>
      <c r="M310" s="312">
        <f t="shared" si="80"/>
        <v>-2.8567459677466767E-2</v>
      </c>
    </row>
    <row r="311" spans="1:13" ht="15">
      <c r="A311" s="400">
        <v>45062</v>
      </c>
      <c r="B311" s="398">
        <f>12.5927*100</f>
        <v>1259.27</v>
      </c>
      <c r="C311" s="321">
        <v>80.13</v>
      </c>
      <c r="D311" s="321">
        <v>2</v>
      </c>
      <c r="E311" s="331">
        <f t="shared" si="70"/>
        <v>82.13</v>
      </c>
      <c r="F311" s="308">
        <f>E311/E310-1</f>
        <v>-6.2271647789550744E-2</v>
      </c>
      <c r="G311" s="301">
        <v>76.209999999999994</v>
      </c>
      <c r="H311" s="301"/>
      <c r="I311" s="302">
        <f t="shared" si="77"/>
        <v>76.209999999999994</v>
      </c>
      <c r="J311" s="309">
        <f>I311/I310-1</f>
        <v>-7.6461834521737937E-2</v>
      </c>
      <c r="K311" s="329">
        <v>76.209999999999994</v>
      </c>
      <c r="L311" s="311">
        <f t="shared" si="78"/>
        <v>76.209999999999994</v>
      </c>
      <c r="M311" s="312">
        <f>L311/L310-1</f>
        <v>-7.6461834521737937E-2</v>
      </c>
    </row>
    <row r="312" spans="1:13" ht="15">
      <c r="A312" s="400">
        <v>45078</v>
      </c>
      <c r="B312" s="398">
        <f>12.511*100</f>
        <v>1251.0999999999999</v>
      </c>
      <c r="C312" s="321">
        <v>80.61</v>
      </c>
      <c r="D312" s="321">
        <v>2</v>
      </c>
      <c r="E312" s="331">
        <f t="shared" si="70"/>
        <v>82.61</v>
      </c>
      <c r="F312" s="308">
        <f t="shared" si="79"/>
        <v>5.8443930354317164E-3</v>
      </c>
      <c r="G312" s="301">
        <v>77.743399999999994</v>
      </c>
      <c r="H312" s="301"/>
      <c r="I312" s="302">
        <f t="shared" si="77"/>
        <v>77.743399999999994</v>
      </c>
      <c r="J312" s="309">
        <f t="shared" si="75"/>
        <v>2.0120719065739312E-2</v>
      </c>
      <c r="K312" s="329">
        <v>77.743399999999994</v>
      </c>
      <c r="L312" s="311">
        <f t="shared" si="78"/>
        <v>77.743399999999994</v>
      </c>
      <c r="M312" s="312">
        <f t="shared" si="80"/>
        <v>2.0120719065739312E-2</v>
      </c>
    </row>
    <row r="313" spans="1:13" ht="15">
      <c r="A313" s="400">
        <v>45093</v>
      </c>
      <c r="B313" s="398">
        <f>100*12.4554</f>
        <v>1245.54</v>
      </c>
      <c r="C313" s="321">
        <v>80.540800000000004</v>
      </c>
      <c r="D313" s="321">
        <v>2</v>
      </c>
      <c r="E313" s="331">
        <v>82.540800000000004</v>
      </c>
      <c r="F313" s="308">
        <v>-8.3767098414233576E-4</v>
      </c>
      <c r="G313" s="301">
        <v>78.255799999999994</v>
      </c>
      <c r="H313" s="301"/>
      <c r="I313" s="302">
        <v>78.255799999999994</v>
      </c>
      <c r="J313" s="309">
        <v>6.5909131836272561E-3</v>
      </c>
      <c r="K313" s="329">
        <v>78.260000000000005</v>
      </c>
      <c r="L313" s="311">
        <v>78.260000000000005</v>
      </c>
      <c r="M313" s="312">
        <v>6.6449370621817216E-3</v>
      </c>
    </row>
    <row r="314" spans="1:13" ht="15">
      <c r="A314" s="400">
        <v>45108</v>
      </c>
      <c r="B314" s="398">
        <f>100*12.444</f>
        <v>1244.4000000000001</v>
      </c>
      <c r="C314" s="321">
        <v>82.383499999999998</v>
      </c>
      <c r="D314" s="321">
        <v>2</v>
      </c>
      <c r="E314" s="331">
        <f t="shared" si="70"/>
        <v>84.383499999999998</v>
      </c>
      <c r="F314" s="308">
        <f t="shared" si="79"/>
        <v>2.2324716988446847E-2</v>
      </c>
      <c r="G314" s="301">
        <v>80.925600000000003</v>
      </c>
      <c r="H314" s="301"/>
      <c r="I314" s="302">
        <f t="shared" si="77"/>
        <v>80.925600000000003</v>
      </c>
      <c r="J314" s="309">
        <f t="shared" si="75"/>
        <v>3.4116321090577495E-2</v>
      </c>
      <c r="K314" s="329">
        <v>80.925600000000003</v>
      </c>
      <c r="L314" s="311">
        <f t="shared" si="78"/>
        <v>80.925600000000003</v>
      </c>
      <c r="M314" s="312">
        <f t="shared" si="80"/>
        <v>3.4060822898032139E-2</v>
      </c>
    </row>
    <row r="315" spans="1:13" ht="15">
      <c r="A315" s="400">
        <v>45123</v>
      </c>
      <c r="B315" s="398">
        <f>12.3963*100</f>
        <v>1239.6300000000001</v>
      </c>
      <c r="C315" s="321">
        <v>84.640500000000003</v>
      </c>
      <c r="D315" s="321">
        <v>2</v>
      </c>
      <c r="E315" s="331">
        <f t="shared" si="70"/>
        <v>86.640500000000003</v>
      </c>
      <c r="F315" s="308">
        <f t="shared" si="79"/>
        <v>2.6746935123572735E-2</v>
      </c>
      <c r="G315" s="301">
        <v>80.844999999999999</v>
      </c>
      <c r="H315" s="301"/>
      <c r="I315" s="302">
        <f t="shared" si="77"/>
        <v>80.844999999999999</v>
      </c>
      <c r="J315" s="309">
        <f t="shared" si="75"/>
        <v>-9.9597655130145846E-4</v>
      </c>
      <c r="K315" s="329">
        <v>80.844999999999999</v>
      </c>
      <c r="L315" s="311">
        <f t="shared" si="78"/>
        <v>80.844999999999999</v>
      </c>
      <c r="M315" s="312">
        <f t="shared" si="80"/>
        <v>-9.9597655130145846E-4</v>
      </c>
    </row>
    <row r="316" spans="1:13" ht="15">
      <c r="A316" s="400">
        <v>45139</v>
      </c>
      <c r="B316" s="398">
        <f>12.3149*100</f>
        <v>1231.49</v>
      </c>
      <c r="C316" s="321">
        <v>89.447599999999994</v>
      </c>
      <c r="D316" s="321">
        <v>2</v>
      </c>
      <c r="E316" s="331">
        <f t="shared" si="70"/>
        <v>91.447599999999994</v>
      </c>
      <c r="F316" s="308">
        <f t="shared" si="79"/>
        <v>5.5483290147217312E-2</v>
      </c>
      <c r="G316" s="301">
        <v>85.797799999999995</v>
      </c>
      <c r="H316" s="301"/>
      <c r="I316" s="302">
        <f t="shared" si="77"/>
        <v>85.797799999999995</v>
      </c>
      <c r="J316" s="309">
        <f t="shared" si="75"/>
        <v>6.1262910507761781E-2</v>
      </c>
      <c r="K316" s="329">
        <v>85.797799999999995</v>
      </c>
      <c r="L316" s="311">
        <f t="shared" si="78"/>
        <v>85.797799999999995</v>
      </c>
      <c r="M316" s="312">
        <f t="shared" si="80"/>
        <v>6.1262910507761781E-2</v>
      </c>
    </row>
    <row r="317" spans="1:13" ht="15">
      <c r="A317" s="400">
        <v>45154</v>
      </c>
      <c r="B317" s="398">
        <f>12.004*100</f>
        <v>1200.3999999999999</v>
      </c>
      <c r="C317" s="321">
        <v>99.327600000000004</v>
      </c>
      <c r="D317" s="321">
        <v>2</v>
      </c>
      <c r="E317" s="331">
        <f t="shared" si="70"/>
        <v>101.3276</v>
      </c>
      <c r="F317" s="308">
        <f>E317/E316-1</f>
        <v>0.10804001417205056</v>
      </c>
      <c r="G317" s="301">
        <v>95.515500000000003</v>
      </c>
      <c r="H317" s="301"/>
      <c r="I317" s="302">
        <f t="shared" si="77"/>
        <v>95.515500000000003</v>
      </c>
      <c r="J317" s="309">
        <f t="shared" si="75"/>
        <v>0.11326281093454615</v>
      </c>
      <c r="K317" s="329">
        <v>95.515500000000003</v>
      </c>
      <c r="L317" s="311">
        <f t="shared" si="78"/>
        <v>95.515500000000003</v>
      </c>
      <c r="M317" s="312">
        <f t="shared" si="80"/>
        <v>0.11326281093454615</v>
      </c>
    </row>
    <row r="318" spans="1:13" ht="15">
      <c r="A318" s="400">
        <v>45170</v>
      </c>
      <c r="B318" s="398">
        <f>12.2637*100</f>
        <v>1226.3699999999999</v>
      </c>
      <c r="C318" s="321">
        <v>100.87860000000001</v>
      </c>
      <c r="D318" s="321">
        <v>2</v>
      </c>
      <c r="E318" s="331">
        <f t="shared" si="70"/>
        <v>102.87860000000001</v>
      </c>
      <c r="F318" s="308">
        <f t="shared" si="79"/>
        <v>1.5306787094532925E-2</v>
      </c>
      <c r="G318" s="301">
        <v>96.440399999999997</v>
      </c>
      <c r="H318" s="301"/>
      <c r="I318" s="302">
        <f t="shared" si="77"/>
        <v>96.440399999999997</v>
      </c>
      <c r="J318" s="309">
        <f t="shared" si="75"/>
        <v>9.6832451277539811E-3</v>
      </c>
      <c r="K318" s="329">
        <v>96.440399999999997</v>
      </c>
      <c r="L318" s="311">
        <f t="shared" si="78"/>
        <v>96.440399999999997</v>
      </c>
      <c r="M318" s="312">
        <f t="shared" si="80"/>
        <v>9.6832451277539811E-3</v>
      </c>
    </row>
    <row r="319" spans="1:13" ht="15">
      <c r="A319" s="400">
        <v>45185</v>
      </c>
      <c r="B319" s="398">
        <f>12.302*100</f>
        <v>1230.2</v>
      </c>
      <c r="C319" s="321">
        <v>102.261</v>
      </c>
      <c r="D319" s="321">
        <v>2</v>
      </c>
      <c r="E319" s="331">
        <f t="shared" si="70"/>
        <v>104.261</v>
      </c>
      <c r="F319" s="308">
        <f t="shared" si="79"/>
        <v>1.3437196851434408E-2</v>
      </c>
      <c r="G319" s="301">
        <v>99.004999999999995</v>
      </c>
      <c r="H319" s="301"/>
      <c r="I319" s="302">
        <f t="shared" si="77"/>
        <v>99.004999999999995</v>
      </c>
      <c r="J319" s="309">
        <f t="shared" si="75"/>
        <v>2.659258982749968E-2</v>
      </c>
      <c r="K319" s="329">
        <v>99.004999999999995</v>
      </c>
      <c r="L319" s="311">
        <f t="shared" si="78"/>
        <v>99.004999999999995</v>
      </c>
      <c r="M319" s="312">
        <f t="shared" si="80"/>
        <v>2.659258982749968E-2</v>
      </c>
    </row>
    <row r="320" spans="1:13" ht="15">
      <c r="A320" s="400">
        <v>45200</v>
      </c>
      <c r="B320" s="398">
        <f>12.3048*100</f>
        <v>1230.48</v>
      </c>
      <c r="C320" s="321">
        <v>106.0543</v>
      </c>
      <c r="D320" s="321">
        <v>2</v>
      </c>
      <c r="E320" s="331">
        <f t="shared" si="70"/>
        <v>108.0543</v>
      </c>
      <c r="F320" s="308">
        <f>E320/E319-1</f>
        <v>3.6382731798083601E-2</v>
      </c>
      <c r="G320" s="301">
        <v>103.22410000000001</v>
      </c>
      <c r="H320" s="301"/>
      <c r="I320" s="302">
        <f t="shared" si="77"/>
        <v>103.22410000000001</v>
      </c>
      <c r="J320" s="309">
        <f t="shared" si="75"/>
        <v>4.2615019443462465E-2</v>
      </c>
      <c r="K320" s="329">
        <v>103.22410000000001</v>
      </c>
      <c r="L320" s="311">
        <f t="shared" si="78"/>
        <v>103.22410000000001</v>
      </c>
      <c r="M320" s="312">
        <f t="shared" si="80"/>
        <v>4.2615019443462465E-2</v>
      </c>
    </row>
    <row r="321" spans="1:13" ht="15">
      <c r="A321" s="400">
        <v>45215</v>
      </c>
      <c r="B321" s="398">
        <f>12.0935*100</f>
        <v>1209.3500000000001</v>
      </c>
      <c r="C321" s="321">
        <v>101.3681</v>
      </c>
      <c r="D321" s="321">
        <v>2</v>
      </c>
      <c r="E321" s="331">
        <f t="shared" si="70"/>
        <v>103.3681</v>
      </c>
      <c r="F321" s="308">
        <f t="shared" si="79"/>
        <v>-4.3368935803572817E-2</v>
      </c>
      <c r="G321" s="301">
        <v>97.8506</v>
      </c>
      <c r="H321" s="301"/>
      <c r="I321" s="302">
        <f t="shared" si="77"/>
        <v>97.8506</v>
      </c>
      <c r="J321" s="309">
        <f t="shared" si="75"/>
        <v>-5.2056641811360049E-2</v>
      </c>
      <c r="K321" s="329">
        <v>97.8506</v>
      </c>
      <c r="L321" s="311">
        <f t="shared" si="78"/>
        <v>97.8506</v>
      </c>
      <c r="M321" s="312">
        <f t="shared" si="80"/>
        <v>-5.2056641811360049E-2</v>
      </c>
    </row>
    <row r="322" spans="1:13" ht="15">
      <c r="A322" s="400">
        <v>45231</v>
      </c>
      <c r="B322" s="398">
        <f>12.7004*100</f>
        <v>1270.04</v>
      </c>
      <c r="C322" s="321">
        <v>101.6722</v>
      </c>
      <c r="D322" s="321">
        <v>2</v>
      </c>
      <c r="E322" s="331">
        <f t="shared" si="70"/>
        <v>103.6722</v>
      </c>
      <c r="F322" s="308">
        <f t="shared" si="79"/>
        <v>2.9419134142931735E-3</v>
      </c>
      <c r="G322" s="301">
        <v>97.107399999999998</v>
      </c>
      <c r="H322" s="301"/>
      <c r="I322" s="302">
        <f t="shared" si="77"/>
        <v>97.107399999999998</v>
      </c>
      <c r="J322" s="309">
        <f t="shared" si="75"/>
        <v>-7.5952523540989691E-3</v>
      </c>
      <c r="K322" s="329">
        <v>97.107399999999998</v>
      </c>
      <c r="L322" s="311">
        <f t="shared" si="78"/>
        <v>97.107399999999998</v>
      </c>
      <c r="M322" s="312">
        <f t="shared" si="80"/>
        <v>-7.5952523540989691E-3</v>
      </c>
    </row>
    <row r="323" spans="1:13" ht="15">
      <c r="A323" s="400">
        <v>45246</v>
      </c>
      <c r="B323" s="398">
        <f>12.7761*100</f>
        <v>1277.6099999999999</v>
      </c>
      <c r="C323" s="321">
        <v>97.649199999999993</v>
      </c>
      <c r="D323" s="321">
        <v>2</v>
      </c>
      <c r="E323" s="331">
        <f t="shared" si="70"/>
        <v>99.649199999999993</v>
      </c>
      <c r="F323" s="308">
        <f>E323/E322-1</f>
        <v>-3.8805002691174817E-2</v>
      </c>
      <c r="G323" s="301">
        <v>93.356800000000007</v>
      </c>
      <c r="H323" s="301"/>
      <c r="I323" s="302">
        <f t="shared" si="77"/>
        <v>93.356800000000007</v>
      </c>
      <c r="J323" s="309">
        <f t="shared" si="75"/>
        <v>-3.8623215120577759E-2</v>
      </c>
      <c r="K323" s="329">
        <v>93.356800000000007</v>
      </c>
      <c r="L323" s="311">
        <f t="shared" si="78"/>
        <v>93.356800000000007</v>
      </c>
      <c r="M323" s="312">
        <f t="shared" si="80"/>
        <v>-3.8623215120577759E-2</v>
      </c>
    </row>
    <row r="324" spans="1:13" ht="15">
      <c r="A324" s="400">
        <v>45261</v>
      </c>
      <c r="B324" s="398">
        <f>12.8507*100</f>
        <v>1285.07</v>
      </c>
      <c r="C324" s="321">
        <v>96.334400000000002</v>
      </c>
      <c r="D324" s="321">
        <v>2</v>
      </c>
      <c r="E324" s="331">
        <f t="shared" si="70"/>
        <v>98.334400000000002</v>
      </c>
      <c r="F324" s="308">
        <f t="shared" si="79"/>
        <v>-1.3194285553722374E-2</v>
      </c>
      <c r="G324" s="301">
        <v>91.119</v>
      </c>
      <c r="H324" s="301"/>
      <c r="I324" s="302">
        <f t="shared" si="77"/>
        <v>91.119</v>
      </c>
      <c r="J324" s="309">
        <f t="shared" si="75"/>
        <v>-2.3970401727565704E-2</v>
      </c>
      <c r="K324" s="329">
        <v>91.119</v>
      </c>
      <c r="L324" s="311">
        <f t="shared" si="78"/>
        <v>91.119</v>
      </c>
      <c r="M324" s="312">
        <f t="shared" si="80"/>
        <v>-2.3970401727565704E-2</v>
      </c>
    </row>
    <row r="325" spans="1:13" ht="15">
      <c r="A325" s="400">
        <v>45276</v>
      </c>
      <c r="B325" s="398">
        <f>12.8731*100</f>
        <v>1287.3100000000002</v>
      </c>
      <c r="C325" s="321">
        <v>90.86</v>
      </c>
      <c r="D325" s="321">
        <v>2</v>
      </c>
      <c r="E325" s="331">
        <f t="shared" si="70"/>
        <v>92.86</v>
      </c>
      <c r="F325" s="308">
        <f>E325/E324-1</f>
        <v>-5.5671260515140153E-2</v>
      </c>
      <c r="G325" s="301">
        <v>87.823899999999995</v>
      </c>
      <c r="H325" s="301"/>
      <c r="I325" s="302">
        <f t="shared" si="77"/>
        <v>87.823899999999995</v>
      </c>
      <c r="J325" s="309">
        <f t="shared" si="75"/>
        <v>-3.6162600555317836E-2</v>
      </c>
      <c r="K325" s="329">
        <v>87.823899999999995</v>
      </c>
      <c r="L325" s="311">
        <f t="shared" si="78"/>
        <v>87.823899999999995</v>
      </c>
      <c r="M325" s="312">
        <f t="shared" si="80"/>
        <v>-3.6162600555317836E-2</v>
      </c>
    </row>
    <row r="326" spans="1:13" ht="15">
      <c r="A326" s="400">
        <v>45292</v>
      </c>
      <c r="B326" s="398">
        <f>12.8205*100</f>
        <v>1282.05</v>
      </c>
      <c r="C326" s="321">
        <v>91.115899999999996</v>
      </c>
      <c r="D326" s="321">
        <v>2</v>
      </c>
      <c r="E326" s="331">
        <f t="shared" si="70"/>
        <v>93.115899999999996</v>
      </c>
      <c r="F326" s="308">
        <f>E326/E325-1</f>
        <v>2.7557613611888243E-3</v>
      </c>
      <c r="G326" s="301">
        <v>85.464100000000002</v>
      </c>
      <c r="H326" s="301"/>
      <c r="I326" s="302">
        <f t="shared" si="77"/>
        <v>85.464100000000002</v>
      </c>
      <c r="J326" s="309">
        <f>I326/I325-1</f>
        <v>-2.6869678982600287E-2</v>
      </c>
      <c r="K326" s="329">
        <v>85.464100000000002</v>
      </c>
      <c r="L326" s="311">
        <f t="shared" si="78"/>
        <v>85.464100000000002</v>
      </c>
      <c r="M326" s="312">
        <f>L326/L325-1</f>
        <v>-2.6869678982600287E-2</v>
      </c>
    </row>
    <row r="327" spans="1:13" ht="15">
      <c r="A327" s="400">
        <v>45307</v>
      </c>
      <c r="B327" s="398">
        <f>12.855*100</f>
        <v>1285.5</v>
      </c>
      <c r="C327" s="321">
        <v>90.286600000000007</v>
      </c>
      <c r="D327" s="321">
        <v>2</v>
      </c>
      <c r="E327" s="331">
        <f t="shared" si="70"/>
        <v>92.286600000000007</v>
      </c>
      <c r="F327" s="308">
        <f>E327/E326-1</f>
        <v>-8.906105187191371E-3</v>
      </c>
      <c r="G327" s="301">
        <v>84.407399999999996</v>
      </c>
      <c r="H327" s="301"/>
      <c r="I327" s="302">
        <f t="shared" si="77"/>
        <v>84.407399999999996</v>
      </c>
      <c r="J327" s="309">
        <f t="shared" si="75"/>
        <v>-1.2364255868838603E-2</v>
      </c>
      <c r="K327" s="329">
        <v>84.407399999999996</v>
      </c>
      <c r="L327" s="311">
        <f t="shared" si="78"/>
        <v>84.407399999999996</v>
      </c>
      <c r="M327" s="312">
        <f t="shared" si="80"/>
        <v>-1.2364255868838603E-2</v>
      </c>
    </row>
    <row r="328" spans="1:13" ht="15">
      <c r="A328" s="400">
        <v>45323</v>
      </c>
      <c r="B328" s="398">
        <f>12.6444*100</f>
        <v>1264.4399999999998</v>
      </c>
      <c r="C328" s="321">
        <v>94.712599999999995</v>
      </c>
      <c r="D328" s="321">
        <v>2</v>
      </c>
      <c r="E328" s="331">
        <f t="shared" si="70"/>
        <v>96.712599999999995</v>
      </c>
      <c r="F328" s="308">
        <f t="shared" ref="F328" si="81">E328/E327-1</f>
        <v>4.7959292031562351E-2</v>
      </c>
      <c r="G328" s="301">
        <v>87.522400000000005</v>
      </c>
      <c r="H328" s="301"/>
      <c r="I328" s="302">
        <f t="shared" si="77"/>
        <v>87.522400000000005</v>
      </c>
      <c r="J328" s="309">
        <f t="shared" si="75"/>
        <v>3.6904347249175018E-2</v>
      </c>
      <c r="K328" s="329">
        <v>87.522400000000005</v>
      </c>
      <c r="L328" s="311">
        <f t="shared" si="78"/>
        <v>87.522400000000005</v>
      </c>
      <c r="M328" s="312">
        <f t="shared" si="80"/>
        <v>3.6904347249175018E-2</v>
      </c>
    </row>
    <row r="329" spans="1:13" ht="15">
      <c r="A329" s="400">
        <v>45338</v>
      </c>
      <c r="B329" s="398">
        <f>12.797*100</f>
        <v>1279.7</v>
      </c>
      <c r="C329" s="321">
        <v>95.050799999999995</v>
      </c>
      <c r="D329" s="321">
        <v>2</v>
      </c>
      <c r="E329" s="331">
        <f t="shared" si="70"/>
        <v>97.050799999999995</v>
      </c>
      <c r="F329" s="308">
        <f>E329/E328-1</f>
        <v>3.4969590311912935E-3</v>
      </c>
      <c r="G329" s="301">
        <v>91.847800000000007</v>
      </c>
      <c r="H329" s="301"/>
      <c r="I329" s="302">
        <f t="shared" si="77"/>
        <v>91.847800000000007</v>
      </c>
      <c r="J329" s="309">
        <f>I329/I328-1</f>
        <v>4.9420491211392692E-2</v>
      </c>
      <c r="K329" s="329">
        <v>91.847800000000007</v>
      </c>
      <c r="L329" s="311">
        <f t="shared" si="78"/>
        <v>91.847800000000007</v>
      </c>
      <c r="M329" s="312">
        <f t="shared" ref="M329:M338" si="82">L329/L328-1</f>
        <v>4.9420491211392692E-2</v>
      </c>
    </row>
    <row r="330" spans="1:13" ht="15">
      <c r="A330" s="400">
        <v>45352</v>
      </c>
      <c r="B330" s="398">
        <f>12.9598*100</f>
        <v>1295.98</v>
      </c>
      <c r="C330" s="321">
        <v>94.061899999999994</v>
      </c>
      <c r="D330" s="321">
        <v>2</v>
      </c>
      <c r="E330" s="331">
        <f t="shared" si="70"/>
        <v>96.061899999999994</v>
      </c>
      <c r="F330" s="308">
        <f>E330/E329-1</f>
        <v>-1.0189508999410624E-2</v>
      </c>
      <c r="G330" s="301">
        <v>92.982299999999995</v>
      </c>
      <c r="H330" s="301"/>
      <c r="I330" s="302">
        <f t="shared" si="77"/>
        <v>92.982299999999995</v>
      </c>
      <c r="J330" s="309">
        <f>I330/I329-1</f>
        <v>1.2351956170969736E-2</v>
      </c>
      <c r="K330" s="329">
        <v>92.982299999999995</v>
      </c>
      <c r="L330" s="311">
        <f t="shared" si="78"/>
        <v>92.982299999999995</v>
      </c>
      <c r="M330" s="312">
        <f t="shared" si="82"/>
        <v>1.2351956170969736E-2</v>
      </c>
    </row>
    <row r="331" spans="1:13" ht="15">
      <c r="A331" s="400">
        <v>45367</v>
      </c>
      <c r="B331" s="398">
        <f>13.2189*100</f>
        <v>1321.8899999999999</v>
      </c>
      <c r="C331" s="321">
        <v>90.681899999999999</v>
      </c>
      <c r="D331" s="321">
        <v>2</v>
      </c>
      <c r="E331" s="331">
        <f t="shared" si="70"/>
        <v>92.681899999999999</v>
      </c>
      <c r="F331" s="308">
        <f>E331/E330-1</f>
        <v>-3.5185645922056419E-2</v>
      </c>
      <c r="G331" s="301">
        <v>89.993099999999998</v>
      </c>
      <c r="H331" s="301"/>
      <c r="I331" s="302">
        <f t="shared" si="77"/>
        <v>89.993099999999998</v>
      </c>
      <c r="J331" s="309">
        <f>I331/I330-1</f>
        <v>-3.2148053984467961E-2</v>
      </c>
      <c r="K331" s="329">
        <v>89.993099999999998</v>
      </c>
      <c r="L331" s="311">
        <f t="shared" si="78"/>
        <v>89.993099999999998</v>
      </c>
      <c r="M331" s="312">
        <f t="shared" si="82"/>
        <v>-3.2148053984467961E-2</v>
      </c>
    </row>
    <row r="332" spans="1:13" ht="15">
      <c r="A332" s="400">
        <v>45383</v>
      </c>
      <c r="B332" s="398">
        <f>13.6241*100</f>
        <v>1362.41</v>
      </c>
      <c r="C332" s="321">
        <v>91.9024</v>
      </c>
      <c r="D332" s="321">
        <v>2</v>
      </c>
      <c r="E332" s="331">
        <f t="shared" si="70"/>
        <v>93.9024</v>
      </c>
      <c r="F332" s="308">
        <f>E332/E331-1</f>
        <v>1.3168698526896838E-2</v>
      </c>
      <c r="G332" s="301">
        <v>90.353200000000001</v>
      </c>
      <c r="H332" s="301"/>
      <c r="I332" s="302">
        <f t="shared" si="77"/>
        <v>90.353200000000001</v>
      </c>
      <c r="J332" s="309">
        <f t="shared" ref="J332" si="83">I332/I331-1</f>
        <v>4.0014178864824501E-3</v>
      </c>
      <c r="K332" s="329">
        <v>90.353200000000001</v>
      </c>
      <c r="L332" s="311">
        <f t="shared" si="78"/>
        <v>90.353200000000001</v>
      </c>
      <c r="M332" s="312">
        <f t="shared" si="82"/>
        <v>4.0014178864824501E-3</v>
      </c>
    </row>
    <row r="333" spans="1:13" ht="15">
      <c r="A333" s="400">
        <v>45398</v>
      </c>
      <c r="B333" s="398">
        <f>13.7402*100</f>
        <v>1374.02</v>
      </c>
      <c r="C333" s="321">
        <v>92.981200000000001</v>
      </c>
      <c r="D333" s="321">
        <v>2</v>
      </c>
      <c r="E333" s="331">
        <f t="shared" si="70"/>
        <v>94.981200000000001</v>
      </c>
      <c r="F333" s="308">
        <f t="shared" ref="F333:F338" si="84">E333/E332-1</f>
        <v>1.1488524254971155E-2</v>
      </c>
      <c r="G333" s="301">
        <v>90.838099999999997</v>
      </c>
      <c r="H333" s="301"/>
      <c r="I333" s="302">
        <f t="shared" si="77"/>
        <v>90.838099999999997</v>
      </c>
      <c r="J333" s="309">
        <f t="shared" ref="J333:J338" si="85">I333/I332-1</f>
        <v>5.3667163974269183E-3</v>
      </c>
      <c r="K333" s="329">
        <v>90.838099999999997</v>
      </c>
      <c r="L333" s="311">
        <f t="shared" si="78"/>
        <v>90.838099999999997</v>
      </c>
      <c r="M333" s="312">
        <f t="shared" si="82"/>
        <v>5.3667163974269183E-3</v>
      </c>
    </row>
    <row r="334" spans="1:13" ht="15">
      <c r="A334" s="400">
        <v>45413</v>
      </c>
      <c r="B334" s="398">
        <f>13.9185*100</f>
        <v>1391.85</v>
      </c>
      <c r="C334" s="321">
        <v>90.563199999999995</v>
      </c>
      <c r="D334" s="321">
        <v>2</v>
      </c>
      <c r="E334" s="331">
        <f t="shared" si="70"/>
        <v>92.563199999999995</v>
      </c>
      <c r="F334" s="308">
        <f>E334/E333-1</f>
        <v>-2.5457669517757298E-2</v>
      </c>
      <c r="G334" s="301">
        <v>86.6678</v>
      </c>
      <c r="H334" s="301"/>
      <c r="I334" s="302">
        <f t="shared" si="77"/>
        <v>86.6678</v>
      </c>
      <c r="J334" s="309">
        <f t="shared" si="85"/>
        <v>-4.5909150455590741E-2</v>
      </c>
      <c r="K334" s="329">
        <v>86.6678</v>
      </c>
      <c r="L334" s="311">
        <f t="shared" si="78"/>
        <v>86.6678</v>
      </c>
      <c r="M334" s="312">
        <f t="shared" si="82"/>
        <v>-4.5909150455590741E-2</v>
      </c>
    </row>
    <row r="335" spans="1:13" ht="15">
      <c r="A335" s="400">
        <v>45428</v>
      </c>
      <c r="B335" s="398">
        <f>14.787*100</f>
        <v>1478.7</v>
      </c>
      <c r="C335" s="321">
        <v>87.987899999999996</v>
      </c>
      <c r="D335" s="321">
        <v>2</v>
      </c>
      <c r="E335" s="331">
        <f t="shared" si="70"/>
        <v>89.987899999999996</v>
      </c>
      <c r="F335" s="308">
        <f t="shared" si="84"/>
        <v>-2.7822071838484397E-2</v>
      </c>
      <c r="G335" s="301">
        <v>83.647300000000001</v>
      </c>
      <c r="H335" s="301"/>
      <c r="I335" s="302">
        <f t="shared" si="77"/>
        <v>83.647300000000001</v>
      </c>
      <c r="J335" s="309">
        <f t="shared" si="85"/>
        <v>-3.4851467326965757E-2</v>
      </c>
      <c r="K335" s="329">
        <v>83.647300000000001</v>
      </c>
      <c r="L335" s="311">
        <f t="shared" si="78"/>
        <v>83.647300000000001</v>
      </c>
      <c r="M335" s="312">
        <f t="shared" si="82"/>
        <v>-3.4851467326965757E-2</v>
      </c>
    </row>
    <row r="336" spans="1:13" ht="15">
      <c r="A336" s="400">
        <v>45444</v>
      </c>
      <c r="B336" s="398">
        <f>15.2772*100</f>
        <v>1527.72</v>
      </c>
      <c r="C336" s="321">
        <v>87.721699999999998</v>
      </c>
      <c r="D336" s="321">
        <v>2</v>
      </c>
      <c r="E336" s="331">
        <f t="shared" si="70"/>
        <v>89.721699999999998</v>
      </c>
      <c r="F336" s="308">
        <f t="shared" si="84"/>
        <v>-2.9581754880377842E-3</v>
      </c>
      <c r="G336" s="301">
        <v>83.091499999999996</v>
      </c>
      <c r="H336" s="301"/>
      <c r="I336" s="302">
        <f t="shared" si="77"/>
        <v>83.091499999999996</v>
      </c>
      <c r="J336" s="309">
        <f t="shared" si="85"/>
        <v>-6.644565933389468E-3</v>
      </c>
      <c r="K336" s="329">
        <v>83.091499999999996</v>
      </c>
      <c r="L336" s="311">
        <f t="shared" si="78"/>
        <v>83.091499999999996</v>
      </c>
      <c r="M336" s="312">
        <f t="shared" si="82"/>
        <v>-6.644565933389468E-3</v>
      </c>
    </row>
    <row r="337" spans="1:14" ht="15">
      <c r="A337" s="400">
        <v>45459</v>
      </c>
      <c r="B337" s="398">
        <f>15.4391*100</f>
        <v>1543.91</v>
      </c>
      <c r="C337" s="321">
        <v>85.2286</v>
      </c>
      <c r="D337" s="321">
        <v>2</v>
      </c>
      <c r="E337" s="331">
        <f t="shared" si="70"/>
        <v>87.2286</v>
      </c>
      <c r="F337" s="308">
        <f t="shared" si="84"/>
        <v>-2.7787034797601917E-2</v>
      </c>
      <c r="G337" s="301">
        <v>81.302000000000007</v>
      </c>
      <c r="H337" s="301"/>
      <c r="I337" s="302">
        <f t="shared" si="77"/>
        <v>81.302000000000007</v>
      </c>
      <c r="J337" s="309">
        <f t="shared" si="85"/>
        <v>-2.153649891986531E-2</v>
      </c>
      <c r="K337" s="329">
        <v>81.302000000000007</v>
      </c>
      <c r="L337" s="311">
        <f t="shared" si="78"/>
        <v>81.302000000000007</v>
      </c>
      <c r="M337" s="312">
        <f t="shared" si="82"/>
        <v>-2.153649891986531E-2</v>
      </c>
    </row>
    <row r="338" spans="1:14" ht="15">
      <c r="A338" s="400">
        <v>45474</v>
      </c>
      <c r="B338" s="398">
        <f>15.7329*100</f>
        <v>1573.29</v>
      </c>
      <c r="C338" s="321">
        <v>89.249700000000004</v>
      </c>
      <c r="D338" s="321">
        <v>2</v>
      </c>
      <c r="E338" s="331">
        <f t="shared" si="70"/>
        <v>91.249700000000004</v>
      </c>
      <c r="F338" s="308">
        <f t="shared" si="84"/>
        <v>4.6098412676576217E-2</v>
      </c>
      <c r="G338" s="301">
        <v>85.509799999999998</v>
      </c>
      <c r="H338" s="301"/>
      <c r="I338" s="302">
        <f t="shared" si="77"/>
        <v>85.509799999999998</v>
      </c>
      <c r="J338" s="309">
        <f t="shared" si="85"/>
        <v>5.1755184374308039E-2</v>
      </c>
      <c r="K338" s="329">
        <v>85.509799999999998</v>
      </c>
      <c r="L338" s="311">
        <f t="shared" si="78"/>
        <v>85.509799999999998</v>
      </c>
      <c r="M338" s="312">
        <f t="shared" si="82"/>
        <v>5.1755184374308039E-2</v>
      </c>
    </row>
    <row r="339" spans="1:14" ht="18">
      <c r="A339" s="402"/>
      <c r="C339" s="439" t="s">
        <v>51</v>
      </c>
      <c r="D339" s="439"/>
      <c r="E339" s="439"/>
      <c r="F339" s="439"/>
      <c r="G339" s="439"/>
      <c r="H339" s="439"/>
      <c r="I339" s="439"/>
      <c r="J339" s="439"/>
      <c r="K339" s="439"/>
    </row>
    <row r="340" spans="1:14">
      <c r="C340" s="439"/>
      <c r="D340" s="439"/>
      <c r="E340" s="439"/>
      <c r="F340" s="439"/>
      <c r="G340" s="439"/>
      <c r="H340" s="439"/>
      <c r="I340" s="439"/>
      <c r="J340" s="439"/>
      <c r="K340" s="439"/>
    </row>
    <row r="342" spans="1:14" ht="15">
      <c r="A342" s="326"/>
      <c r="C342" s="321"/>
      <c r="D342" s="331" t="s">
        <v>52</v>
      </c>
      <c r="E342" s="331"/>
      <c r="F342" s="308"/>
      <c r="G342" s="301"/>
      <c r="H342" s="301"/>
      <c r="I342" s="302"/>
      <c r="J342" s="333"/>
      <c r="K342" s="329"/>
      <c r="L342" s="311"/>
    </row>
    <row r="343" spans="1:14" ht="30">
      <c r="D343" s="430" t="s">
        <v>53</v>
      </c>
      <c r="E343" s="430"/>
      <c r="F343" s="430"/>
      <c r="G343" s="334" t="s">
        <v>54</v>
      </c>
      <c r="H343" s="334" t="s">
        <v>55</v>
      </c>
      <c r="I343" s="334" t="s">
        <v>56</v>
      </c>
    </row>
    <row r="344" spans="1:14">
      <c r="D344" s="428" t="s">
        <v>57</v>
      </c>
      <c r="E344" s="428"/>
      <c r="F344" s="428"/>
      <c r="G344" s="335">
        <v>49</v>
      </c>
      <c r="H344" s="335">
        <v>49</v>
      </c>
      <c r="I344" s="335">
        <v>49</v>
      </c>
      <c r="N344" s="336"/>
    </row>
    <row r="345" spans="1:14">
      <c r="D345" s="428" t="s">
        <v>58</v>
      </c>
      <c r="E345" s="428"/>
      <c r="F345" s="428"/>
      <c r="G345" s="335">
        <v>48</v>
      </c>
      <c r="H345" s="335">
        <v>48</v>
      </c>
      <c r="I345" s="335">
        <v>48</v>
      </c>
      <c r="L345" s="337"/>
      <c r="N345" s="336"/>
    </row>
    <row r="346" spans="1:14">
      <c r="D346" s="428" t="s">
        <v>59</v>
      </c>
      <c r="E346" s="428"/>
      <c r="F346" s="428"/>
      <c r="G346" s="335">
        <v>1</v>
      </c>
      <c r="H346" s="335">
        <v>1</v>
      </c>
      <c r="I346" s="335">
        <v>1</v>
      </c>
    </row>
    <row r="347" spans="1:14">
      <c r="D347" s="428" t="s">
        <v>60</v>
      </c>
      <c r="E347" s="428"/>
      <c r="F347" s="428"/>
      <c r="G347" s="335">
        <v>14</v>
      </c>
      <c r="H347" s="335">
        <v>14</v>
      </c>
      <c r="I347" s="335">
        <v>14</v>
      </c>
    </row>
    <row r="348" spans="1:14">
      <c r="D348" s="428" t="s">
        <v>61</v>
      </c>
      <c r="E348" s="428"/>
      <c r="F348" s="428"/>
      <c r="G348" s="335">
        <v>10</v>
      </c>
      <c r="H348" s="335">
        <f t="shared" ref="H348:I352" si="86">G348</f>
        <v>10</v>
      </c>
      <c r="I348" s="335">
        <f t="shared" si="86"/>
        <v>10</v>
      </c>
    </row>
    <row r="349" spans="1:14">
      <c r="D349" s="428" t="s">
        <v>62</v>
      </c>
      <c r="E349" s="428"/>
      <c r="F349" s="428"/>
      <c r="G349" s="335">
        <v>20</v>
      </c>
      <c r="H349" s="335">
        <f t="shared" si="86"/>
        <v>20</v>
      </c>
      <c r="I349" s="335">
        <f t="shared" si="86"/>
        <v>20</v>
      </c>
    </row>
    <row r="350" spans="1:14">
      <c r="D350" s="429" t="s">
        <v>63</v>
      </c>
      <c r="E350" s="429"/>
      <c r="F350" s="429"/>
      <c r="G350" s="338">
        <v>11</v>
      </c>
      <c r="H350" s="338">
        <f t="shared" si="86"/>
        <v>11</v>
      </c>
      <c r="I350" s="338">
        <f t="shared" si="86"/>
        <v>11</v>
      </c>
    </row>
    <row r="351" spans="1:14">
      <c r="D351" s="428" t="s">
        <v>64</v>
      </c>
      <c r="E351" s="428"/>
      <c r="F351" s="428"/>
      <c r="G351" s="335">
        <f>3+3+6-3</f>
        <v>9</v>
      </c>
      <c r="H351" s="335">
        <f t="shared" si="86"/>
        <v>9</v>
      </c>
      <c r="I351" s="335">
        <f t="shared" si="86"/>
        <v>9</v>
      </c>
    </row>
    <row r="352" spans="1:14">
      <c r="D352" s="429" t="s">
        <v>65</v>
      </c>
      <c r="E352" s="429"/>
      <c r="F352" s="429"/>
      <c r="G352" s="335">
        <f>3+5-3</f>
        <v>5</v>
      </c>
      <c r="H352" s="335">
        <f t="shared" si="86"/>
        <v>5</v>
      </c>
      <c r="I352" s="335">
        <f t="shared" si="86"/>
        <v>5</v>
      </c>
    </row>
    <row r="353" spans="4:9">
      <c r="D353" s="428" t="s">
        <v>66</v>
      </c>
      <c r="E353" s="428"/>
      <c r="F353" s="428"/>
      <c r="G353" s="335">
        <v>46</v>
      </c>
      <c r="H353" s="335">
        <f t="shared" ref="H353:I355" si="87">G353</f>
        <v>46</v>
      </c>
      <c r="I353" s="335">
        <f t="shared" si="87"/>
        <v>46</v>
      </c>
    </row>
    <row r="354" spans="4:9">
      <c r="D354" s="429" t="s">
        <v>67</v>
      </c>
      <c r="E354" s="429"/>
      <c r="F354" s="429"/>
      <c r="G354" s="335">
        <f>76.895*60%</f>
        <v>46.136999999999993</v>
      </c>
      <c r="H354" s="335">
        <f t="shared" si="87"/>
        <v>46.136999999999993</v>
      </c>
      <c r="I354" s="335">
        <f t="shared" si="87"/>
        <v>46.136999999999993</v>
      </c>
    </row>
    <row r="355" spans="4:9">
      <c r="D355" s="428" t="s">
        <v>68</v>
      </c>
      <c r="E355" s="428"/>
      <c r="F355" s="428"/>
      <c r="G355" s="335">
        <f>76.895*40%</f>
        <v>30.757999999999999</v>
      </c>
      <c r="H355" s="335">
        <f t="shared" si="87"/>
        <v>30.757999999999999</v>
      </c>
      <c r="I355" s="335">
        <f t="shared" si="87"/>
        <v>30.757999999999999</v>
      </c>
    </row>
  </sheetData>
  <mergeCells count="18">
    <mergeCell ref="A4:A5"/>
    <mergeCell ref="C3:F3"/>
    <mergeCell ref="G3:J3"/>
    <mergeCell ref="C339:K340"/>
    <mergeCell ref="D344:F344"/>
    <mergeCell ref="K3:M3"/>
    <mergeCell ref="D345:F345"/>
    <mergeCell ref="D346:F346"/>
    <mergeCell ref="D347:F347"/>
    <mergeCell ref="D343:F343"/>
    <mergeCell ref="D350:F350"/>
    <mergeCell ref="D348:F348"/>
    <mergeCell ref="D349:F349"/>
    <mergeCell ref="D351:F351"/>
    <mergeCell ref="D352:F352"/>
    <mergeCell ref="D354:F354"/>
    <mergeCell ref="D355:F355"/>
    <mergeCell ref="D353:F353"/>
  </mergeCells>
  <pageMargins left="0.7" right="0.7" top="0.75" bottom="0.75" header="0.3" footer="0.3"/>
  <pageSetup scale="55" orientation="landscape" r:id="rId1"/>
  <colBreaks count="1" manualBreakCount="1">
    <brk id="14" max="226" man="1"/>
  </col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1C7BA2621014F4D86D0DD62A79D5F0F" ma:contentTypeVersion="16" ma:contentTypeDescription="Create a new document." ma:contentTypeScope="" ma:versionID="6822ca3951bd8b352a5e6950de2bb40d">
  <xsd:schema xmlns:xsd="http://www.w3.org/2001/XMLSchema" xmlns:xs="http://www.w3.org/2001/XMLSchema" xmlns:p="http://schemas.microsoft.com/office/2006/metadata/properties" xmlns:ns2="999f919b-ab5a-4db1-a56a-2b12b49855bf" xmlns:ns3="f0af2409-ac36-42b8-b511-8846afb6af95" targetNamespace="http://schemas.microsoft.com/office/2006/metadata/properties" ma:root="true" ma:fieldsID="d145649aa84e360a1fa8296a68698d98" ns2:_="" ns3:_="">
    <xsd:import namespace="999f919b-ab5a-4db1-a56a-2b12b49855bf"/>
    <xsd:import namespace="f0af2409-ac36-42b8-b511-8846afb6af95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2:SharedWithUsers" minOccurs="0"/>
                <xsd:element ref="ns2:SharedWithDetails" minOccurs="0"/>
                <xsd:element ref="ns3:MediaServiceObjectDetectorVersions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OCR" minOccurs="0"/>
                <xsd:element ref="ns3:MediaServiceSearchProperties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9f919b-ab5a-4db1-a56a-2b12b49855bf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dexed="true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0c1c56a5-9e22-45dd-a3eb-1124d1d35fe3}" ma:internalName="TaxCatchAll" ma:showField="CatchAllData" ma:web="999f919b-ab5a-4db1-a56a-2b12b49855b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0af2409-ac36-42b8-b511-8846afb6af9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17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bde2efca-d301-4655-b535-5fc01356112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26" nillable="true" ma:displayName="MediaServiceDateTaken" ma:description="" ma:hidden="true" ma:indexed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f0af2409-ac36-42b8-b511-8846afb6af95">
      <Terms xmlns="http://schemas.microsoft.com/office/infopath/2007/PartnerControls"/>
    </lcf76f155ced4ddcb4097134ff3c332f>
    <TaxCatchAll xmlns="999f919b-ab5a-4db1-a56a-2b12b49855bf" xsi:nil="true"/>
    <_dlc_DocId xmlns="999f919b-ab5a-4db1-a56a-2b12b49855bf">SEU7YU5J4REP-940329272-385328</_dlc_DocId>
    <_dlc_DocIdUrl xmlns="999f919b-ab5a-4db1-a56a-2b12b49855bf">
      <Url>https://swpgh.sharepoint.com/sites/swpnpa/_layouts/15/DocIdRedir.aspx?ID=SEU7YU5J4REP-940329272-385328</Url>
      <Description>SEU7YU5J4REP-940329272-385328</Description>
    </_dlc_DocIdUrl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A54DB29-511A-4ADF-ABBE-35FA1C636CF0}"/>
</file>

<file path=customXml/itemProps2.xml><?xml version="1.0" encoding="utf-8"?>
<ds:datastoreItem xmlns:ds="http://schemas.openxmlformats.org/officeDocument/2006/customXml" ds:itemID="{F64D215C-18A4-4E9A-9EBB-159DDDE4910F}"/>
</file>

<file path=customXml/itemProps3.xml><?xml version="1.0" encoding="utf-8"?>
<ds:datastoreItem xmlns:ds="http://schemas.openxmlformats.org/officeDocument/2006/customXml" ds:itemID="{FC7AE398-3025-4F7F-AD7C-0B2A0FB0DB3C}"/>
</file>

<file path=customXml/itemProps4.xml><?xml version="1.0" encoding="utf-8"?>
<ds:datastoreItem xmlns:ds="http://schemas.openxmlformats.org/officeDocument/2006/customXml" ds:itemID="{AE0C77FB-ED7C-4501-87E9-6B3DA6E6DC1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rapaloo</dc:creator>
  <cp:keywords/>
  <dc:description/>
  <cp:lastModifiedBy>Memuna Yakubu Gumery</cp:lastModifiedBy>
  <cp:revision/>
  <dcterms:created xsi:type="dcterms:W3CDTF">2011-03-03T15:04:12Z</dcterms:created>
  <dcterms:modified xsi:type="dcterms:W3CDTF">2024-07-03T12:22:46Z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0x01010031C7BA2621014F4D86D0DD62A79D5F0F</vt:lpwstr>
  </property>
  <property fmtid="{D5CDD505-2E9C-101B-9397-08002B2CF9AE}" pid="3" name="_dlc_DocIdItemGuid">
    <vt:lpwstr>6a68bd12-a451-48b5-b7c8-05a61047744b</vt:lpwstr>
  </property>
  <property fmtid="{D5CDD505-2E9C-101B-9397-08002B2CF9AE}" pid="4" name="MediaServiceImageTags">
    <vt:lpwstr/>
  </property>
</Properties>
</file>