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Z:\Pricing\Historical Prices\Historical Petroleum Products Prices\"/>
    </mc:Choice>
  </mc:AlternateContent>
  <xr:revisionPtr revIDLastSave="0" documentId="13_ncr:1_{0F2250E2-EE96-4A77-A29E-BF6C881E1D74}" xr6:coauthVersionLast="47" xr6:coauthVersionMax="47" xr10:uidLastSave="{00000000-0000-0000-0000-000000000000}"/>
  <bookViews>
    <workbookView xWindow="-120" yWindow="-120" windowWidth="29040" windowHeight="15720" tabRatio="760" activeTab="2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5" i="3" l="1"/>
  <c r="L335" i="3"/>
  <c r="J335" i="3"/>
  <c r="I335" i="3"/>
  <c r="F335" i="3"/>
  <c r="E335" i="3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M334" i="3" s="1"/>
  <c r="I334" i="3"/>
  <c r="J334" i="3" s="1"/>
  <c r="E334" i="3"/>
  <c r="F334" i="3" s="1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L222" i="6" l="1"/>
  <c r="K222" i="6"/>
  <c r="J222" i="6"/>
  <c r="I222" i="6"/>
  <c r="G222" i="6"/>
  <c r="F222" i="6"/>
  <c r="D222" i="6"/>
  <c r="E222" i="6"/>
  <c r="B222" i="6"/>
  <c r="L332" i="3"/>
  <c r="M332" i="3" s="1"/>
  <c r="I332" i="3"/>
  <c r="J332" i="3" s="1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J331" i="3" s="1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3" i="3" l="1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49" i="3"/>
  <c r="G348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47" i="3"/>
  <c r="I347" i="3" s="1"/>
  <c r="H349" i="3"/>
  <c r="I349" i="3" s="1"/>
  <c r="H348" i="3"/>
  <c r="I348" i="3" s="1"/>
  <c r="H346" i="3"/>
  <c r="I346" i="3" s="1"/>
  <c r="H345" i="3"/>
  <c r="I345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52" i="3"/>
  <c r="H352" i="3" s="1"/>
  <c r="I352" i="3" s="1"/>
  <c r="G351" i="3"/>
  <c r="H351" i="3" s="1"/>
  <c r="I351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50" i="3"/>
  <c r="I350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<sst xmlns="http://schemas.openxmlformats.org/spreadsheetml/2006/main" count="260" uniqueCount="69">
  <si>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</si>
  <si>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</si>
  <si>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</si>
  <si>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</si>
  <si>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</si>
  <si>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</si>
  <si>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</si>
  <si>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</si>
  <si>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</si>
  <si>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</si>
  <si>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</si>
  <si>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</si>
  <si>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</si>
  <si>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</si>
  <si>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</si>
  <si>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</si>
  <si>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</si>
  <si>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</si>
  <si>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</si>
  <si>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</si>
  <si>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</si>
  <si>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</si>
  <si>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Gp/Lt</t>
  </si>
  <si>
    <t>Gp/kg</t>
  </si>
  <si>
    <t>MGO LOCAL</t>
  </si>
  <si>
    <t>PREMIX</t>
  </si>
  <si>
    <t>UNITS: All Products in CEDIS/LITRE except LPG CEDIS/Kg (for Jan 14, 1989 - July 1, 2007)</t>
  </si>
  <si>
    <t>UNIT: All Products are in US Cents per Litre</t>
  </si>
  <si>
    <t>AVIATION FUEL (ATK)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</si>
  <si>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</si>
  <si>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</si>
  <si>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</si>
  <si>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</si>
  <si>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</si>
  <si>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</si>
  <si>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</si>
  <si>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</si>
  <si>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>MARINE GASOIL (FOREIGN)</t>
  </si>
  <si>
    <t>GASOIL MINES/RIG</t>
  </si>
  <si>
    <t>GAS OIL MINES/RIG</t>
  </si>
  <si>
    <t xml:space="preserve">  </t>
  </si>
  <si>
    <t>GHp/USc</t>
  </si>
  <si>
    <t>New Ghana Pesewas</t>
  </si>
  <si>
    <t>UNITS: All Products in Gp/Lt except LPG Gp/Kg</t>
  </si>
  <si>
    <t>Historical Trend of Prices for Export Products (Jan 2011 to date)</t>
  </si>
  <si>
    <t>HISTORICAL TREND OF PETROLEUM PRICES IN GHANA July 2015 - date)</t>
  </si>
  <si>
    <t>HISTORICAL TREND OF PETROLEUM PRICES IN GHANA (Aug 2007 - Jun 2015)</t>
  </si>
  <si>
    <t>HISTORICAL TREND OF PETROLEUM PRICES IN GHANA</t>
  </si>
  <si>
    <t xml:space="preserve">Old Ghana Cedis </t>
  </si>
  <si>
    <t>NOTE: THE NEW GHANA CEDI WAS INTRODUCED ON 1ST  JULY, 2007. THE CURRENCY FOR PRICING WAS THEREFORE REVISED TO REFLECT THE NEW CURRENCY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</si>
  <si>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</si>
  <si>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NOTE: ALL TAXES, LEVIES AND MARGINS APPLICABLE TO REGULAR GASOIL ARE APPLICABLE TO MARINE GASOIL FOREIGN, GASOIL MINES AND GASOIL RIG AS WELL</t>
  </si>
  <si>
    <t>COMPONENT</t>
  </si>
  <si>
    <t>ENERGY DEBT RECOVERY LEVY</t>
  </si>
  <si>
    <t>ROAD FUND LEVY</t>
  </si>
  <si>
    <t>ENERGY FUND LEVY</t>
  </si>
  <si>
    <t>PRICE STABILIZATION AND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</si>
  <si>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</si>
  <si>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</si>
  <si>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</si>
  <si>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</si>
  <si>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</si>
  <si>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</si>
  <si>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TAXES/LEVIES &amp; MARGINS APPLICABLE TO MARINE GASOIL (FOREIGN), GASOIL TO THE MINES &amp; RIG (EXCLUDING UPPF)</t>
  </si>
  <si>
    <t>MGO Foreign (GHp/Lt)</t>
  </si>
  <si>
    <t>Gasoil Mines (GHp/Lt)</t>
  </si>
  <si>
    <t xml:space="preserve"> Gas Oil to Rig (GHp/Lt)</t>
  </si>
  <si>
    <t>SANITATION AND POLLUTION LEVY</t>
  </si>
  <si>
    <t>ENERGY SECTOR RECOVERY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</si>
</sst>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164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164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164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164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43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43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164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165" fontId="61" fillId="3" borderId="16" xfId="0" applyNumberFormat="1" applyFont="1" applyFill="1" applyBorder="1" applyAlignment="1">
      <alignment horizontal="left"/>
    </xf>
    <xf numFmtId="165" fontId="61" fillId="2" borderId="16" xfId="0" applyNumberFormat="1" applyFont="1" applyFill="1" applyBorder="1" applyAlignment="1">
      <alignment horizontal="left"/>
    </xf>
    <xf numFmtId="165" fontId="59" fillId="3" borderId="16" xfId="0" applyNumberFormat="1" applyFont="1" applyFill="1" applyBorder="1" applyAlignment="1">
      <alignment horizontal="left" wrapText="1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26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26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48</v>
      </c>
      <c r="B4" s="12"/>
      <c r="C4" s="6"/>
      <c r="D4" s="6" t="s">
        <v>2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3</v>
      </c>
      <c r="B5" s="15" t="s">
        <v>4</v>
      </c>
      <c r="C5" s="403" t="s">
        <v>5</v>
      </c>
      <c r="D5" s="404"/>
      <c r="E5" s="404"/>
      <c r="F5" s="404"/>
      <c r="G5" s="404"/>
      <c r="H5" s="16"/>
      <c r="I5" s="132" t="s">
        <v>6</v>
      </c>
      <c r="J5" s="132"/>
      <c r="K5" s="132"/>
      <c r="L5" s="132"/>
      <c r="M5" s="132"/>
      <c r="N5" s="132"/>
      <c r="O5" s="17" t="s">
        <v>7</v>
      </c>
      <c r="P5" s="18"/>
      <c r="Q5" s="18"/>
      <c r="R5" s="18"/>
      <c r="S5" s="18"/>
      <c r="T5" s="16"/>
      <c r="U5" s="405" t="s">
        <v>8</v>
      </c>
      <c r="V5" s="406"/>
      <c r="W5" s="406"/>
      <c r="X5" s="406"/>
      <c r="Y5" s="406"/>
      <c r="Z5" s="406"/>
      <c r="AA5" s="407" t="s">
        <v>9</v>
      </c>
      <c r="AB5" s="408"/>
      <c r="AC5" s="408"/>
      <c r="AD5" s="409"/>
      <c r="AE5" s="19"/>
      <c r="AF5" s="20"/>
    </row>
    <row r="6" spans="1:32" x14ac:dyDescent="0.2">
      <c r="A6" s="21" t="s">
        <v>10</v>
      </c>
      <c r="B6" s="22"/>
      <c r="C6" s="23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5" t="s">
        <v>16</v>
      </c>
      <c r="I6" s="133" t="s">
        <v>11</v>
      </c>
      <c r="J6" s="133" t="s">
        <v>12</v>
      </c>
      <c r="K6" s="133" t="s">
        <v>13</v>
      </c>
      <c r="L6" s="133" t="s">
        <v>14</v>
      </c>
      <c r="M6" s="133" t="s">
        <v>15</v>
      </c>
      <c r="N6" s="133" t="s">
        <v>16</v>
      </c>
      <c r="O6" s="23" t="s">
        <v>11</v>
      </c>
      <c r="P6" s="24" t="s">
        <v>12</v>
      </c>
      <c r="Q6" s="24" t="s">
        <v>13</v>
      </c>
      <c r="R6" s="24" t="s">
        <v>14</v>
      </c>
      <c r="S6" s="24" t="s">
        <v>15</v>
      </c>
      <c r="T6" s="25" t="s">
        <v>16</v>
      </c>
      <c r="U6" s="26" t="s">
        <v>11</v>
      </c>
      <c r="V6" s="26" t="s">
        <v>12</v>
      </c>
      <c r="W6" s="26" t="s">
        <v>13</v>
      </c>
      <c r="X6" s="26" t="s">
        <v>14</v>
      </c>
      <c r="Y6" s="26" t="s">
        <v>15</v>
      </c>
      <c r="Z6" s="26" t="s">
        <v>16</v>
      </c>
      <c r="AA6" s="23" t="s">
        <v>11</v>
      </c>
      <c r="AB6" s="24" t="s">
        <v>12</v>
      </c>
      <c r="AC6" s="24" t="s">
        <v>17</v>
      </c>
      <c r="AD6" s="25" t="s">
        <v>16</v>
      </c>
      <c r="AE6" s="24"/>
      <c r="AF6" s="20"/>
    </row>
    <row r="7" spans="1:32" ht="15" thickBot="1" x14ac:dyDescent="0.25">
      <c r="A7" s="27"/>
      <c r="B7" s="28" t="s">
        <v>18</v>
      </c>
      <c r="C7" s="29" t="s">
        <v>19</v>
      </c>
      <c r="D7" s="30" t="s">
        <v>19</v>
      </c>
      <c r="E7" s="30" t="s">
        <v>19</v>
      </c>
      <c r="F7" s="30" t="s">
        <v>19</v>
      </c>
      <c r="G7" s="30" t="s">
        <v>19</v>
      </c>
      <c r="H7" s="31" t="s">
        <v>20</v>
      </c>
      <c r="I7" s="134" t="s">
        <v>19</v>
      </c>
      <c r="J7" s="134" t="s">
        <v>19</v>
      </c>
      <c r="K7" s="134" t="s">
        <v>19</v>
      </c>
      <c r="L7" s="134" t="s">
        <v>19</v>
      </c>
      <c r="M7" s="134" t="s">
        <v>19</v>
      </c>
      <c r="N7" s="135" t="s">
        <v>20</v>
      </c>
      <c r="O7" s="29" t="s">
        <v>19</v>
      </c>
      <c r="P7" s="30" t="s">
        <v>19</v>
      </c>
      <c r="Q7" s="30" t="s">
        <v>19</v>
      </c>
      <c r="R7" s="30" t="s">
        <v>19</v>
      </c>
      <c r="S7" s="30" t="s">
        <v>19</v>
      </c>
      <c r="T7" s="31" t="s">
        <v>20</v>
      </c>
      <c r="U7" s="32" t="s">
        <v>21</v>
      </c>
      <c r="V7" s="32" t="s">
        <v>21</v>
      </c>
      <c r="W7" s="32" t="s">
        <v>21</v>
      </c>
      <c r="X7" s="32" t="s">
        <v>21</v>
      </c>
      <c r="Y7" s="32" t="s">
        <v>21</v>
      </c>
      <c r="Z7" s="33" t="s">
        <v>20</v>
      </c>
      <c r="AA7" s="29" t="s">
        <v>19</v>
      </c>
      <c r="AB7" s="30" t="s">
        <v>19</v>
      </c>
      <c r="AC7" s="30" t="s">
        <v>19</v>
      </c>
      <c r="AD7" s="31" t="s">
        <v>20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394">
        <v>9300</v>
      </c>
      <c r="C56" s="395">
        <v>4646</v>
      </c>
      <c r="D56" s="396">
        <v>2984.6881720430101</v>
      </c>
      <c r="E56" s="396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397">
        <v>5263.5376344085998</v>
      </c>
      <c r="J56" s="397">
        <v>1887.23655913978</v>
      </c>
      <c r="K56" s="397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395">
        <v>5251.6236559139797</v>
      </c>
      <c r="P56" s="396">
        <v>569.09677419354796</v>
      </c>
      <c r="Q56" s="396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10" t="s">
        <v>49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64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43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43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46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47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42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3</v>
      </c>
      <c r="B6" s="128" t="s">
        <v>4</v>
      </c>
      <c r="C6" s="403" t="s">
        <v>5</v>
      </c>
      <c r="D6" s="404"/>
      <c r="E6" s="404"/>
      <c r="F6" s="404"/>
      <c r="G6" s="404"/>
      <c r="H6" s="16"/>
      <c r="I6" s="159" t="s">
        <v>6</v>
      </c>
      <c r="J6" s="132"/>
      <c r="K6" s="132"/>
      <c r="L6" s="132"/>
      <c r="M6" s="132"/>
      <c r="N6" s="160"/>
      <c r="O6" s="17" t="s">
        <v>7</v>
      </c>
      <c r="P6" s="18"/>
      <c r="Q6" s="18"/>
      <c r="R6" s="18"/>
      <c r="S6" s="18"/>
      <c r="T6" s="16"/>
      <c r="U6" s="405" t="s">
        <v>8</v>
      </c>
      <c r="V6" s="406"/>
      <c r="W6" s="406"/>
      <c r="X6" s="406"/>
      <c r="Y6" s="406"/>
      <c r="Z6" s="421"/>
      <c r="AA6" s="407" t="s">
        <v>9</v>
      </c>
      <c r="AB6" s="408"/>
      <c r="AC6" s="408"/>
      <c r="AD6" s="409"/>
      <c r="AE6" s="412" t="s">
        <v>24</v>
      </c>
      <c r="AF6" s="413"/>
      <c r="AG6" s="413"/>
      <c r="AH6" s="413"/>
      <c r="AI6" s="413"/>
      <c r="AJ6" s="414"/>
      <c r="AK6" s="415" t="s">
        <v>25</v>
      </c>
      <c r="AL6" s="416"/>
      <c r="AM6" s="416"/>
      <c r="AN6" s="416"/>
      <c r="AO6" s="416"/>
      <c r="AP6" s="417"/>
      <c r="AQ6" s="418" t="s">
        <v>39</v>
      </c>
      <c r="AR6" s="419"/>
      <c r="AS6" s="419"/>
      <c r="AT6" s="419"/>
      <c r="AU6" s="419"/>
      <c r="AV6" s="420"/>
    </row>
    <row r="7" spans="1:48" x14ac:dyDescent="0.2">
      <c r="A7" s="131" t="s">
        <v>10</v>
      </c>
      <c r="B7" s="129"/>
      <c r="C7" s="23" t="s">
        <v>11</v>
      </c>
      <c r="D7" s="24" t="s">
        <v>12</v>
      </c>
      <c r="E7" s="24" t="s">
        <v>13</v>
      </c>
      <c r="F7" s="24" t="s">
        <v>14</v>
      </c>
      <c r="G7" s="24" t="s">
        <v>15</v>
      </c>
      <c r="H7" s="25" t="s">
        <v>16</v>
      </c>
      <c r="I7" s="146" t="s">
        <v>11</v>
      </c>
      <c r="J7" s="133" t="s">
        <v>12</v>
      </c>
      <c r="K7" s="133" t="s">
        <v>13</v>
      </c>
      <c r="L7" s="133" t="s">
        <v>14</v>
      </c>
      <c r="M7" s="133" t="s">
        <v>15</v>
      </c>
      <c r="N7" s="147" t="s">
        <v>16</v>
      </c>
      <c r="O7" s="23" t="s">
        <v>11</v>
      </c>
      <c r="P7" s="24" t="s">
        <v>12</v>
      </c>
      <c r="Q7" s="24" t="s">
        <v>13</v>
      </c>
      <c r="R7" s="24" t="s">
        <v>14</v>
      </c>
      <c r="S7" s="24" t="s">
        <v>15</v>
      </c>
      <c r="T7" s="25" t="s">
        <v>16</v>
      </c>
      <c r="U7" s="124" t="s">
        <v>11</v>
      </c>
      <c r="V7" s="26" t="s">
        <v>12</v>
      </c>
      <c r="W7" s="26" t="s">
        <v>13</v>
      </c>
      <c r="X7" s="26" t="s">
        <v>14</v>
      </c>
      <c r="Y7" s="26" t="s">
        <v>15</v>
      </c>
      <c r="Z7" s="125" t="s">
        <v>16</v>
      </c>
      <c r="AA7" s="23" t="s">
        <v>11</v>
      </c>
      <c r="AB7" s="24" t="s">
        <v>12</v>
      </c>
      <c r="AC7" s="24" t="s">
        <v>17</v>
      </c>
      <c r="AD7" s="25" t="s">
        <v>16</v>
      </c>
      <c r="AE7" s="89" t="s">
        <v>11</v>
      </c>
      <c r="AF7" s="90" t="s">
        <v>12</v>
      </c>
      <c r="AG7" s="90" t="s">
        <v>13</v>
      </c>
      <c r="AH7" s="90" t="s">
        <v>14</v>
      </c>
      <c r="AI7" s="90" t="s">
        <v>15</v>
      </c>
      <c r="AJ7" s="91" t="s">
        <v>16</v>
      </c>
      <c r="AK7" s="92" t="s">
        <v>11</v>
      </c>
      <c r="AL7" s="93" t="s">
        <v>12</v>
      </c>
      <c r="AM7" s="93" t="s">
        <v>13</v>
      </c>
      <c r="AN7" s="93" t="s">
        <v>14</v>
      </c>
      <c r="AO7" s="93" t="s">
        <v>15</v>
      </c>
      <c r="AP7" s="94" t="s">
        <v>16</v>
      </c>
      <c r="AQ7" s="146" t="s">
        <v>11</v>
      </c>
      <c r="AR7" s="133" t="s">
        <v>12</v>
      </c>
      <c r="AS7" s="133" t="s">
        <v>13</v>
      </c>
      <c r="AT7" s="133" t="s">
        <v>14</v>
      </c>
      <c r="AU7" s="133" t="s">
        <v>15</v>
      </c>
      <c r="AV7" s="147" t="s">
        <v>16</v>
      </c>
    </row>
    <row r="8" spans="1:48" ht="15" thickBot="1" x14ac:dyDescent="0.25">
      <c r="A8" s="161"/>
      <c r="B8" s="162" t="s">
        <v>41</v>
      </c>
      <c r="C8" s="29" t="s">
        <v>22</v>
      </c>
      <c r="D8" s="30" t="s">
        <v>22</v>
      </c>
      <c r="E8" s="30" t="s">
        <v>22</v>
      </c>
      <c r="F8" s="30" t="s">
        <v>22</v>
      </c>
      <c r="G8" s="30" t="s">
        <v>22</v>
      </c>
      <c r="H8" s="31" t="s">
        <v>20</v>
      </c>
      <c r="I8" s="163" t="s">
        <v>22</v>
      </c>
      <c r="J8" s="134" t="s">
        <v>22</v>
      </c>
      <c r="K8" s="134" t="s">
        <v>22</v>
      </c>
      <c r="L8" s="134" t="s">
        <v>22</v>
      </c>
      <c r="M8" s="134" t="s">
        <v>22</v>
      </c>
      <c r="N8" s="164" t="s">
        <v>20</v>
      </c>
      <c r="O8" s="29" t="s">
        <v>22</v>
      </c>
      <c r="P8" s="30" t="s">
        <v>22</v>
      </c>
      <c r="Q8" s="30" t="s">
        <v>22</v>
      </c>
      <c r="R8" s="30" t="s">
        <v>22</v>
      </c>
      <c r="S8" s="30" t="s">
        <v>22</v>
      </c>
      <c r="T8" s="31" t="s">
        <v>20</v>
      </c>
      <c r="U8" s="165" t="s">
        <v>23</v>
      </c>
      <c r="V8" s="32" t="s">
        <v>23</v>
      </c>
      <c r="W8" s="32" t="s">
        <v>23</v>
      </c>
      <c r="X8" s="32" t="s">
        <v>23</v>
      </c>
      <c r="Y8" s="32" t="s">
        <v>23</v>
      </c>
      <c r="Z8" s="166" t="s">
        <v>20</v>
      </c>
      <c r="AA8" s="29" t="s">
        <v>22</v>
      </c>
      <c r="AB8" s="30" t="s">
        <v>22</v>
      </c>
      <c r="AC8" s="30" t="s">
        <v>22</v>
      </c>
      <c r="AD8" s="31" t="s">
        <v>20</v>
      </c>
      <c r="AE8" s="95" t="s">
        <v>19</v>
      </c>
      <c r="AF8" s="96" t="s">
        <v>19</v>
      </c>
      <c r="AG8" s="96" t="s">
        <v>19</v>
      </c>
      <c r="AH8" s="96" t="s">
        <v>19</v>
      </c>
      <c r="AI8" s="96" t="s">
        <v>19</v>
      </c>
      <c r="AJ8" s="97" t="s">
        <v>20</v>
      </c>
      <c r="AK8" s="98" t="s">
        <v>19</v>
      </c>
      <c r="AL8" s="99" t="s">
        <v>19</v>
      </c>
      <c r="AM8" s="99" t="s">
        <v>19</v>
      </c>
      <c r="AN8" s="99" t="s">
        <v>19</v>
      </c>
      <c r="AO8" s="99" t="s">
        <v>19</v>
      </c>
      <c r="AP8" s="100" t="s">
        <v>20</v>
      </c>
      <c r="AQ8" s="163" t="s">
        <v>22</v>
      </c>
      <c r="AR8" s="134" t="s">
        <v>22</v>
      </c>
      <c r="AS8" s="134" t="s">
        <v>22</v>
      </c>
      <c r="AT8" s="134" t="s">
        <v>22</v>
      </c>
      <c r="AU8" s="134" t="s">
        <v>22</v>
      </c>
      <c r="AV8" s="164" t="s">
        <v>20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11" t="s">
        <v>50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 x14ac:dyDescent="0.2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5"/>
  <sheetViews>
    <sheetView tabSelected="1" workbookViewId="0">
      <pane xSplit="2" ySplit="7" topLeftCell="C202" activePane="bottomRight" state="frozen"/>
      <selection pane="topRight" activeCell="C1" sqref="C1"/>
      <selection pane="bottomLeft" activeCell="A8" sqref="A8"/>
      <selection pane="bottomRight" activeCell="N223" sqref="N223"/>
    </sheetView>
  </sheetViews>
  <sheetFormatPr defaultColWidth="14" defaultRowHeight="14.25" x14ac:dyDescent="0.2"/>
  <cols>
    <col min="1" max="1" width="14" style="268"/>
    <col min="2" max="2" width="18.14062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 x14ac:dyDescent="0.2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 x14ac:dyDescent="0.25">
      <c r="A2" s="339"/>
      <c r="B2" s="313"/>
      <c r="C2" s="340"/>
      <c r="D2" s="345" t="s">
        <v>43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 x14ac:dyDescent="0.3">
      <c r="A3" s="339"/>
      <c r="B3" s="313"/>
      <c r="C3" s="346" t="s">
        <v>45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 x14ac:dyDescent="0.35">
      <c r="A4" s="347" t="s">
        <v>42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 x14ac:dyDescent="0.25">
      <c r="A5" s="360" t="s">
        <v>3</v>
      </c>
      <c r="B5" s="361" t="s">
        <v>4</v>
      </c>
      <c r="C5" s="425" t="s">
        <v>9</v>
      </c>
      <c r="D5" s="426"/>
      <c r="E5" s="426"/>
      <c r="F5" s="427"/>
      <c r="G5" s="422" t="s">
        <v>25</v>
      </c>
      <c r="H5" s="423"/>
      <c r="I5" s="423"/>
      <c r="J5" s="423"/>
      <c r="K5" s="423"/>
      <c r="L5" s="424"/>
    </row>
    <row r="6" spans="1:27" x14ac:dyDescent="0.2">
      <c r="A6" s="362" t="s">
        <v>10</v>
      </c>
      <c r="B6" s="363"/>
      <c r="C6" s="364" t="s">
        <v>11</v>
      </c>
      <c r="D6" s="365" t="s">
        <v>12</v>
      </c>
      <c r="E6" s="365" t="s">
        <v>17</v>
      </c>
      <c r="F6" s="366" t="s">
        <v>16</v>
      </c>
      <c r="G6" s="367" t="s">
        <v>11</v>
      </c>
      <c r="H6" s="368" t="s">
        <v>12</v>
      </c>
      <c r="I6" s="368" t="s">
        <v>13</v>
      </c>
      <c r="J6" s="368" t="s">
        <v>14</v>
      </c>
      <c r="K6" s="368" t="s">
        <v>15</v>
      </c>
      <c r="L6" s="369" t="s">
        <v>16</v>
      </c>
    </row>
    <row r="7" spans="1:27" ht="15" thickBot="1" x14ac:dyDescent="0.25">
      <c r="A7" s="370"/>
      <c r="B7" s="371" t="s">
        <v>41</v>
      </c>
      <c r="C7" s="372" t="s">
        <v>22</v>
      </c>
      <c r="D7" s="373" t="s">
        <v>22</v>
      </c>
      <c r="E7" s="373" t="s">
        <v>22</v>
      </c>
      <c r="F7" s="374" t="s">
        <v>20</v>
      </c>
      <c r="G7" s="375" t="s">
        <v>19</v>
      </c>
      <c r="H7" s="376" t="s">
        <v>19</v>
      </c>
      <c r="I7" s="376" t="s">
        <v>19</v>
      </c>
      <c r="J7" s="376" t="s">
        <v>19</v>
      </c>
      <c r="K7" s="376" t="s">
        <v>19</v>
      </c>
      <c r="L7" s="377" t="s">
        <v>20</v>
      </c>
    </row>
    <row r="8" spans="1:27" ht="15" x14ac:dyDescent="0.2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 x14ac:dyDescent="0.2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 x14ac:dyDescent="0.2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 x14ac:dyDescent="0.2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 x14ac:dyDescent="0.2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 x14ac:dyDescent="0.2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 x14ac:dyDescent="0.2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 x14ac:dyDescent="0.2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 x14ac:dyDescent="0.2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 x14ac:dyDescent="0.2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 x14ac:dyDescent="0.2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 x14ac:dyDescent="0.2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 x14ac:dyDescent="0.2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 x14ac:dyDescent="0.2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 x14ac:dyDescent="0.2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 x14ac:dyDescent="0.2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 x14ac:dyDescent="0.2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 x14ac:dyDescent="0.2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 x14ac:dyDescent="0.2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 x14ac:dyDescent="0.2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 x14ac:dyDescent="0.2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 x14ac:dyDescent="0.2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 x14ac:dyDescent="0.2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 x14ac:dyDescent="0.2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 x14ac:dyDescent="0.2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 x14ac:dyDescent="0.2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 x14ac:dyDescent="0.2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 x14ac:dyDescent="0.2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 x14ac:dyDescent="0.2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 x14ac:dyDescent="0.2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 x14ac:dyDescent="0.2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 x14ac:dyDescent="0.2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 x14ac:dyDescent="0.2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 x14ac:dyDescent="0.2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 x14ac:dyDescent="0.2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 x14ac:dyDescent="0.2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 x14ac:dyDescent="0.2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 x14ac:dyDescent="0.2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 x14ac:dyDescent="0.2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 x14ac:dyDescent="0.2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 x14ac:dyDescent="0.2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 x14ac:dyDescent="0.2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 x14ac:dyDescent="0.2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 x14ac:dyDescent="0.2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 x14ac:dyDescent="0.2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 x14ac:dyDescent="0.2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 x14ac:dyDescent="0.2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 x14ac:dyDescent="0.2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 x14ac:dyDescent="0.2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 x14ac:dyDescent="0.2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 x14ac:dyDescent="0.2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 x14ac:dyDescent="0.2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 x14ac:dyDescent="0.2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 x14ac:dyDescent="0.2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 x14ac:dyDescent="0.2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 x14ac:dyDescent="0.2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 x14ac:dyDescent="0.2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 x14ac:dyDescent="0.2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 x14ac:dyDescent="0.2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 x14ac:dyDescent="0.2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 x14ac:dyDescent="0.2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 x14ac:dyDescent="0.2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 x14ac:dyDescent="0.2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 x14ac:dyDescent="0.2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 x14ac:dyDescent="0.2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 x14ac:dyDescent="0.2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 x14ac:dyDescent="0.2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 x14ac:dyDescent="0.2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 x14ac:dyDescent="0.2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 x14ac:dyDescent="0.2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 x14ac:dyDescent="0.2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 x14ac:dyDescent="0.2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 x14ac:dyDescent="0.2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 x14ac:dyDescent="0.2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 x14ac:dyDescent="0.2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 x14ac:dyDescent="0.2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 x14ac:dyDescent="0.2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 x14ac:dyDescent="0.2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 x14ac:dyDescent="0.2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 x14ac:dyDescent="0.2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 x14ac:dyDescent="0.2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 x14ac:dyDescent="0.2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 x14ac:dyDescent="0.2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 x14ac:dyDescent="0.2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 x14ac:dyDescent="0.2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 x14ac:dyDescent="0.2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 x14ac:dyDescent="0.2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 x14ac:dyDescent="0.2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 x14ac:dyDescent="0.2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 x14ac:dyDescent="0.2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 x14ac:dyDescent="0.2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 x14ac:dyDescent="0.2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 x14ac:dyDescent="0.2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 x14ac:dyDescent="0.2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 x14ac:dyDescent="0.2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 x14ac:dyDescent="0.2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 x14ac:dyDescent="0.2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 x14ac:dyDescent="0.2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 x14ac:dyDescent="0.2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 x14ac:dyDescent="0.2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 x14ac:dyDescent="0.2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 x14ac:dyDescent="0.2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 x14ac:dyDescent="0.2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 x14ac:dyDescent="0.2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 x14ac:dyDescent="0.2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 x14ac:dyDescent="0.2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 x14ac:dyDescent="0.2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 x14ac:dyDescent="0.2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 x14ac:dyDescent="0.2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 x14ac:dyDescent="0.2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 x14ac:dyDescent="0.2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 x14ac:dyDescent="0.2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 x14ac:dyDescent="0.2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 x14ac:dyDescent="0.2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 x14ac:dyDescent="0.2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 x14ac:dyDescent="0.2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 x14ac:dyDescent="0.2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 x14ac:dyDescent="0.2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 x14ac:dyDescent="0.2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 x14ac:dyDescent="0.2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 x14ac:dyDescent="0.2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 x14ac:dyDescent="0.2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 x14ac:dyDescent="0.2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 x14ac:dyDescent="0.2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 x14ac:dyDescent="0.2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 x14ac:dyDescent="0.2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 x14ac:dyDescent="0.2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 x14ac:dyDescent="0.2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 x14ac:dyDescent="0.2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 x14ac:dyDescent="0.2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 x14ac:dyDescent="0.2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 x14ac:dyDescent="0.2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 x14ac:dyDescent="0.2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 x14ac:dyDescent="0.2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 x14ac:dyDescent="0.2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 x14ac:dyDescent="0.2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 x14ac:dyDescent="0.2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 x14ac:dyDescent="0.2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 x14ac:dyDescent="0.2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 x14ac:dyDescent="0.2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 x14ac:dyDescent="0.2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 x14ac:dyDescent="0.2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 x14ac:dyDescent="0.2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 x14ac:dyDescent="0.2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 x14ac:dyDescent="0.2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 x14ac:dyDescent="0.2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 x14ac:dyDescent="0.2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 x14ac:dyDescent="0.2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 x14ac:dyDescent="0.2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 x14ac:dyDescent="0.2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 x14ac:dyDescent="0.2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 x14ac:dyDescent="0.2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 x14ac:dyDescent="0.2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25" si="77">K160/K159-1</f>
        <v>0</v>
      </c>
    </row>
    <row r="161" spans="1:15" ht="15" x14ac:dyDescent="0.2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 x14ac:dyDescent="0.2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 x14ac:dyDescent="0.2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 x14ac:dyDescent="0.2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 x14ac:dyDescent="0.2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 x14ac:dyDescent="0.2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 x14ac:dyDescent="0.2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25" si="79">C167+D167</f>
        <v>141</v>
      </c>
      <c r="F167" s="380">
        <f t="shared" ref="F167:F225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25" si="81">H167+I167</f>
        <v>73.454999999999998</v>
      </c>
      <c r="K167" s="383">
        <f t="shared" ref="K167:K225" si="82">G167+J167</f>
        <v>156.999503</v>
      </c>
      <c r="L167" s="384">
        <f>K167/K166-1</f>
        <v>-1.9108337079298821E-7</v>
      </c>
    </row>
    <row r="168" spans="1:15" ht="15" x14ac:dyDescent="0.2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 x14ac:dyDescent="0.2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 x14ac:dyDescent="0.2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 x14ac:dyDescent="0.2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 x14ac:dyDescent="0.2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 x14ac:dyDescent="0.2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 x14ac:dyDescent="0.2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 x14ac:dyDescent="0.2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 x14ac:dyDescent="0.2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 x14ac:dyDescent="0.2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 x14ac:dyDescent="0.2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 x14ac:dyDescent="0.2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 x14ac:dyDescent="0.2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 x14ac:dyDescent="0.2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 x14ac:dyDescent="0.2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 x14ac:dyDescent="0.2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 x14ac:dyDescent="0.2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 x14ac:dyDescent="0.2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 x14ac:dyDescent="0.2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 x14ac:dyDescent="0.2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 x14ac:dyDescent="0.2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 x14ac:dyDescent="0.2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 x14ac:dyDescent="0.2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 x14ac:dyDescent="0.2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 x14ac:dyDescent="0.2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 x14ac:dyDescent="0.2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 x14ac:dyDescent="0.2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 x14ac:dyDescent="0.2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 x14ac:dyDescent="0.2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 x14ac:dyDescent="0.2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 x14ac:dyDescent="0.2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 x14ac:dyDescent="0.2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 x14ac:dyDescent="0.2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 x14ac:dyDescent="0.2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 x14ac:dyDescent="0.2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 x14ac:dyDescent="0.2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 x14ac:dyDescent="0.2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 x14ac:dyDescent="0.2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 x14ac:dyDescent="0.2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 x14ac:dyDescent="0.25">
      <c r="A207" s="326">
        <v>45154</v>
      </c>
      <c r="B207" s="332">
        <f>(12.004)*100</f>
        <v>1200.3999999999999</v>
      </c>
      <c r="C207" s="378">
        <v>784.59190000000001</v>
      </c>
      <c r="D207" s="378">
        <f t="shared" ref="D207:D212" si="88"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 x14ac:dyDescent="0.25">
      <c r="A208" s="326">
        <v>45170</v>
      </c>
      <c r="B208" s="332">
        <f>(12.2637*100)</f>
        <v>1226.3699999999999</v>
      </c>
      <c r="C208" s="378">
        <v>803.91139999999996</v>
      </c>
      <c r="D208" s="378">
        <f t="shared" si="88"/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  <row r="209" spans="1:12" ht="15" x14ac:dyDescent="0.25">
      <c r="A209" s="326">
        <v>45185</v>
      </c>
      <c r="B209" s="332">
        <f>12.302*100</f>
        <v>1230.2</v>
      </c>
      <c r="C209" s="378">
        <v>812.39580000000001</v>
      </c>
      <c r="D209" s="378">
        <f t="shared" si="88"/>
        <v>5</v>
      </c>
      <c r="E209" s="379">
        <f t="shared" si="79"/>
        <v>817.39580000000001</v>
      </c>
      <c r="F209" s="380">
        <f t="shared" si="80"/>
        <v>1.0488664147890736E-2</v>
      </c>
      <c r="G209" s="381">
        <f>(790.954+72.6132+1.5594-579.2219)</f>
        <v>285.90469999999993</v>
      </c>
      <c r="H209" s="393"/>
      <c r="I209" s="321">
        <f>9+68+27.155+19+72.3</f>
        <v>195.45499999999998</v>
      </c>
      <c r="J209" s="385">
        <f t="shared" si="81"/>
        <v>195.45499999999998</v>
      </c>
      <c r="K209" s="383">
        <f t="shared" si="82"/>
        <v>481.35969999999992</v>
      </c>
      <c r="L209" s="384">
        <f t="shared" si="77"/>
        <v>-8.3097872061177469E-7</v>
      </c>
    </row>
    <row r="210" spans="1:12" ht="15" x14ac:dyDescent="0.25">
      <c r="A210" s="326">
        <v>45200</v>
      </c>
      <c r="B210" s="332">
        <f>12.3048*100</f>
        <v>1230.48</v>
      </c>
      <c r="C210" s="378">
        <v>839.42600000000004</v>
      </c>
      <c r="D210" s="378">
        <f t="shared" si="88"/>
        <v>5</v>
      </c>
      <c r="E210" s="379">
        <f t="shared" si="79"/>
        <v>844.42600000000004</v>
      </c>
      <c r="F210" s="380">
        <f t="shared" si="80"/>
        <v>3.3068679824388658E-2</v>
      </c>
      <c r="G210" s="381">
        <f>(795.41+72.6133+1.5594-532.5181)</f>
        <v>337.06459999999993</v>
      </c>
      <c r="H210" s="393"/>
      <c r="I210" s="321">
        <f>9+68+27.155+19+72.3</f>
        <v>195.45499999999998</v>
      </c>
      <c r="J210" s="385">
        <f t="shared" si="81"/>
        <v>195.45499999999998</v>
      </c>
      <c r="K210" s="383">
        <f t="shared" si="82"/>
        <v>532.51959999999985</v>
      </c>
      <c r="L210" s="384">
        <f t="shared" si="77"/>
        <v>0.10628205892599629</v>
      </c>
    </row>
    <row r="211" spans="1:12" ht="15" x14ac:dyDescent="0.25">
      <c r="A211" s="326">
        <v>45215</v>
      </c>
      <c r="B211" s="332">
        <f>12.0935*100</f>
        <v>1209.3500000000001</v>
      </c>
      <c r="C211" s="378">
        <v>773.44759999999997</v>
      </c>
      <c r="D211" s="378">
        <f t="shared" si="88"/>
        <v>5</v>
      </c>
      <c r="E211" s="379">
        <f t="shared" si="79"/>
        <v>778.44759999999997</v>
      </c>
      <c r="F211" s="380">
        <f t="shared" si="80"/>
        <v>-7.8134022401015635E-2</v>
      </c>
      <c r="G211" s="381">
        <f>(694.4746+72.6055+1.5594-431.5769)</f>
        <v>337.06259999999997</v>
      </c>
      <c r="H211" s="393"/>
      <c r="I211" s="321">
        <f>9+68+27.155+19+72.3</f>
        <v>195.45499999999998</v>
      </c>
      <c r="J211" s="385">
        <f t="shared" si="81"/>
        <v>195.45499999999998</v>
      </c>
      <c r="K211" s="383">
        <f t="shared" si="82"/>
        <v>532.5175999999999</v>
      </c>
      <c r="L211" s="384">
        <f t="shared" si="77"/>
        <v>-3.7557303054214231E-6</v>
      </c>
    </row>
    <row r="212" spans="1:12" ht="15" x14ac:dyDescent="0.25">
      <c r="A212" s="326">
        <v>45231</v>
      </c>
      <c r="B212" s="332">
        <f>12.7004*100</f>
        <v>1270.04</v>
      </c>
      <c r="C212" s="378">
        <v>822.39059999999995</v>
      </c>
      <c r="D212" s="378">
        <f t="shared" si="88"/>
        <v>5</v>
      </c>
      <c r="E212" s="379">
        <f t="shared" si="79"/>
        <v>827.39059999999995</v>
      </c>
      <c r="F212" s="380">
        <f t="shared" si="80"/>
        <v>6.2872568429782616E-2</v>
      </c>
      <c r="G212" s="381">
        <f>(729.2463+72.6279+1.5594-466.3691)</f>
        <v>337.06449999999995</v>
      </c>
      <c r="H212" s="393"/>
      <c r="I212" s="321">
        <f>9+68+27.155+19+72.3</f>
        <v>195.45499999999998</v>
      </c>
      <c r="J212" s="385">
        <f t="shared" si="81"/>
        <v>195.45499999999998</v>
      </c>
      <c r="K212" s="383">
        <f t="shared" si="82"/>
        <v>532.51949999999988</v>
      </c>
      <c r="L212" s="384">
        <f t="shared" si="77"/>
        <v>3.567957190586668E-6</v>
      </c>
    </row>
    <row r="213" spans="1:12" ht="15" x14ac:dyDescent="0.25">
      <c r="A213" s="326">
        <v>45246</v>
      </c>
      <c r="B213" s="332">
        <f>12.7761*100</f>
        <v>1277.6099999999999</v>
      </c>
      <c r="C213" s="378">
        <f>792.6427</f>
        <v>792.64269999999999</v>
      </c>
      <c r="D213" s="378">
        <f t="shared" ref="D213:D218" si="89">4+1</f>
        <v>5</v>
      </c>
      <c r="E213" s="379">
        <f t="shared" si="79"/>
        <v>797.64269999999999</v>
      </c>
      <c r="F213" s="380">
        <f t="shared" si="80"/>
        <v>-3.5953877165150194E-2</v>
      </c>
      <c r="G213" s="381">
        <f>(722.3418+72.6307+1.5594-459.4674)</f>
        <v>337.06450000000007</v>
      </c>
      <c r="H213" s="393"/>
      <c r="I213" s="321">
        <f>9+68+27.1555+19+72.3</f>
        <v>195.4555</v>
      </c>
      <c r="J213" s="385">
        <f t="shared" si="81"/>
        <v>195.4555</v>
      </c>
      <c r="K213" s="383">
        <f t="shared" si="82"/>
        <v>532.5200000000001</v>
      </c>
      <c r="L213" s="384">
        <f t="shared" si="77"/>
        <v>9.3893275310286128E-7</v>
      </c>
    </row>
    <row r="214" spans="1:12" ht="15" x14ac:dyDescent="0.25">
      <c r="A214" s="326">
        <v>45261</v>
      </c>
      <c r="B214" s="332">
        <f>12.8507*100</f>
        <v>1285.07</v>
      </c>
      <c r="C214" s="378">
        <v>770.53710000000001</v>
      </c>
      <c r="D214" s="378">
        <f t="shared" si="89"/>
        <v>5</v>
      </c>
      <c r="E214" s="379">
        <f t="shared" si="79"/>
        <v>775.53710000000001</v>
      </c>
      <c r="F214" s="380">
        <f t="shared" si="80"/>
        <v>-2.7713661768608899E-2</v>
      </c>
      <c r="G214" s="381">
        <f>(703.6678+72.6335+1.5594-440.7961)</f>
        <v>337.06460000000004</v>
      </c>
      <c r="H214" s="393"/>
      <c r="I214" s="321">
        <f>9+68+27.1555+19+72.3</f>
        <v>195.4555</v>
      </c>
      <c r="J214" s="385">
        <f t="shared" si="81"/>
        <v>195.4555</v>
      </c>
      <c r="K214" s="383">
        <f t="shared" si="82"/>
        <v>532.52010000000007</v>
      </c>
      <c r="L214" s="384">
        <f t="shared" si="77"/>
        <v>1.877863742283381E-7</v>
      </c>
    </row>
    <row r="215" spans="1:12" ht="15" x14ac:dyDescent="0.25">
      <c r="A215" s="326">
        <v>45276</v>
      </c>
      <c r="B215" s="332">
        <f>12.8731*100</f>
        <v>1287.3100000000002</v>
      </c>
      <c r="C215" s="378">
        <v>745.14210000000003</v>
      </c>
      <c r="D215" s="378">
        <f t="shared" si="89"/>
        <v>5</v>
      </c>
      <c r="E215" s="379">
        <f t="shared" si="79"/>
        <v>750.14210000000003</v>
      </c>
      <c r="F215" s="380">
        <f t="shared" si="80"/>
        <v>-3.2745048560539503E-2</v>
      </c>
      <c r="G215" s="381">
        <f>(680.1297+72.6343+1.5594-417.2788)</f>
        <v>337.04459999999989</v>
      </c>
      <c r="H215" s="393"/>
      <c r="I215" s="321">
        <f>9+68+27.155+19+72.3</f>
        <v>195.45499999999998</v>
      </c>
      <c r="J215" s="385">
        <f t="shared" si="81"/>
        <v>195.45499999999998</v>
      </c>
      <c r="K215" s="383">
        <f t="shared" si="82"/>
        <v>532.49959999999987</v>
      </c>
      <c r="L215" s="384">
        <f t="shared" si="77"/>
        <v>-3.8496199486592886E-5</v>
      </c>
    </row>
    <row r="216" spans="1:12" ht="15" x14ac:dyDescent="0.25">
      <c r="A216" s="326">
        <v>45292</v>
      </c>
      <c r="B216" s="332">
        <f>12.8205*100</f>
        <v>1282.05</v>
      </c>
      <c r="C216" s="378">
        <v>746.77779999999996</v>
      </c>
      <c r="D216" s="378">
        <f t="shared" si="89"/>
        <v>5</v>
      </c>
      <c r="E216" s="379">
        <f t="shared" si="79"/>
        <v>751.77779999999996</v>
      </c>
      <c r="F216" s="380">
        <f t="shared" si="80"/>
        <v>2.1805201974398614E-3</v>
      </c>
      <c r="G216" s="381">
        <f>(667.5385+72.6323+1.5594-404.6857)</f>
        <v>337.04449999999997</v>
      </c>
      <c r="H216" s="393"/>
      <c r="I216" s="321">
        <f>9+68+27.155+19+72.3</f>
        <v>195.45499999999998</v>
      </c>
      <c r="J216" s="385">
        <f t="shared" si="81"/>
        <v>195.45499999999998</v>
      </c>
      <c r="K216" s="383">
        <f t="shared" si="82"/>
        <v>532.4994999999999</v>
      </c>
      <c r="L216" s="384">
        <f t="shared" si="77"/>
        <v>-1.8779356825149307E-7</v>
      </c>
    </row>
    <row r="217" spans="1:12" ht="15" x14ac:dyDescent="0.25">
      <c r="A217" s="326">
        <v>45307</v>
      </c>
      <c r="B217" s="332">
        <f>12.855*100</f>
        <v>1285.5</v>
      </c>
      <c r="C217" s="378">
        <v>757.12139999999999</v>
      </c>
      <c r="D217" s="378">
        <f t="shared" si="89"/>
        <v>5</v>
      </c>
      <c r="E217" s="379">
        <f t="shared" si="79"/>
        <v>762.12139999999999</v>
      </c>
      <c r="F217" s="380">
        <f t="shared" si="80"/>
        <v>1.375885268226873E-2</v>
      </c>
      <c r="G217" s="381">
        <f>(687.0636+72.6336+1.5594-424.2121)</f>
        <v>337.04449999999991</v>
      </c>
      <c r="H217" s="393"/>
      <c r="I217" s="321">
        <f>9+68+27.155+19+72.3</f>
        <v>195.45499999999998</v>
      </c>
      <c r="J217" s="385">
        <f t="shared" si="81"/>
        <v>195.45499999999998</v>
      </c>
      <c r="K217" s="383">
        <f t="shared" si="82"/>
        <v>532.4994999999999</v>
      </c>
      <c r="L217" s="384">
        <f t="shared" si="77"/>
        <v>0</v>
      </c>
    </row>
    <row r="218" spans="1:12" ht="15" x14ac:dyDescent="0.25">
      <c r="A218" s="326">
        <v>45323</v>
      </c>
      <c r="B218" s="332">
        <f>12.6444*100</f>
        <v>1264.4399999999998</v>
      </c>
      <c r="C218" s="378">
        <v>750.3279</v>
      </c>
      <c r="D218" s="378">
        <f t="shared" si="89"/>
        <v>5</v>
      </c>
      <c r="E218" s="379">
        <f t="shared" si="79"/>
        <v>755.3279</v>
      </c>
      <c r="F218" s="380">
        <f t="shared" si="80"/>
        <v>-8.9139341842389141E-3</v>
      </c>
      <c r="G218" s="381">
        <f>(720.5704+72.6258+1.5594-457.7112)</f>
        <v>337.04439999999994</v>
      </c>
      <c r="H218" s="393"/>
      <c r="I218" s="321">
        <f>9+68+27.155+19+72.3</f>
        <v>195.45499999999998</v>
      </c>
      <c r="J218" s="385">
        <f t="shared" si="81"/>
        <v>195.45499999999998</v>
      </c>
      <c r="K218" s="383">
        <f t="shared" si="82"/>
        <v>532.49939999999992</v>
      </c>
      <c r="L218" s="384">
        <f t="shared" si="77"/>
        <v>-1.8779360355658525E-7</v>
      </c>
    </row>
    <row r="219" spans="1:12" ht="15" x14ac:dyDescent="0.25">
      <c r="A219" s="326">
        <v>45338</v>
      </c>
      <c r="B219" s="332">
        <f>12.797*100</f>
        <v>1279.7</v>
      </c>
      <c r="C219" s="378">
        <f>741.256</f>
        <v>741.25599999999997</v>
      </c>
      <c r="D219" s="378">
        <f t="shared" ref="D219:D224" si="90">4+1</f>
        <v>5</v>
      </c>
      <c r="E219" s="379">
        <f t="shared" si="79"/>
        <v>746.25599999999997</v>
      </c>
      <c r="F219" s="380">
        <f t="shared" si="80"/>
        <v>-1.2010545353878799E-2</v>
      </c>
      <c r="G219" s="381">
        <f>(739.07+72.63+1.5594-476.2197)</f>
        <v>337.03970000000004</v>
      </c>
      <c r="H219" s="393"/>
      <c r="I219" s="321">
        <f>9+68+27.155+19+72.3</f>
        <v>195.45499999999998</v>
      </c>
      <c r="J219" s="385">
        <f t="shared" si="81"/>
        <v>195.45499999999998</v>
      </c>
      <c r="K219" s="383">
        <f t="shared" si="82"/>
        <v>532.49469999999997</v>
      </c>
      <c r="L219" s="384">
        <f t="shared" si="77"/>
        <v>-8.826301024833505E-6</v>
      </c>
    </row>
    <row r="220" spans="1:12" ht="15" x14ac:dyDescent="0.25">
      <c r="A220" s="326">
        <v>45352</v>
      </c>
      <c r="B220" s="332">
        <f>12.9598*100</f>
        <v>1295.98</v>
      </c>
      <c r="C220" s="378">
        <v>779.37689999999998</v>
      </c>
      <c r="D220" s="378">
        <f t="shared" si="90"/>
        <v>5</v>
      </c>
      <c r="E220" s="379">
        <f t="shared" si="79"/>
        <v>784.37689999999998</v>
      </c>
      <c r="F220" s="380">
        <f t="shared" si="80"/>
        <v>5.1082872365515231E-2</v>
      </c>
      <c r="G220" s="381">
        <f>(768.5536+74.9992+1.5594-505.0677)</f>
        <v>340.04449999999991</v>
      </c>
      <c r="H220" s="393"/>
      <c r="I220" s="321">
        <f>9+68+27.1555+19+72.3</f>
        <v>195.4555</v>
      </c>
      <c r="J220" s="385">
        <f t="shared" si="81"/>
        <v>195.4555</v>
      </c>
      <c r="K220" s="383">
        <f t="shared" si="82"/>
        <v>535.49999999999989</v>
      </c>
      <c r="L220" s="384">
        <f t="shared" si="77"/>
        <v>5.6438120416970605E-3</v>
      </c>
    </row>
    <row r="221" spans="1:12" ht="15" x14ac:dyDescent="0.25">
      <c r="A221" s="326">
        <v>45367</v>
      </c>
      <c r="B221" s="332">
        <f>13.2189*100</f>
        <v>1321.8899999999999</v>
      </c>
      <c r="C221" s="378">
        <v>812.1336</v>
      </c>
      <c r="D221" s="378">
        <f t="shared" si="90"/>
        <v>5</v>
      </c>
      <c r="E221" s="379">
        <f t="shared" si="79"/>
        <v>817.1336</v>
      </c>
      <c r="F221" s="380">
        <f t="shared" si="80"/>
        <v>4.176142872132016E-2</v>
      </c>
      <c r="G221" s="381">
        <f>(785.0724+75.0087+1.5594-521.596)</f>
        <v>340.04449999999997</v>
      </c>
      <c r="H221" s="393"/>
      <c r="I221" s="321">
        <f>9+68+27.1555+19+72.3</f>
        <v>195.4555</v>
      </c>
      <c r="J221" s="385">
        <f t="shared" si="81"/>
        <v>195.4555</v>
      </c>
      <c r="K221" s="383">
        <f t="shared" si="82"/>
        <v>535.5</v>
      </c>
      <c r="L221" s="384">
        <f t="shared" si="77"/>
        <v>0</v>
      </c>
    </row>
    <row r="222" spans="1:12" ht="15" x14ac:dyDescent="0.25">
      <c r="A222" s="326">
        <v>45383</v>
      </c>
      <c r="B222" s="332">
        <f>13.6241*100</f>
        <v>1362.41</v>
      </c>
      <c r="C222" s="378">
        <v>860.47339999999997</v>
      </c>
      <c r="D222" s="378">
        <f t="shared" si="90"/>
        <v>5</v>
      </c>
      <c r="E222" s="379">
        <f t="shared" si="79"/>
        <v>865.47339999999997</v>
      </c>
      <c r="F222" s="380">
        <f t="shared" si="80"/>
        <v>5.9157768081008921E-2</v>
      </c>
      <c r="G222" s="381">
        <f>(838.6851+75.0237+1.55594-555.3618)</f>
        <v>359.90293999999994</v>
      </c>
      <c r="H222" s="393"/>
      <c r="I222" s="321">
        <f>9+68+27.155+19+72.3</f>
        <v>195.45499999999998</v>
      </c>
      <c r="J222" s="385">
        <f t="shared" si="81"/>
        <v>195.45499999999998</v>
      </c>
      <c r="K222" s="383">
        <f t="shared" si="82"/>
        <v>555.35793999999987</v>
      </c>
      <c r="L222" s="384">
        <f t="shared" si="77"/>
        <v>3.7082987861811079E-2</v>
      </c>
    </row>
    <row r="223" spans="1:12" ht="15" x14ac:dyDescent="0.25">
      <c r="A223" s="326">
        <v>45398</v>
      </c>
      <c r="B223" s="332">
        <f>13.7402*100</f>
        <v>1374.02</v>
      </c>
      <c r="C223" s="378">
        <v>875.68110000000001</v>
      </c>
      <c r="D223" s="378">
        <f t="shared" si="90"/>
        <v>5</v>
      </c>
      <c r="E223" s="379">
        <f t="shared" si="79"/>
        <v>880.68110000000001</v>
      </c>
      <c r="F223" s="380">
        <f t="shared" si="80"/>
        <v>1.7571539460369268E-2</v>
      </c>
      <c r="G223" s="381">
        <f>(897.0096+75.0476+1.55594-613.7103)</f>
        <v>359.90283999999997</v>
      </c>
      <c r="H223" s="393"/>
      <c r="I223" s="321">
        <f>9+68+27.155+19+72.3</f>
        <v>195.45499999999998</v>
      </c>
      <c r="J223" s="385">
        <f t="shared" si="81"/>
        <v>195.45499999999998</v>
      </c>
      <c r="K223" s="383">
        <f t="shared" si="82"/>
        <v>555.3578399999999</v>
      </c>
      <c r="L223" s="384">
        <f t="shared" si="77"/>
        <v>-1.8006405022585881E-7</v>
      </c>
    </row>
    <row r="224" spans="1:12" ht="15" x14ac:dyDescent="0.25">
      <c r="A224" s="326">
        <v>45413</v>
      </c>
      <c r="B224" s="332">
        <f>13.9185*100</f>
        <v>1391.85</v>
      </c>
      <c r="C224" s="378">
        <v>1071.5681</v>
      </c>
      <c r="D224" s="378">
        <f t="shared" si="90"/>
        <v>5</v>
      </c>
      <c r="E224" s="379">
        <f t="shared" si="79"/>
        <v>1076.5681</v>
      </c>
      <c r="F224" s="380">
        <f t="shared" si="80"/>
        <v>0.22242671041765272</v>
      </c>
      <c r="G224" s="381">
        <f>(912.0948+75.0543+1.5594-628.8022)</f>
        <v>359.90629999999999</v>
      </c>
      <c r="H224" s="393"/>
      <c r="I224" s="321">
        <f>9+68+27.1555+19+72.3</f>
        <v>195.4555</v>
      </c>
      <c r="J224" s="385">
        <f t="shared" si="81"/>
        <v>195.4555</v>
      </c>
      <c r="K224" s="383">
        <f t="shared" si="82"/>
        <v>555.36180000000002</v>
      </c>
      <c r="L224" s="384">
        <f t="shared" si="77"/>
        <v>7.1305376729835501E-6</v>
      </c>
    </row>
    <row r="225" spans="1:12" ht="15" x14ac:dyDescent="0.25">
      <c r="A225" s="326">
        <v>45428</v>
      </c>
      <c r="B225" s="332">
        <f>14.787*100</f>
        <v>1478.7</v>
      </c>
      <c r="C225" s="378">
        <v>1111.0196000000001</v>
      </c>
      <c r="D225" s="378">
        <f>4+1</f>
        <v>5</v>
      </c>
      <c r="E225" s="379">
        <f t="shared" si="79"/>
        <v>1116.0196000000001</v>
      </c>
      <c r="F225" s="380">
        <f t="shared" si="80"/>
        <v>3.6645614894218248E-2</v>
      </c>
      <c r="G225" s="381">
        <f>(907.9316+75.0786+1.5594-624.6633)</f>
        <v>359.90629999999987</v>
      </c>
      <c r="H225" s="393"/>
      <c r="I225" s="321">
        <f>9+68+27.1555+19+72.3</f>
        <v>195.4555</v>
      </c>
      <c r="J225" s="385">
        <f t="shared" si="81"/>
        <v>195.4555</v>
      </c>
      <c r="K225" s="383">
        <f t="shared" si="82"/>
        <v>555.3617999999999</v>
      </c>
      <c r="L225" s="384">
        <f t="shared" si="77"/>
        <v>0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52"/>
  <sheetViews>
    <sheetView workbookViewId="0">
      <pane xSplit="2" ySplit="5" topLeftCell="C325" activePane="bottomRight" state="frozen"/>
      <selection pane="topRight" activeCell="C1" sqref="C1"/>
      <selection pane="bottomLeft" activeCell="A6" sqref="A6"/>
      <selection pane="bottomRight" activeCell="O334" sqref="O334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 x14ac:dyDescent="0.4">
      <c r="E1" s="269" t="s">
        <v>44</v>
      </c>
    </row>
    <row r="2" spans="1:17" ht="18.75" thickBot="1" x14ac:dyDescent="0.3">
      <c r="F2" s="270" t="s">
        <v>27</v>
      </c>
    </row>
    <row r="3" spans="1:17" ht="21" thickBot="1" x14ac:dyDescent="0.35">
      <c r="A3" s="271"/>
      <c r="B3" s="272"/>
      <c r="C3" s="433" t="s">
        <v>28</v>
      </c>
      <c r="D3" s="434"/>
      <c r="E3" s="434"/>
      <c r="F3" s="435"/>
      <c r="G3" s="436" t="s">
        <v>37</v>
      </c>
      <c r="H3" s="437"/>
      <c r="I3" s="437"/>
      <c r="J3" s="438"/>
      <c r="K3" s="440" t="s">
        <v>38</v>
      </c>
      <c r="L3" s="441"/>
      <c r="M3" s="442"/>
      <c r="O3" s="273"/>
      <c r="P3" s="273"/>
      <c r="Q3" s="273"/>
    </row>
    <row r="4" spans="1:17" ht="30" x14ac:dyDescent="0.2">
      <c r="A4" s="431" t="s">
        <v>29</v>
      </c>
      <c r="B4" s="274" t="s">
        <v>30</v>
      </c>
      <c r="C4" s="275" t="s">
        <v>31</v>
      </c>
      <c r="D4" s="276" t="s">
        <v>32</v>
      </c>
      <c r="E4" s="276" t="s">
        <v>33</v>
      </c>
      <c r="F4" s="277" t="s">
        <v>34</v>
      </c>
      <c r="G4" s="278" t="s">
        <v>31</v>
      </c>
      <c r="H4" s="279" t="s">
        <v>32</v>
      </c>
      <c r="I4" s="279" t="s">
        <v>33</v>
      </c>
      <c r="J4" s="280" t="s">
        <v>34</v>
      </c>
      <c r="K4" s="281" t="s">
        <v>31</v>
      </c>
      <c r="L4" s="282" t="s">
        <v>33</v>
      </c>
      <c r="M4" s="283" t="s">
        <v>34</v>
      </c>
    </row>
    <row r="5" spans="1:17" ht="30.75" thickBot="1" x14ac:dyDescent="0.25">
      <c r="A5" s="432"/>
      <c r="B5" s="284" t="s">
        <v>35</v>
      </c>
      <c r="C5" s="285" t="s">
        <v>36</v>
      </c>
      <c r="D5" s="286" t="s">
        <v>36</v>
      </c>
      <c r="E5" s="286" t="s">
        <v>36</v>
      </c>
      <c r="F5" s="287" t="s">
        <v>20</v>
      </c>
      <c r="G5" s="288" t="s">
        <v>36</v>
      </c>
      <c r="H5" s="289" t="s">
        <v>36</v>
      </c>
      <c r="I5" s="289" t="s">
        <v>36</v>
      </c>
      <c r="J5" s="290" t="s">
        <v>20</v>
      </c>
      <c r="K5" s="291" t="s">
        <v>36</v>
      </c>
      <c r="L5" s="292" t="s">
        <v>36</v>
      </c>
      <c r="M5" s="293" t="s">
        <v>20</v>
      </c>
    </row>
    <row r="6" spans="1:17" ht="15" x14ac:dyDescent="0.2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 x14ac:dyDescent="0.2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 x14ac:dyDescent="0.2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 x14ac:dyDescent="0.2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 x14ac:dyDescent="0.2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 x14ac:dyDescent="0.2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 x14ac:dyDescent="0.2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 x14ac:dyDescent="0.2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 x14ac:dyDescent="0.2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 x14ac:dyDescent="0.2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 x14ac:dyDescent="0.2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 x14ac:dyDescent="0.2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 x14ac:dyDescent="0.2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 x14ac:dyDescent="0.2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 x14ac:dyDescent="0.2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 x14ac:dyDescent="0.2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 x14ac:dyDescent="0.2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 x14ac:dyDescent="0.2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 x14ac:dyDescent="0.2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 x14ac:dyDescent="0.2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 x14ac:dyDescent="0.2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 x14ac:dyDescent="0.2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 x14ac:dyDescent="0.2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 x14ac:dyDescent="0.2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 x14ac:dyDescent="0.2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 x14ac:dyDescent="0.2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 x14ac:dyDescent="0.2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 x14ac:dyDescent="0.2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 x14ac:dyDescent="0.2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 x14ac:dyDescent="0.2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 x14ac:dyDescent="0.2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 x14ac:dyDescent="0.2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 x14ac:dyDescent="0.2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 x14ac:dyDescent="0.2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 x14ac:dyDescent="0.2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 x14ac:dyDescent="0.2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 x14ac:dyDescent="0.2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 x14ac:dyDescent="0.2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 x14ac:dyDescent="0.2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 x14ac:dyDescent="0.2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 x14ac:dyDescent="0.2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 x14ac:dyDescent="0.2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 x14ac:dyDescent="0.2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 x14ac:dyDescent="0.2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 x14ac:dyDescent="0.2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 x14ac:dyDescent="0.2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 x14ac:dyDescent="0.2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 x14ac:dyDescent="0.2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 x14ac:dyDescent="0.2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 x14ac:dyDescent="0.2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 x14ac:dyDescent="0.2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 x14ac:dyDescent="0.2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 x14ac:dyDescent="0.2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 x14ac:dyDescent="0.2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 x14ac:dyDescent="0.2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 x14ac:dyDescent="0.2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 x14ac:dyDescent="0.2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 x14ac:dyDescent="0.2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 x14ac:dyDescent="0.2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 x14ac:dyDescent="0.2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 x14ac:dyDescent="0.2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 x14ac:dyDescent="0.2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 x14ac:dyDescent="0.2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 x14ac:dyDescent="0.2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 x14ac:dyDescent="0.2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 x14ac:dyDescent="0.2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 x14ac:dyDescent="0.2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 x14ac:dyDescent="0.2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 x14ac:dyDescent="0.2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 x14ac:dyDescent="0.2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 x14ac:dyDescent="0.2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 x14ac:dyDescent="0.2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 x14ac:dyDescent="0.2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 x14ac:dyDescent="0.2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 x14ac:dyDescent="0.2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 x14ac:dyDescent="0.2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 x14ac:dyDescent="0.2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 x14ac:dyDescent="0.2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 x14ac:dyDescent="0.2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40</v>
      </c>
      <c r="M84" s="312"/>
    </row>
    <row r="85" spans="1:13" ht="15" x14ac:dyDescent="0.2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 x14ac:dyDescent="0.2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 x14ac:dyDescent="0.2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 x14ac:dyDescent="0.2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 x14ac:dyDescent="0.2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 x14ac:dyDescent="0.2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 x14ac:dyDescent="0.2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 x14ac:dyDescent="0.2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 x14ac:dyDescent="0.2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 x14ac:dyDescent="0.2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 x14ac:dyDescent="0.2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 x14ac:dyDescent="0.2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 x14ac:dyDescent="0.2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 x14ac:dyDescent="0.2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 x14ac:dyDescent="0.2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 x14ac:dyDescent="0.2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 x14ac:dyDescent="0.2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 x14ac:dyDescent="0.2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 x14ac:dyDescent="0.2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 x14ac:dyDescent="0.2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 x14ac:dyDescent="0.2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 x14ac:dyDescent="0.2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 x14ac:dyDescent="0.2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 x14ac:dyDescent="0.2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 x14ac:dyDescent="0.2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 x14ac:dyDescent="0.2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 x14ac:dyDescent="0.2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 x14ac:dyDescent="0.2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 x14ac:dyDescent="0.2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 x14ac:dyDescent="0.2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 x14ac:dyDescent="0.2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 x14ac:dyDescent="0.2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 x14ac:dyDescent="0.2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 x14ac:dyDescent="0.2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 x14ac:dyDescent="0.2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 x14ac:dyDescent="0.2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 x14ac:dyDescent="0.2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 x14ac:dyDescent="0.2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 x14ac:dyDescent="0.2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 x14ac:dyDescent="0.2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 x14ac:dyDescent="0.2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 x14ac:dyDescent="0.2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 x14ac:dyDescent="0.2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 x14ac:dyDescent="0.2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 x14ac:dyDescent="0.2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 x14ac:dyDescent="0.2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 x14ac:dyDescent="0.2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 x14ac:dyDescent="0.2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 x14ac:dyDescent="0.2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 x14ac:dyDescent="0.2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 x14ac:dyDescent="0.2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 x14ac:dyDescent="0.2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 x14ac:dyDescent="0.2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 x14ac:dyDescent="0.2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 x14ac:dyDescent="0.2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 x14ac:dyDescent="0.2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 x14ac:dyDescent="0.2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 x14ac:dyDescent="0.2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 x14ac:dyDescent="0.2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 x14ac:dyDescent="0.2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 x14ac:dyDescent="0.2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 x14ac:dyDescent="0.2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 x14ac:dyDescent="0.2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 x14ac:dyDescent="0.2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 x14ac:dyDescent="0.2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 x14ac:dyDescent="0.2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 x14ac:dyDescent="0.2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 x14ac:dyDescent="0.2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 x14ac:dyDescent="0.2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 x14ac:dyDescent="0.2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 x14ac:dyDescent="0.2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 x14ac:dyDescent="0.2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 x14ac:dyDescent="0.2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 x14ac:dyDescent="0.2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 x14ac:dyDescent="0.2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 x14ac:dyDescent="0.2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 x14ac:dyDescent="0.2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 x14ac:dyDescent="0.2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 x14ac:dyDescent="0.2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 x14ac:dyDescent="0.2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 x14ac:dyDescent="0.2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 x14ac:dyDescent="0.2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 x14ac:dyDescent="0.2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 x14ac:dyDescent="0.2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 x14ac:dyDescent="0.2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 x14ac:dyDescent="0.2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 x14ac:dyDescent="0.2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 x14ac:dyDescent="0.2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 x14ac:dyDescent="0.2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 x14ac:dyDescent="0.2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 x14ac:dyDescent="0.2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 x14ac:dyDescent="0.2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 x14ac:dyDescent="0.2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 x14ac:dyDescent="0.2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 x14ac:dyDescent="0.2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 x14ac:dyDescent="0.2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 x14ac:dyDescent="0.2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 x14ac:dyDescent="0.2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 x14ac:dyDescent="0.2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 x14ac:dyDescent="0.2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 x14ac:dyDescent="0.2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 x14ac:dyDescent="0.2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 x14ac:dyDescent="0.2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 x14ac:dyDescent="0.2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 x14ac:dyDescent="0.2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 x14ac:dyDescent="0.2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 x14ac:dyDescent="0.2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 x14ac:dyDescent="0.2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 x14ac:dyDescent="0.2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 x14ac:dyDescent="0.2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 x14ac:dyDescent="0.2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 x14ac:dyDescent="0.2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 x14ac:dyDescent="0.2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 x14ac:dyDescent="0.2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 x14ac:dyDescent="0.2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 x14ac:dyDescent="0.2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 x14ac:dyDescent="0.2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 x14ac:dyDescent="0.2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 x14ac:dyDescent="0.2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 x14ac:dyDescent="0.2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 x14ac:dyDescent="0.2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 x14ac:dyDescent="0.2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 x14ac:dyDescent="0.2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 x14ac:dyDescent="0.2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 x14ac:dyDescent="0.2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 x14ac:dyDescent="0.2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 x14ac:dyDescent="0.2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 x14ac:dyDescent="0.2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 x14ac:dyDescent="0.2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 x14ac:dyDescent="0.2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 x14ac:dyDescent="0.2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 x14ac:dyDescent="0.2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 x14ac:dyDescent="0.2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 x14ac:dyDescent="0.2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 x14ac:dyDescent="0.2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 x14ac:dyDescent="0.2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 x14ac:dyDescent="0.2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 x14ac:dyDescent="0.2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 x14ac:dyDescent="0.2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 x14ac:dyDescent="0.2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 x14ac:dyDescent="0.2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 x14ac:dyDescent="0.2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 x14ac:dyDescent="0.2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 x14ac:dyDescent="0.2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 x14ac:dyDescent="0.2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 x14ac:dyDescent="0.2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 x14ac:dyDescent="0.2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 x14ac:dyDescent="0.2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 x14ac:dyDescent="0.2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 x14ac:dyDescent="0.2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 x14ac:dyDescent="0.2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 x14ac:dyDescent="0.2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 x14ac:dyDescent="0.2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 x14ac:dyDescent="0.2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 x14ac:dyDescent="0.2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 x14ac:dyDescent="0.2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 x14ac:dyDescent="0.2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 x14ac:dyDescent="0.2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 x14ac:dyDescent="0.2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 x14ac:dyDescent="0.2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 x14ac:dyDescent="0.2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 x14ac:dyDescent="0.2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 x14ac:dyDescent="0.2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 x14ac:dyDescent="0.2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 x14ac:dyDescent="0.2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 x14ac:dyDescent="0.2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 x14ac:dyDescent="0.2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 x14ac:dyDescent="0.2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 x14ac:dyDescent="0.2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 x14ac:dyDescent="0.2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 x14ac:dyDescent="0.2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 x14ac:dyDescent="0.2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 x14ac:dyDescent="0.2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 x14ac:dyDescent="0.2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 x14ac:dyDescent="0.2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 x14ac:dyDescent="0.2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 x14ac:dyDescent="0.2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 x14ac:dyDescent="0.2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 x14ac:dyDescent="0.2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 x14ac:dyDescent="0.2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 x14ac:dyDescent="0.2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 x14ac:dyDescent="0.2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 x14ac:dyDescent="0.2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 x14ac:dyDescent="0.2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35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 x14ac:dyDescent="0.2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 x14ac:dyDescent="0.2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 x14ac:dyDescent="0.2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 x14ac:dyDescent="0.2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 x14ac:dyDescent="0.2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28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 x14ac:dyDescent="0.2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 x14ac:dyDescent="0.2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 x14ac:dyDescent="0.2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 x14ac:dyDescent="0.2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35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35" si="78">K277</f>
        <v>62.567999999999998</v>
      </c>
      <c r="M277" s="312">
        <f t="shared" si="76"/>
        <v>-6.5402971029105417E-2</v>
      </c>
    </row>
    <row r="278" spans="1:13" ht="15" x14ac:dyDescent="0.2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 x14ac:dyDescent="0.2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 x14ac:dyDescent="0.2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 x14ac:dyDescent="0.2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24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 x14ac:dyDescent="0.2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 x14ac:dyDescent="0.2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 x14ac:dyDescent="0.2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 x14ac:dyDescent="0.2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 x14ac:dyDescent="0.2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 x14ac:dyDescent="0.2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 x14ac:dyDescent="0.2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 x14ac:dyDescent="0.2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 x14ac:dyDescent="0.2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 x14ac:dyDescent="0.2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 x14ac:dyDescent="0.2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28" si="80">L292/L291-1</f>
        <v>-6.8619015805005068E-2</v>
      </c>
    </row>
    <row r="293" spans="1:13" ht="15" x14ac:dyDescent="0.2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 x14ac:dyDescent="0.2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 x14ac:dyDescent="0.2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 x14ac:dyDescent="0.2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 x14ac:dyDescent="0.2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 x14ac:dyDescent="0.2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 x14ac:dyDescent="0.2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 x14ac:dyDescent="0.2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 x14ac:dyDescent="0.2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 x14ac:dyDescent="0.2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 x14ac:dyDescent="0.2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 x14ac:dyDescent="0.2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 x14ac:dyDescent="0.2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 x14ac:dyDescent="0.2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 x14ac:dyDescent="0.2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 x14ac:dyDescent="0.2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 x14ac:dyDescent="0.2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 x14ac:dyDescent="0.2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 x14ac:dyDescent="0.2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 x14ac:dyDescent="0.2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 x14ac:dyDescent="0.2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 x14ac:dyDescent="0.2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 x14ac:dyDescent="0.2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 x14ac:dyDescent="0.2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 x14ac:dyDescent="0.2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 x14ac:dyDescent="0.2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5" x14ac:dyDescent="0.25">
      <c r="A319" s="400">
        <v>45185</v>
      </c>
      <c r="B319" s="398">
        <f>12.302*100</f>
        <v>1230.2</v>
      </c>
      <c r="C319" s="321">
        <v>102.261</v>
      </c>
      <c r="D319" s="321">
        <v>2</v>
      </c>
      <c r="E319" s="331">
        <f t="shared" si="70"/>
        <v>104.261</v>
      </c>
      <c r="F319" s="308">
        <f t="shared" si="79"/>
        <v>1.3437196851434408E-2</v>
      </c>
      <c r="G319" s="301">
        <v>99.004999999999995</v>
      </c>
      <c r="H319" s="301"/>
      <c r="I319" s="302">
        <f t="shared" si="77"/>
        <v>99.004999999999995</v>
      </c>
      <c r="J319" s="309">
        <f t="shared" si="75"/>
        <v>2.659258982749968E-2</v>
      </c>
      <c r="K319" s="329">
        <v>99.004999999999995</v>
      </c>
      <c r="L319" s="311">
        <f t="shared" si="78"/>
        <v>99.004999999999995</v>
      </c>
      <c r="M319" s="312">
        <f t="shared" si="80"/>
        <v>2.659258982749968E-2</v>
      </c>
    </row>
    <row r="320" spans="1:13" ht="15" x14ac:dyDescent="0.25">
      <c r="A320" s="400">
        <v>45200</v>
      </c>
      <c r="B320" s="398">
        <f>12.3048*100</f>
        <v>1230.48</v>
      </c>
      <c r="C320" s="321">
        <v>106.0543</v>
      </c>
      <c r="D320" s="321">
        <v>2</v>
      </c>
      <c r="E320" s="331">
        <f t="shared" si="70"/>
        <v>108.0543</v>
      </c>
      <c r="F320" s="308">
        <f>E320/E319-1</f>
        <v>3.6382731798083601E-2</v>
      </c>
      <c r="G320" s="301">
        <v>103.22410000000001</v>
      </c>
      <c r="H320" s="301"/>
      <c r="I320" s="302">
        <f t="shared" si="77"/>
        <v>103.22410000000001</v>
      </c>
      <c r="J320" s="309">
        <f t="shared" si="75"/>
        <v>4.2615019443462465E-2</v>
      </c>
      <c r="K320" s="329">
        <v>103.22410000000001</v>
      </c>
      <c r="L320" s="311">
        <f t="shared" si="78"/>
        <v>103.22410000000001</v>
      </c>
      <c r="M320" s="312">
        <f t="shared" si="80"/>
        <v>4.2615019443462465E-2</v>
      </c>
    </row>
    <row r="321" spans="1:13" ht="15" x14ac:dyDescent="0.25">
      <c r="A321" s="400">
        <v>45215</v>
      </c>
      <c r="B321" s="398">
        <f>12.0935*100</f>
        <v>1209.3500000000001</v>
      </c>
      <c r="C321" s="321">
        <v>101.3681</v>
      </c>
      <c r="D321" s="321">
        <v>2</v>
      </c>
      <c r="E321" s="331">
        <f t="shared" si="70"/>
        <v>103.3681</v>
      </c>
      <c r="F321" s="308">
        <f t="shared" si="79"/>
        <v>-4.3368935803572817E-2</v>
      </c>
      <c r="G321" s="301">
        <v>97.8506</v>
      </c>
      <c r="H321" s="301"/>
      <c r="I321" s="302">
        <f t="shared" si="77"/>
        <v>97.8506</v>
      </c>
      <c r="J321" s="309">
        <f t="shared" si="75"/>
        <v>-5.2056641811360049E-2</v>
      </c>
      <c r="K321" s="329">
        <v>97.8506</v>
      </c>
      <c r="L321" s="311">
        <f t="shared" si="78"/>
        <v>97.8506</v>
      </c>
      <c r="M321" s="312">
        <f t="shared" si="80"/>
        <v>-5.2056641811360049E-2</v>
      </c>
    </row>
    <row r="322" spans="1:13" ht="15" x14ac:dyDescent="0.25">
      <c r="A322" s="400">
        <v>45231</v>
      </c>
      <c r="B322" s="398">
        <f>12.7004*100</f>
        <v>1270.04</v>
      </c>
      <c r="C322" s="321">
        <v>101.6722</v>
      </c>
      <c r="D322" s="321">
        <v>2</v>
      </c>
      <c r="E322" s="331">
        <f t="shared" si="70"/>
        <v>103.6722</v>
      </c>
      <c r="F322" s="308">
        <f t="shared" si="79"/>
        <v>2.9419134142931735E-3</v>
      </c>
      <c r="G322" s="301">
        <v>97.107399999999998</v>
      </c>
      <c r="H322" s="301"/>
      <c r="I322" s="302">
        <f t="shared" si="77"/>
        <v>97.107399999999998</v>
      </c>
      <c r="J322" s="309">
        <f t="shared" si="75"/>
        <v>-7.5952523540989691E-3</v>
      </c>
      <c r="K322" s="329">
        <v>97.107399999999998</v>
      </c>
      <c r="L322" s="311">
        <f t="shared" si="78"/>
        <v>97.107399999999998</v>
      </c>
      <c r="M322" s="312">
        <f t="shared" si="80"/>
        <v>-7.5952523540989691E-3</v>
      </c>
    </row>
    <row r="323" spans="1:13" ht="15" x14ac:dyDescent="0.25">
      <c r="A323" s="400">
        <v>45246</v>
      </c>
      <c r="B323" s="398">
        <f>12.7761*100</f>
        <v>1277.6099999999999</v>
      </c>
      <c r="C323" s="321">
        <v>97.649199999999993</v>
      </c>
      <c r="D323" s="321">
        <v>2</v>
      </c>
      <c r="E323" s="331">
        <f t="shared" si="70"/>
        <v>99.649199999999993</v>
      </c>
      <c r="F323" s="308">
        <f>E323/E322-1</f>
        <v>-3.8805002691174817E-2</v>
      </c>
      <c r="G323" s="301">
        <v>93.356800000000007</v>
      </c>
      <c r="H323" s="301"/>
      <c r="I323" s="302">
        <f t="shared" si="77"/>
        <v>93.356800000000007</v>
      </c>
      <c r="J323" s="309">
        <f t="shared" si="75"/>
        <v>-3.8623215120577759E-2</v>
      </c>
      <c r="K323" s="329">
        <v>93.356800000000007</v>
      </c>
      <c r="L323" s="311">
        <f t="shared" si="78"/>
        <v>93.356800000000007</v>
      </c>
      <c r="M323" s="312">
        <f t="shared" si="80"/>
        <v>-3.8623215120577759E-2</v>
      </c>
    </row>
    <row r="324" spans="1:13" ht="15" x14ac:dyDescent="0.25">
      <c r="A324" s="400">
        <v>45261</v>
      </c>
      <c r="B324" s="398">
        <f>12.8507*100</f>
        <v>1285.07</v>
      </c>
      <c r="C324" s="321">
        <v>96.334400000000002</v>
      </c>
      <c r="D324" s="321">
        <v>2</v>
      </c>
      <c r="E324" s="331">
        <f t="shared" si="70"/>
        <v>98.334400000000002</v>
      </c>
      <c r="F324" s="308">
        <f t="shared" si="79"/>
        <v>-1.3194285553722374E-2</v>
      </c>
      <c r="G324" s="301">
        <v>91.119</v>
      </c>
      <c r="H324" s="301"/>
      <c r="I324" s="302">
        <f t="shared" si="77"/>
        <v>91.119</v>
      </c>
      <c r="J324" s="309">
        <f t="shared" si="75"/>
        <v>-2.3970401727565704E-2</v>
      </c>
      <c r="K324" s="329">
        <v>91.119</v>
      </c>
      <c r="L324" s="311">
        <f t="shared" si="78"/>
        <v>91.119</v>
      </c>
      <c r="M324" s="312">
        <f t="shared" si="80"/>
        <v>-2.3970401727565704E-2</v>
      </c>
    </row>
    <row r="325" spans="1:13" ht="15" x14ac:dyDescent="0.25">
      <c r="A325" s="400">
        <v>45276</v>
      </c>
      <c r="B325" s="398">
        <f>12.8731*100</f>
        <v>1287.3100000000002</v>
      </c>
      <c r="C325" s="321">
        <v>90.86</v>
      </c>
      <c r="D325" s="321">
        <v>2</v>
      </c>
      <c r="E325" s="331">
        <f t="shared" si="70"/>
        <v>92.86</v>
      </c>
      <c r="F325" s="308">
        <f>E325/E324-1</f>
        <v>-5.5671260515140153E-2</v>
      </c>
      <c r="G325" s="301">
        <v>87.823899999999995</v>
      </c>
      <c r="H325" s="301"/>
      <c r="I325" s="302">
        <f t="shared" si="77"/>
        <v>87.823899999999995</v>
      </c>
      <c r="J325" s="309">
        <f t="shared" si="75"/>
        <v>-3.6162600555317836E-2</v>
      </c>
      <c r="K325" s="329">
        <v>87.823899999999995</v>
      </c>
      <c r="L325" s="311">
        <f t="shared" si="78"/>
        <v>87.823899999999995</v>
      </c>
      <c r="M325" s="312">
        <f t="shared" si="80"/>
        <v>-3.6162600555317836E-2</v>
      </c>
    </row>
    <row r="326" spans="1:13" ht="15" x14ac:dyDescent="0.25">
      <c r="A326" s="400">
        <v>45292</v>
      </c>
      <c r="B326" s="398">
        <f>12.8205*100</f>
        <v>1282.05</v>
      </c>
      <c r="C326" s="321">
        <v>91.115899999999996</v>
      </c>
      <c r="D326" s="321">
        <v>2</v>
      </c>
      <c r="E326" s="331">
        <f t="shared" si="70"/>
        <v>93.115899999999996</v>
      </c>
      <c r="F326" s="308">
        <f>E326/E325-1</f>
        <v>2.7557613611888243E-3</v>
      </c>
      <c r="G326" s="301">
        <v>85.464100000000002</v>
      </c>
      <c r="H326" s="301"/>
      <c r="I326" s="302">
        <f t="shared" si="77"/>
        <v>85.464100000000002</v>
      </c>
      <c r="J326" s="309">
        <f>I326/I325-1</f>
        <v>-2.6869678982600287E-2</v>
      </c>
      <c r="K326" s="329">
        <v>85.464100000000002</v>
      </c>
      <c r="L326" s="311">
        <f t="shared" si="78"/>
        <v>85.464100000000002</v>
      </c>
      <c r="M326" s="312">
        <f>L326/L325-1</f>
        <v>-2.6869678982600287E-2</v>
      </c>
    </row>
    <row r="327" spans="1:13" ht="15" x14ac:dyDescent="0.25">
      <c r="A327" s="400">
        <v>45307</v>
      </c>
      <c r="B327" s="398">
        <f>12.855*100</f>
        <v>1285.5</v>
      </c>
      <c r="C327" s="321">
        <v>90.286600000000007</v>
      </c>
      <c r="D327" s="321">
        <v>2</v>
      </c>
      <c r="E327" s="331">
        <f t="shared" si="70"/>
        <v>92.286600000000007</v>
      </c>
      <c r="F327" s="308">
        <f>E327/E326-1</f>
        <v>-8.906105187191371E-3</v>
      </c>
      <c r="G327" s="301">
        <v>84.407399999999996</v>
      </c>
      <c r="H327" s="301"/>
      <c r="I327" s="302">
        <f t="shared" si="77"/>
        <v>84.407399999999996</v>
      </c>
      <c r="J327" s="309">
        <f t="shared" si="75"/>
        <v>-1.2364255868838603E-2</v>
      </c>
      <c r="K327" s="329">
        <v>84.407399999999996</v>
      </c>
      <c r="L327" s="311">
        <f t="shared" si="78"/>
        <v>84.407399999999996</v>
      </c>
      <c r="M327" s="312">
        <f t="shared" si="80"/>
        <v>-1.2364255868838603E-2</v>
      </c>
    </row>
    <row r="328" spans="1:13" ht="15" x14ac:dyDescent="0.25">
      <c r="A328" s="400">
        <v>45323</v>
      </c>
      <c r="B328" s="398">
        <f>12.6444*100</f>
        <v>1264.4399999999998</v>
      </c>
      <c r="C328" s="321">
        <v>94.712599999999995</v>
      </c>
      <c r="D328" s="321">
        <v>2</v>
      </c>
      <c r="E328" s="331">
        <f t="shared" si="70"/>
        <v>96.712599999999995</v>
      </c>
      <c r="F328" s="308">
        <f t="shared" ref="F328" si="81">E328/E327-1</f>
        <v>4.7959292031562351E-2</v>
      </c>
      <c r="G328" s="301">
        <v>87.522400000000005</v>
      </c>
      <c r="H328" s="301"/>
      <c r="I328" s="302">
        <f t="shared" si="77"/>
        <v>87.522400000000005</v>
      </c>
      <c r="J328" s="309">
        <f t="shared" si="75"/>
        <v>3.6904347249175018E-2</v>
      </c>
      <c r="K328" s="329">
        <v>87.522400000000005</v>
      </c>
      <c r="L328" s="311">
        <f t="shared" si="78"/>
        <v>87.522400000000005</v>
      </c>
      <c r="M328" s="312">
        <f t="shared" si="80"/>
        <v>3.6904347249175018E-2</v>
      </c>
    </row>
    <row r="329" spans="1:13" ht="15" x14ac:dyDescent="0.25">
      <c r="A329" s="400">
        <v>45338</v>
      </c>
      <c r="B329" s="398">
        <f>12.797*100</f>
        <v>1279.7</v>
      </c>
      <c r="C329" s="321">
        <v>95.050799999999995</v>
      </c>
      <c r="D329" s="321">
        <v>2</v>
      </c>
      <c r="E329" s="331">
        <f t="shared" si="70"/>
        <v>97.050799999999995</v>
      </c>
      <c r="F329" s="308">
        <f>E329/E328-1</f>
        <v>3.4969590311912935E-3</v>
      </c>
      <c r="G329" s="301">
        <v>91.847800000000007</v>
      </c>
      <c r="H329" s="301"/>
      <c r="I329" s="302">
        <f t="shared" si="77"/>
        <v>91.847800000000007</v>
      </c>
      <c r="J329" s="309">
        <f>I329/I328-1</f>
        <v>4.9420491211392692E-2</v>
      </c>
      <c r="K329" s="329">
        <v>91.847800000000007</v>
      </c>
      <c r="L329" s="311">
        <f t="shared" si="78"/>
        <v>91.847800000000007</v>
      </c>
      <c r="M329" s="312">
        <f t="shared" ref="M329:M335" si="82">L329/L328-1</f>
        <v>4.9420491211392692E-2</v>
      </c>
    </row>
    <row r="330" spans="1:13" ht="15" x14ac:dyDescent="0.25">
      <c r="A330" s="400">
        <v>45352</v>
      </c>
      <c r="B330" s="398">
        <f>12.9598*100</f>
        <v>1295.98</v>
      </c>
      <c r="C330" s="321">
        <v>94.061899999999994</v>
      </c>
      <c r="D330" s="321">
        <v>2</v>
      </c>
      <c r="E330" s="331">
        <f t="shared" si="70"/>
        <v>96.061899999999994</v>
      </c>
      <c r="F330" s="308">
        <f>E330/E329-1</f>
        <v>-1.0189508999410624E-2</v>
      </c>
      <c r="G330" s="301">
        <v>92.982299999999995</v>
      </c>
      <c r="H330" s="301"/>
      <c r="I330" s="302">
        <f t="shared" si="77"/>
        <v>92.982299999999995</v>
      </c>
      <c r="J330" s="309">
        <f>I330/I329-1</f>
        <v>1.2351956170969736E-2</v>
      </c>
      <c r="K330" s="329">
        <v>92.982299999999995</v>
      </c>
      <c r="L330" s="311">
        <f t="shared" si="78"/>
        <v>92.982299999999995</v>
      </c>
      <c r="M330" s="312">
        <f t="shared" si="82"/>
        <v>1.2351956170969736E-2</v>
      </c>
    </row>
    <row r="331" spans="1:13" ht="15" x14ac:dyDescent="0.25">
      <c r="A331" s="400">
        <v>45367</v>
      </c>
      <c r="B331" s="398">
        <f>13.2189*100</f>
        <v>1321.8899999999999</v>
      </c>
      <c r="C331" s="321">
        <v>90.681899999999999</v>
      </c>
      <c r="D331" s="321">
        <v>2</v>
      </c>
      <c r="E331" s="331">
        <f t="shared" si="70"/>
        <v>92.681899999999999</v>
      </c>
      <c r="F331" s="308">
        <f>E331/E330-1</f>
        <v>-3.5185645922056419E-2</v>
      </c>
      <c r="G331" s="301">
        <v>89.993099999999998</v>
      </c>
      <c r="H331" s="301"/>
      <c r="I331" s="302">
        <f t="shared" si="77"/>
        <v>89.993099999999998</v>
      </c>
      <c r="J331" s="309">
        <f>I331/I330-1</f>
        <v>-3.2148053984467961E-2</v>
      </c>
      <c r="K331" s="329">
        <v>89.993099999999998</v>
      </c>
      <c r="L331" s="311">
        <f t="shared" si="78"/>
        <v>89.993099999999998</v>
      </c>
      <c r="M331" s="312">
        <f t="shared" si="82"/>
        <v>-3.2148053984467961E-2</v>
      </c>
    </row>
    <row r="332" spans="1:13" ht="15" x14ac:dyDescent="0.25">
      <c r="A332" s="400">
        <v>45383</v>
      </c>
      <c r="B332" s="398">
        <f>13.6241*100</f>
        <v>1362.41</v>
      </c>
      <c r="C332" s="321">
        <v>91.9024</v>
      </c>
      <c r="D332" s="321">
        <v>2</v>
      </c>
      <c r="E332" s="331">
        <f t="shared" si="70"/>
        <v>93.9024</v>
      </c>
      <c r="F332" s="308">
        <f>E332/E331-1</f>
        <v>1.3168698526896838E-2</v>
      </c>
      <c r="G332" s="301">
        <v>90.353200000000001</v>
      </c>
      <c r="H332" s="301"/>
      <c r="I332" s="302">
        <f t="shared" si="77"/>
        <v>90.353200000000001</v>
      </c>
      <c r="J332" s="309">
        <f t="shared" ref="J332" si="83">I332/I331-1</f>
        <v>4.0014178864824501E-3</v>
      </c>
      <c r="K332" s="329">
        <v>90.353200000000001</v>
      </c>
      <c r="L332" s="311">
        <f t="shared" si="78"/>
        <v>90.353200000000001</v>
      </c>
      <c r="M332" s="312">
        <f t="shared" si="82"/>
        <v>4.0014178864824501E-3</v>
      </c>
    </row>
    <row r="333" spans="1:13" ht="15" x14ac:dyDescent="0.25">
      <c r="A333" s="400">
        <v>45398</v>
      </c>
      <c r="B333" s="398">
        <f>13.7402*100</f>
        <v>1374.02</v>
      </c>
      <c r="C333" s="321">
        <v>92.981200000000001</v>
      </c>
      <c r="D333" s="321">
        <v>2</v>
      </c>
      <c r="E333" s="331">
        <f t="shared" si="70"/>
        <v>94.981200000000001</v>
      </c>
      <c r="F333" s="308">
        <f t="shared" ref="F333:F335" si="84">E333/E332-1</f>
        <v>1.1488524254971155E-2</v>
      </c>
      <c r="G333" s="301">
        <v>90.838099999999997</v>
      </c>
      <c r="H333" s="301"/>
      <c r="I333" s="302">
        <f t="shared" si="77"/>
        <v>90.838099999999997</v>
      </c>
      <c r="J333" s="309">
        <f>I333/I332-1</f>
        <v>5.3667163974269183E-3</v>
      </c>
      <c r="K333" s="329">
        <v>90.838099999999997</v>
      </c>
      <c r="L333" s="311">
        <f t="shared" si="78"/>
        <v>90.838099999999997</v>
      </c>
      <c r="M333" s="312">
        <f t="shared" si="82"/>
        <v>5.3667163974269183E-3</v>
      </c>
    </row>
    <row r="334" spans="1:13" ht="15" x14ac:dyDescent="0.25">
      <c r="A334" s="400">
        <v>45413</v>
      </c>
      <c r="B334" s="398">
        <f>13.9185*100</f>
        <v>1391.85</v>
      </c>
      <c r="C334" s="321">
        <v>90.563199999999995</v>
      </c>
      <c r="D334" s="321">
        <v>2</v>
      </c>
      <c r="E334" s="331">
        <f t="shared" si="70"/>
        <v>92.563199999999995</v>
      </c>
      <c r="F334" s="308">
        <f>E334/E333-1</f>
        <v>-2.5457669517757298E-2</v>
      </c>
      <c r="G334" s="301">
        <v>86.6678</v>
      </c>
      <c r="H334" s="301"/>
      <c r="I334" s="302">
        <f t="shared" si="77"/>
        <v>86.6678</v>
      </c>
      <c r="J334" s="309">
        <f>I334/I333-1</f>
        <v>-4.5909150455590741E-2</v>
      </c>
      <c r="K334" s="329">
        <v>86.6678</v>
      </c>
      <c r="L334" s="311">
        <f t="shared" si="78"/>
        <v>86.6678</v>
      </c>
      <c r="M334" s="312">
        <f t="shared" si="82"/>
        <v>-4.5909150455590741E-2</v>
      </c>
    </row>
    <row r="335" spans="1:13" ht="15" x14ac:dyDescent="0.25">
      <c r="A335" s="400">
        <v>45428</v>
      </c>
      <c r="B335" s="398">
        <f>14.787*100</f>
        <v>1478.7</v>
      </c>
      <c r="C335" s="321">
        <v>87.987899999999996</v>
      </c>
      <c r="D335" s="321">
        <v>2</v>
      </c>
      <c r="E335" s="331">
        <f t="shared" si="70"/>
        <v>89.987899999999996</v>
      </c>
      <c r="F335" s="308">
        <f t="shared" si="84"/>
        <v>-2.7822071838484397E-2</v>
      </c>
      <c r="G335" s="301">
        <v>83.647300000000001</v>
      </c>
      <c r="H335" s="301"/>
      <c r="I335" s="302">
        <f t="shared" si="77"/>
        <v>83.647300000000001</v>
      </c>
      <c r="J335" s="309">
        <f>I335/I334-1</f>
        <v>-3.4851467326965757E-2</v>
      </c>
      <c r="K335" s="329">
        <v>83.647300000000001</v>
      </c>
      <c r="L335" s="311">
        <f t="shared" si="78"/>
        <v>83.647300000000001</v>
      </c>
      <c r="M335" s="312">
        <f t="shared" si="82"/>
        <v>-3.4851467326965757E-2</v>
      </c>
    </row>
    <row r="336" spans="1:13" ht="18" x14ac:dyDescent="0.25">
      <c r="A336" s="402"/>
      <c r="C336" s="439" t="s">
        <v>51</v>
      </c>
      <c r="D336" s="439"/>
      <c r="E336" s="439"/>
      <c r="F336" s="439"/>
      <c r="G336" s="439"/>
      <c r="H336" s="439"/>
      <c r="I336" s="439"/>
      <c r="J336" s="439"/>
      <c r="K336" s="439"/>
    </row>
    <row r="337" spans="1:14" x14ac:dyDescent="0.2">
      <c r="C337" s="439"/>
      <c r="D337" s="439"/>
      <c r="E337" s="439"/>
      <c r="F337" s="439"/>
      <c r="G337" s="439"/>
      <c r="H337" s="439"/>
      <c r="I337" s="439"/>
      <c r="J337" s="439"/>
      <c r="K337" s="439"/>
    </row>
    <row r="339" spans="1:14" ht="15" x14ac:dyDescent="0.25">
      <c r="A339" s="326"/>
      <c r="C339" s="321"/>
      <c r="D339" s="331" t="s">
        <v>63</v>
      </c>
      <c r="E339" s="331"/>
      <c r="F339" s="308"/>
      <c r="G339" s="301"/>
      <c r="H339" s="301"/>
      <c r="I339" s="302"/>
      <c r="J339" s="333"/>
      <c r="K339" s="329"/>
      <c r="L339" s="311"/>
    </row>
    <row r="340" spans="1:14" ht="30" x14ac:dyDescent="0.25">
      <c r="D340" s="430" t="s">
        <v>52</v>
      </c>
      <c r="E340" s="430"/>
      <c r="F340" s="430"/>
      <c r="G340" s="334" t="s">
        <v>64</v>
      </c>
      <c r="H340" s="334" t="s">
        <v>66</v>
      </c>
      <c r="I340" s="334" t="s">
        <v>65</v>
      </c>
    </row>
    <row r="341" spans="1:14" x14ac:dyDescent="0.2">
      <c r="D341" s="428" t="s">
        <v>53</v>
      </c>
      <c r="E341" s="428"/>
      <c r="F341" s="428"/>
      <c r="G341" s="335">
        <v>49</v>
      </c>
      <c r="H341" s="335">
        <v>49</v>
      </c>
      <c r="I341" s="335">
        <v>49</v>
      </c>
      <c r="N341" s="336"/>
    </row>
    <row r="342" spans="1:14" x14ac:dyDescent="0.2">
      <c r="D342" s="428" t="s">
        <v>54</v>
      </c>
      <c r="E342" s="428"/>
      <c r="F342" s="428"/>
      <c r="G342" s="335">
        <v>48</v>
      </c>
      <c r="H342" s="335">
        <v>48</v>
      </c>
      <c r="I342" s="335">
        <v>48</v>
      </c>
      <c r="L342" s="337"/>
      <c r="N342" s="336"/>
    </row>
    <row r="343" spans="1:14" x14ac:dyDescent="0.2">
      <c r="D343" s="428" t="s">
        <v>55</v>
      </c>
      <c r="E343" s="428"/>
      <c r="F343" s="428"/>
      <c r="G343" s="335">
        <v>1</v>
      </c>
      <c r="H343" s="335">
        <v>1</v>
      </c>
      <c r="I343" s="335">
        <v>1</v>
      </c>
    </row>
    <row r="344" spans="1:14" x14ac:dyDescent="0.2">
      <c r="D344" s="428" t="s">
        <v>56</v>
      </c>
      <c r="E344" s="428"/>
      <c r="F344" s="428"/>
      <c r="G344" s="335">
        <v>14</v>
      </c>
      <c r="H344" s="335">
        <v>14</v>
      </c>
      <c r="I344" s="335">
        <v>14</v>
      </c>
    </row>
    <row r="345" spans="1:14" x14ac:dyDescent="0.2">
      <c r="D345" s="428" t="s">
        <v>67</v>
      </c>
      <c r="E345" s="428"/>
      <c r="F345" s="428"/>
      <c r="G345" s="335">
        <v>10</v>
      </c>
      <c r="H345" s="335">
        <f t="shared" ref="H345:I349" si="85">G345</f>
        <v>10</v>
      </c>
      <c r="I345" s="335">
        <f t="shared" si="85"/>
        <v>10</v>
      </c>
    </row>
    <row r="346" spans="1:14" x14ac:dyDescent="0.2">
      <c r="D346" s="428" t="s">
        <v>68</v>
      </c>
      <c r="E346" s="428"/>
      <c r="F346" s="428"/>
      <c r="G346" s="335">
        <v>20</v>
      </c>
      <c r="H346" s="335">
        <f t="shared" si="85"/>
        <v>20</v>
      </c>
      <c r="I346" s="335">
        <f t="shared" si="85"/>
        <v>20</v>
      </c>
    </row>
    <row r="347" spans="1:14" x14ac:dyDescent="0.2">
      <c r="D347" s="429" t="s">
        <v>57</v>
      </c>
      <c r="E347" s="429"/>
      <c r="F347" s="429"/>
      <c r="G347" s="338">
        <v>11</v>
      </c>
      <c r="H347" s="338">
        <f t="shared" si="85"/>
        <v>11</v>
      </c>
      <c r="I347" s="338">
        <f t="shared" si="85"/>
        <v>11</v>
      </c>
    </row>
    <row r="348" spans="1:14" x14ac:dyDescent="0.2">
      <c r="D348" s="428" t="s">
        <v>58</v>
      </c>
      <c r="E348" s="428"/>
      <c r="F348" s="428"/>
      <c r="G348" s="335">
        <f>3+3+6-3</f>
        <v>9</v>
      </c>
      <c r="H348" s="335">
        <f t="shared" si="85"/>
        <v>9</v>
      </c>
      <c r="I348" s="335">
        <f t="shared" si="85"/>
        <v>9</v>
      </c>
    </row>
    <row r="349" spans="1:14" x14ac:dyDescent="0.2">
      <c r="D349" s="429" t="s">
        <v>59</v>
      </c>
      <c r="E349" s="429"/>
      <c r="F349" s="429"/>
      <c r="G349" s="335">
        <f>3+5-3</f>
        <v>5</v>
      </c>
      <c r="H349" s="335">
        <f t="shared" si="85"/>
        <v>5</v>
      </c>
      <c r="I349" s="335">
        <f t="shared" si="85"/>
        <v>5</v>
      </c>
    </row>
    <row r="350" spans="1:14" x14ac:dyDescent="0.2">
      <c r="D350" s="428" t="s">
        <v>60</v>
      </c>
      <c r="E350" s="428"/>
      <c r="F350" s="428"/>
      <c r="G350" s="335">
        <v>46</v>
      </c>
      <c r="H350" s="335">
        <f t="shared" ref="H350:I352" si="86">G350</f>
        <v>46</v>
      </c>
      <c r="I350" s="335">
        <f t="shared" si="86"/>
        <v>46</v>
      </c>
    </row>
    <row r="351" spans="1:14" x14ac:dyDescent="0.2">
      <c r="D351" s="429" t="s">
        <v>61</v>
      </c>
      <c r="E351" s="429"/>
      <c r="F351" s="429"/>
      <c r="G351" s="335">
        <f>76.895*60%</f>
        <v>46.136999999999993</v>
      </c>
      <c r="H351" s="335">
        <f t="shared" si="86"/>
        <v>46.136999999999993</v>
      </c>
      <c r="I351" s="335">
        <f t="shared" si="86"/>
        <v>46.136999999999993</v>
      </c>
    </row>
    <row r="352" spans="1:14" x14ac:dyDescent="0.2">
      <c r="D352" s="428" t="s">
        <v>62</v>
      </c>
      <c r="E352" s="428"/>
      <c r="F352" s="428"/>
      <c r="G352" s="335">
        <f>76.895*40%</f>
        <v>30.757999999999999</v>
      </c>
      <c r="H352" s="335">
        <f t="shared" si="86"/>
        <v>30.757999999999999</v>
      </c>
      <c r="I352" s="335">
        <f t="shared" si="86"/>
        <v>30.757999999999999</v>
      </c>
    </row>
  </sheetData>
  <mergeCells count="18">
    <mergeCell ref="A4:A5"/>
    <mergeCell ref="C3:F3"/>
    <mergeCell ref="G3:J3"/>
    <mergeCell ref="C336:K337"/>
    <mergeCell ref="D341:F341"/>
    <mergeCell ref="K3:M3"/>
    <mergeCell ref="D342:F342"/>
    <mergeCell ref="D343:F343"/>
    <mergeCell ref="D344:F344"/>
    <mergeCell ref="D340:F340"/>
    <mergeCell ref="D347:F347"/>
    <mergeCell ref="D345:F345"/>
    <mergeCell ref="D346:F346"/>
    <mergeCell ref="D348:F348"/>
    <mergeCell ref="D349:F349"/>
    <mergeCell ref="D351:F351"/>
    <mergeCell ref="D352:F352"/>
    <mergeCell ref="D350:F350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rapaloo</dc:creator>
  <cp:lastModifiedBy>Memuna Gumery</cp:lastModifiedBy>
  <cp:lastPrinted>2017-09-26T10:50:00Z</cp:lastPrinted>
  <dcterms:created xsi:type="dcterms:W3CDTF">2011-03-03T15:04:12Z</dcterms:created>
  <dcterms:modified xsi:type="dcterms:W3CDTF">2024-05-15T17:54:43Z</dcterms:modified>
</cp:coreProperties>
</file>