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117.xml"/>
  <Override ContentType="application/vnd.openxmlformats-officedocument.spreadsheetml.table+xml" PartName="/xl/tables/table59.xml"/>
  <Override ContentType="application/vnd.openxmlformats-officedocument.spreadsheetml.table+xml" PartName="/xl/tables/table125.xml"/>
  <Override ContentType="application/vnd.openxmlformats-officedocument.spreadsheetml.table+xml" PartName="/xl/tables/table151.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13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127.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143.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09.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15.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14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129.xml"/>
  <Override ContentType="application/vnd.openxmlformats-officedocument.spreadsheetml.table+xml" PartName="/xl/tables/table34.xml"/>
  <Override ContentType="application/vnd.openxmlformats-officedocument.spreadsheetml.table+xml" PartName="/xl/tables/table120.xml"/>
  <Override ContentType="application/vnd.openxmlformats-officedocument.spreadsheetml.table+xml" PartName="/xl/tables/table16.xml"/>
  <Override ContentType="application/vnd.openxmlformats-officedocument.spreadsheetml.table+xml" PartName="/xl/tables/table133.xml"/>
  <Override ContentType="application/vnd.openxmlformats-officedocument.spreadsheetml.table+xml" PartName="/xl/tables/table77.xml"/>
  <Override ContentType="application/vnd.openxmlformats-officedocument.spreadsheetml.table+xml" PartName="/xl/tables/table14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112.xml"/>
  <Override ContentType="application/vnd.openxmlformats-officedocument.spreadsheetml.table+xml" PartName="/xl/tables/table70.xml"/>
  <Override ContentType="application/vnd.openxmlformats-officedocument.spreadsheetml.table+xml" PartName="/xl/tables/table155.xml"/>
  <Override ContentType="application/vnd.openxmlformats-officedocument.spreadsheetml.table+xml" PartName="/xl/tables/table46.xml"/>
  <Override ContentType="application/vnd.openxmlformats-officedocument.spreadsheetml.table+xml" PartName="/xl/tables/table13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12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131.xml"/>
  <Override ContentType="application/vnd.openxmlformats-officedocument.spreadsheetml.table+xml" PartName="/xl/tables/table9.xml"/>
  <Override ContentType="application/vnd.openxmlformats-officedocument.spreadsheetml.table+xml" PartName="/xl/tables/table123.xml"/>
  <Override ContentType="application/vnd.openxmlformats-officedocument.spreadsheetml.table+xml" PartName="/xl/tables/table153.xml"/>
  <Override ContentType="application/vnd.openxmlformats-officedocument.spreadsheetml.table+xml" PartName="/xl/tables/table140.xml"/>
  <Override ContentType="application/vnd.openxmlformats-officedocument.spreadsheetml.table+xml" PartName="/xl/tables/table119.xml"/>
  <Override ContentType="application/vnd.openxmlformats-officedocument.spreadsheetml.table+xml" PartName="/xl/tables/table2.xml"/>
  <Override ContentType="application/vnd.openxmlformats-officedocument.spreadsheetml.table+xml" PartName="/xl/tables/table106.xml"/>
  <Override ContentType="application/vnd.openxmlformats-officedocument.spreadsheetml.table+xml" PartName="/xl/tables/table110.xml"/>
  <Override ContentType="application/vnd.openxmlformats-officedocument.spreadsheetml.table+xml" PartName="/xl/tables/table149.xml"/>
  <Override ContentType="application/vnd.openxmlformats-officedocument.spreadsheetml.table+xml" PartName="/xl/tables/table136.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14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08.xml"/>
  <Override ContentType="application/vnd.openxmlformats-officedocument.spreadsheetml.table+xml" PartName="/xl/tables/table15.xml"/>
  <Override ContentType="application/vnd.openxmlformats-officedocument.spreadsheetml.table+xml" PartName="/xl/tables/table134.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152.xml"/>
  <Override ContentType="application/vnd.openxmlformats-officedocument.spreadsheetml.table+xml" PartName="/xl/tables/table118.xml"/>
  <Override ContentType="application/vnd.openxmlformats-officedocument.spreadsheetml.table+xml" PartName="/xl/tables/table144.xml"/>
  <Override ContentType="application/vnd.openxmlformats-officedocument.spreadsheetml.table+xml" PartName="/xl/tables/table126.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28.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114.xml"/>
  <Override ContentType="application/vnd.openxmlformats-officedocument.spreadsheetml.table+xml" PartName="/xl/tables/table35.xml"/>
  <Override ContentType="application/vnd.openxmlformats-officedocument.spreadsheetml.table+xml" PartName="/xl/tables/table132.xml"/>
  <Override ContentType="application/vnd.openxmlformats-officedocument.spreadsheetml.table+xml" PartName="/xl/tables/table78.xml"/>
  <Override ContentType="application/vnd.openxmlformats-officedocument.spreadsheetml.table+xml" PartName="/xl/tables/table146.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116.xml"/>
  <Override ContentType="application/vnd.openxmlformats-officedocument.spreadsheetml.table+xml" PartName="/xl/tables/table7.xml"/>
  <Override ContentType="application/vnd.openxmlformats-officedocument.spreadsheetml.table+xml" PartName="/xl/tables/table150.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130.xml"/>
  <Override ContentType="application/vnd.openxmlformats-officedocument.spreadsheetml.table+xml" PartName="/xl/tables/table71.xml"/>
  <Override ContentType="application/vnd.openxmlformats-officedocument.spreadsheetml.table+xml" PartName="/xl/tables/table113.xml"/>
  <Override ContentType="application/vnd.openxmlformats-officedocument.spreadsheetml.table+xml" PartName="/xl/tables/table88.xml"/>
  <Override ContentType="application/vnd.openxmlformats-officedocument.spreadsheetml.table+xml" PartName="/xl/tables/table139.xml"/>
  <Override ContentType="application/vnd.openxmlformats-officedocument.spreadsheetml.table+xml" PartName="/xl/tables/table148.xml"/>
  <Override ContentType="application/vnd.openxmlformats-officedocument.spreadsheetml.table+xml" PartName="/xl/tables/table122.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111.xml"/>
  <Override ContentType="application/vnd.openxmlformats-officedocument.spreadsheetml.table+xml" PartName="/xl/tables/table3.xml"/>
  <Override ContentType="application/vnd.openxmlformats-officedocument.spreadsheetml.table+xml" PartName="/xl/tables/table154.xml"/>
  <Override ContentType="application/vnd.openxmlformats-officedocument.spreadsheetml.table+xml" PartName="/xl/tables/table141.xml"/>
  <Override ContentType="application/vnd.openxmlformats-officedocument.spreadsheetml.table+xml" PartName="/xl/tables/table107.xml"/>
  <Override ContentType="application/vnd.openxmlformats-officedocument.spreadsheetml.table+xml" PartName="/xl/tables/table60.xml"/>
  <Override ContentType="application/vnd.openxmlformats-officedocument.spreadsheetml.table+xml" PartName="/xl/tables/table124.xml"/>
  <Override ContentType="application/vnd.openxmlformats-officedocument.spreadsheetml.table+xml" PartName="/xl/tables/table90.xml"/>
  <Override ContentType="application/vnd.openxmlformats-officedocument.spreadsheetml.table+xml" PartName="/xl/tables/table137.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d Exercise Log" sheetId="1" r:id="rId4"/>
    <sheet state="visible" name="2025 Weight Journal" sheetId="2" r:id="rId5"/>
    <sheet state="visible" name="Quick Stats" sheetId="3" r:id="rId6"/>
    <sheet state="visible" name="Lifting Records" sheetId="4" r:id="rId7"/>
    <sheet state="visible" name="Measurements" sheetId="5" r:id="rId8"/>
    <sheet state="visible" name="Habits" sheetId="6" r:id="rId9"/>
  </sheets>
  <definedNames>
    <definedName hidden="1" localSheetId="1" name="_xlnm._FilterDatabase">'2025 Weight Journal'!$A$2:$B$380</definedName>
  </definedNames>
  <calcPr/>
</workbook>
</file>

<file path=xl/sharedStrings.xml><?xml version="1.0" encoding="utf-8"?>
<sst xmlns="http://schemas.openxmlformats.org/spreadsheetml/2006/main" count="6201" uniqueCount="455">
  <si>
    <t>Exercise Log</t>
  </si>
  <si>
    <t>Setup</t>
  </si>
  <si>
    <t>Week 1</t>
  </si>
  <si>
    <t>Week 2</t>
  </si>
  <si>
    <t>Week 3</t>
  </si>
  <si>
    <t>Week 4</t>
  </si>
  <si>
    <t>Deload</t>
  </si>
  <si>
    <t>Week 5</t>
  </si>
  <si>
    <t>Week 6</t>
  </si>
  <si>
    <t>Week 7</t>
  </si>
  <si>
    <t>Week 8</t>
  </si>
  <si>
    <t>Week 9</t>
  </si>
  <si>
    <t>Week 10</t>
  </si>
  <si>
    <t>Week 11</t>
  </si>
  <si>
    <t>Week 12</t>
  </si>
  <si>
    <t>Week 13</t>
  </si>
  <si>
    <t>Week 14</t>
  </si>
  <si>
    <t>Week 15</t>
  </si>
  <si>
    <t>Week 16</t>
  </si>
  <si>
    <t>Sets
(Min)</t>
  </si>
  <si>
    <t>Sets
(Max)</t>
  </si>
  <si>
    <t>Reps
(Min)</t>
  </si>
  <si>
    <t>Reps
(Max)</t>
  </si>
  <si>
    <t>Load
(Start)</t>
  </si>
  <si>
    <t>Round
to ???</t>
  </si>
  <si>
    <t>Level</t>
  </si>
  <si>
    <t>Sets</t>
  </si>
  <si>
    <t>Reps</t>
  </si>
  <si>
    <t>Load</t>
  </si>
  <si>
    <t>100%?</t>
  </si>
  <si>
    <t>Notes</t>
  </si>
  <si>
    <t>Day 1</t>
  </si>
  <si>
    <t>Squat / Hacksquat</t>
  </si>
  <si>
    <t>Advanced 2</t>
  </si>
  <si>
    <t>Yes</t>
  </si>
  <si>
    <t>DB Lunge</t>
  </si>
  <si>
    <t>Press</t>
  </si>
  <si>
    <t>Leg extension</t>
  </si>
  <si>
    <t>Calves seated extension</t>
  </si>
  <si>
    <t>Leg curl</t>
  </si>
  <si>
    <t>Lower back</t>
  </si>
  <si>
    <t>Abs</t>
  </si>
  <si>
    <t>Day 2</t>
  </si>
  <si>
    <t>Dips</t>
  </si>
  <si>
    <t>DB incline bench press</t>
  </si>
  <si>
    <t>Cable crossover</t>
  </si>
  <si>
    <t>Tricep extension rope</t>
  </si>
  <si>
    <t>French press</t>
  </si>
  <si>
    <t>Incline bench press</t>
  </si>
  <si>
    <t>Lateral raise</t>
  </si>
  <si>
    <t>Upright row</t>
  </si>
  <si>
    <t>Day 3</t>
  </si>
  <si>
    <t>Reverse Grip Barbell Curl</t>
  </si>
  <si>
    <t>---</t>
  </si>
  <si>
    <t>DB Wrist Curl</t>
  </si>
  <si>
    <t>Day 4</t>
  </si>
  <si>
    <t>Chin Up</t>
  </si>
  <si>
    <t>Seated Cable Row</t>
  </si>
  <si>
    <t>Rope back extension</t>
  </si>
  <si>
    <t>Lat pulldown</t>
  </si>
  <si>
    <t>Machine</t>
  </si>
  <si>
    <t>Biceps preacher curl</t>
  </si>
  <si>
    <t>Day 5</t>
  </si>
  <si>
    <t>Barbell Shrugs</t>
  </si>
  <si>
    <t>Biceps BB curl</t>
  </si>
  <si>
    <t>Seated DB curl</t>
  </si>
  <si>
    <t>Exercise 4</t>
  </si>
  <si>
    <t>Dumbbell Wrist Curl</t>
  </si>
  <si>
    <t>Day 6</t>
  </si>
  <si>
    <t>Seated BB press</t>
  </si>
  <si>
    <t>Seated DB press</t>
  </si>
  <si>
    <t>Cable shoulder raise</t>
  </si>
  <si>
    <t>Military press</t>
  </si>
  <si>
    <t>Rope delt pull</t>
  </si>
  <si>
    <t>Daily Weight</t>
  </si>
  <si>
    <t>Weekly Trends</t>
  </si>
  <si>
    <t>Monthly Goals</t>
  </si>
  <si>
    <t>Energy Balance
Calculator</t>
  </si>
  <si>
    <t>Date</t>
  </si>
  <si>
    <t>Weight</t>
  </si>
  <si>
    <t>Day</t>
  </si>
  <si>
    <t>Raw Data</t>
  </si>
  <si>
    <t>Fill-in Data</t>
  </si>
  <si>
    <t>3-Day Mean</t>
  </si>
  <si>
    <t>&amp; Weekly</t>
  </si>
  <si>
    <t>Ending</t>
  </si>
  <si>
    <t>TDEE</t>
  </si>
  <si>
    <t>Month</t>
  </si>
  <si>
    <t>Goal</t>
  </si>
  <si>
    <t>Method</t>
  </si>
  <si>
    <t>Weight/kCal
Metric</t>
  </si>
  <si>
    <t>31/1/2025</t>
  </si>
  <si>
    <t>N/A</t>
  </si>
  <si>
    <t>January</t>
  </si>
  <si>
    <t>Gain</t>
  </si>
  <si>
    <t>Starting Weight</t>
  </si>
  <si>
    <t>linktr.ee/bodyunbound</t>
  </si>
  <si>
    <t>14/2/2025</t>
  </si>
  <si>
    <t>February</t>
  </si>
  <si>
    <t>Ending Weight</t>
  </si>
  <si>
    <t/>
  </si>
  <si>
    <t>March</t>
  </si>
  <si>
    <t>How Long?</t>
  </si>
  <si>
    <t>6 Weeks</t>
  </si>
  <si>
    <t>April</t>
  </si>
  <si>
    <t>Small Cut</t>
  </si>
  <si>
    <t>Daily Balance</t>
  </si>
  <si>
    <t>May</t>
  </si>
  <si>
    <t>Med Cut</t>
  </si>
  <si>
    <t>June</t>
  </si>
  <si>
    <t>Big Cut</t>
  </si>
  <si>
    <t>Projected Weight</t>
  </si>
  <si>
    <t>July</t>
  </si>
  <si>
    <t>Maintain</t>
  </si>
  <si>
    <t>After 1 Month</t>
  </si>
  <si>
    <t>August</t>
  </si>
  <si>
    <t>After 3 Months</t>
  </si>
  <si>
    <t>September</t>
  </si>
  <si>
    <t>After 6 Months</t>
  </si>
  <si>
    <t>October</t>
  </si>
  <si>
    <t>Gain +</t>
  </si>
  <si>
    <t>After 12 Months</t>
  </si>
  <si>
    <t>November</t>
  </si>
  <si>
    <t>December</t>
  </si>
  <si>
    <r>
      <rPr>
        <rFont val="Permanent Marker"/>
        <color rgb="FFFFFFFF"/>
        <sz val="16.0"/>
      </rPr>
      <t>Quick Stats</t>
    </r>
    <r>
      <rPr>
        <rFont val="Permanent Marker"/>
        <color rgb="FFFFFFFF"/>
        <sz val="14.0"/>
      </rPr>
      <t xml:space="preserve"> </t>
    </r>
    <r>
      <rPr>
        <rFont val="Arial Narrow"/>
        <i/>
        <color rgb="FFF7CB4D"/>
        <sz val="10.0"/>
      </rPr>
      <t>v2.0</t>
    </r>
  </si>
  <si>
    <t>Current Stats</t>
  </si>
  <si>
    <t>Goal Stats</t>
  </si>
  <si>
    <t>Metric
↓</t>
  </si>
  <si>
    <t>Activity Multiplier</t>
  </si>
  <si>
    <t>BMI Status &amp;
FFMI + BF% Reference</t>
  </si>
  <si>
    <t>Sex</t>
  </si>
  <si>
    <t>Male</t>
  </si>
  <si>
    <t>Age</t>
  </si>
  <si>
    <t>General (Non-Exercise) Activity</t>
  </si>
  <si>
    <t>BMI Status</t>
  </si>
  <si>
    <t>Height</t>
  </si>
  <si>
    <t>Lightly Active</t>
  </si>
  <si>
    <t>Bodyfat Percentage</t>
  </si>
  <si>
    <t>BF %</t>
  </si>
  <si>
    <t>Muscle Strengthening Activity</t>
  </si>
  <si>
    <t>Description</t>
  </si>
  <si>
    <t>Males</t>
  </si>
  <si>
    <t>Females</t>
  </si>
  <si>
    <t>LBM</t>
  </si>
  <si>
    <t>4 hours/week</t>
  </si>
  <si>
    <t>Essential Fat</t>
  </si>
  <si>
    <t>10-13</t>
  </si>
  <si>
    <t>FM</t>
  </si>
  <si>
    <t>Very Lean</t>
  </si>
  <si>
    <t>14-20</t>
  </si>
  <si>
    <t>BMI</t>
  </si>
  <si>
    <t>Aerobic (Cardio) Activity</t>
  </si>
  <si>
    <t>Fitness</t>
  </si>
  <si>
    <t>14-17</t>
  </si>
  <si>
    <t>21-24</t>
  </si>
  <si>
    <t>FFMI</t>
  </si>
  <si>
    <t>2 hours/week</t>
  </si>
  <si>
    <t>Acceptable</t>
  </si>
  <si>
    <t>18-24</t>
  </si>
  <si>
    <t>25-31</t>
  </si>
  <si>
    <t>Activity</t>
  </si>
  <si>
    <t>Goals &amp; Distance</t>
  </si>
  <si>
    <t>Excess Fat</t>
  </si>
  <si>
    <t>25-29</t>
  </si>
  <si>
    <t>32-39</t>
  </si>
  <si>
    <t>Protein</t>
  </si>
  <si>
    <t>Med Protein</t>
  </si>
  <si>
    <t>Steady Weight Loss</t>
  </si>
  <si>
    <t>Descriptions</t>
  </si>
  <si>
    <t>Risky</t>
  </si>
  <si>
    <t>30+</t>
  </si>
  <si>
    <t>40+</t>
  </si>
  <si>
    <t>Fat/Carbs</t>
  </si>
  <si>
    <t>Med Fats/Carbs</t>
  </si>
  <si>
    <t>• General Activity "None" - You are confined to a bed all day and aren't able to do anything else.</t>
  </si>
  <si>
    <r>
      <rPr>
        <rFont val="Arial Narrow"/>
        <b val="0"/>
        <color rgb="FFFFFFFF"/>
        <sz val="8.0"/>
      </rPr>
      <t>[1]</t>
    </r>
    <r>
      <rPr>
        <rFont val="Arial Narrow"/>
        <b/>
        <color rgb="FFFFFFFF"/>
        <sz val="10.0"/>
      </rPr>
      <t xml:space="preserve"> TDEE</t>
    </r>
  </si>
  <si>
    <t>• General Activity "Sedentary" - You sit for most of the day, but move around for activities of daily living.</t>
  </si>
  <si>
    <t>Fat Free Mass Index</t>
  </si>
  <si>
    <r>
      <rPr>
        <rFont val="Arial Narrow"/>
        <b val="0"/>
        <color rgb="FFFFFFFF"/>
        <sz val="8.0"/>
      </rPr>
      <t>[1]</t>
    </r>
    <r>
      <rPr>
        <rFont val="Arial Narrow"/>
        <b/>
        <color rgb="FFFFFFFF"/>
        <sz val="10.0"/>
      </rPr>
      <t xml:space="preserve"> kCal</t>
    </r>
  </si>
  <si>
    <t>• General Activity "Lightly Active" - You're on your feet for several hours per day standing or walking. You probably walk around ~4000 steps per day.</t>
  </si>
  <si>
    <r>
      <rPr>
        <rFont val="Arial Narrow"/>
        <b val="0"/>
        <color rgb="FFFFFFFF"/>
        <sz val="8.0"/>
      </rPr>
      <t>[1]</t>
    </r>
    <r>
      <rPr>
        <rFont val="Arial Narrow"/>
        <b/>
        <color rgb="FFFFFFFF"/>
        <sz val="10.0"/>
      </rPr>
      <t xml:space="preserve"> Protein</t>
    </r>
  </si>
  <si>
    <t>• General Activity "Moderately Active" - You are physically active for several hours per day, probably averaging 6000 to 8000 steps. Besides walking you are probably engaged in lightly strenuous activities throughout the day.</t>
  </si>
  <si>
    <t>Skinny</t>
  </si>
  <si>
    <t>17-18</t>
  </si>
  <si>
    <t>14-15</t>
  </si>
  <si>
    <r>
      <rPr>
        <rFont val="Arial Narrow"/>
        <b val="0"/>
        <color rgb="FFFFFFFF"/>
        <sz val="8.0"/>
      </rPr>
      <t>[1]</t>
    </r>
    <r>
      <rPr>
        <rFont val="Arial Narrow"/>
        <b/>
        <color rgb="FFFFFFFF"/>
        <sz val="10.0"/>
      </rPr>
      <t xml:space="preserve"> Fat</t>
    </r>
  </si>
  <si>
    <t>Quick Conversions</t>
  </si>
  <si>
    <t>• General Activity "Very Active" - You are likely working a physically demanding job or doing an equivilent amount of activity while getting around 10,000 steps a day,.</t>
  </si>
  <si>
    <t>Average</t>
  </si>
  <si>
    <t>18-20</t>
  </si>
  <si>
    <t>15-16</t>
  </si>
  <si>
    <r>
      <rPr>
        <rFont val="Arial Narrow"/>
        <b val="0"/>
        <color rgb="FFFFFFFF"/>
        <sz val="8.0"/>
      </rPr>
      <t>[1]</t>
    </r>
    <r>
      <rPr>
        <rFont val="Arial Narrow"/>
        <b/>
        <color rgb="FFFFFFFF"/>
        <sz val="10.0"/>
      </rPr>
      <t xml:space="preserve"> Carbs</t>
    </r>
  </si>
  <si>
    <t>lbs to kg</t>
  </si>
  <si>
    <t>• General Activity "Highly Active" - You rarely sit down, you're always doing something physically active. You might walk/cycle/skate literally everywhere you go while also engaging in various physical activities.</t>
  </si>
  <si>
    <t>Athletic</t>
  </si>
  <si>
    <t>20-21</t>
  </si>
  <si>
    <t>16-17</t>
  </si>
  <si>
    <r>
      <rPr>
        <rFont val="Arial Narrow"/>
        <b val="0"/>
        <color rgb="FFFFFFFF"/>
        <sz val="8.0"/>
      </rPr>
      <t>[2]</t>
    </r>
    <r>
      <rPr>
        <rFont val="Arial Narrow"/>
        <b/>
        <color rgb="FFFFFFFF"/>
        <sz val="10.0"/>
      </rPr>
      <t xml:space="preserve"> TDEE</t>
    </r>
  </si>
  <si>
    <t>Fitness Model</t>
  </si>
  <si>
    <t>22-23</t>
  </si>
  <si>
    <t>18-19</t>
  </si>
  <si>
    <r>
      <rPr>
        <rFont val="Arial Narrow"/>
        <b val="0"/>
        <color rgb="FFFFFFFF"/>
        <sz val="8.0"/>
      </rPr>
      <t>[2]</t>
    </r>
    <r>
      <rPr>
        <rFont val="Arial Narrow"/>
        <b/>
        <color rgb="FFFFFFFF"/>
        <sz val="10.0"/>
      </rPr>
      <t xml:space="preserve"> kCal</t>
    </r>
  </si>
  <si>
    <t>kg to lbs</t>
  </si>
  <si>
    <t>• Muscle Strengthening Activites are those that challenge the muscles to become bigger or stronger. This could be lifting weights or any other type of resistance training.</t>
  </si>
  <si>
    <t>Bodybuilder</t>
  </si>
  <si>
    <t>24-25</t>
  </si>
  <si>
    <t>20-22</t>
  </si>
  <si>
    <r>
      <rPr>
        <rFont val="Arial Narrow"/>
        <b val="0"/>
        <color rgb="FFFFFFFF"/>
        <sz val="8.0"/>
      </rPr>
      <t>[2]</t>
    </r>
    <r>
      <rPr>
        <rFont val="Arial Narrow"/>
        <b/>
        <color rgb="FFFFFFFF"/>
        <sz val="10.0"/>
      </rPr>
      <t xml:space="preserve"> Protein</t>
    </r>
  </si>
  <si>
    <t>• Aerobic (Cardio) Activities are those that challenge the aerobic (cardiovascular) system to some capacity. You should be breathing harder during such activities.</t>
  </si>
  <si>
    <r>
      <rPr>
        <rFont val="Arial Narrow"/>
        <b val="0"/>
        <color rgb="FFFFFFFF"/>
        <sz val="8.0"/>
      </rPr>
      <t>[2]</t>
    </r>
    <r>
      <rPr>
        <rFont val="Arial Narrow"/>
        <b/>
        <color rgb="FFFFFFFF"/>
        <sz val="10.0"/>
      </rPr>
      <t xml:space="preserve"> Fat</t>
    </r>
  </si>
  <si>
    <t>inches to cm</t>
  </si>
  <si>
    <r>
      <rPr>
        <rFont val="Arial Narrow"/>
        <b val="0"/>
        <color rgb="FFFFFFFF"/>
        <sz val="8.0"/>
      </rPr>
      <t>[2]</t>
    </r>
    <r>
      <rPr>
        <rFont val="Arial Narrow"/>
        <b/>
        <color rgb="FFFFFFFF"/>
        <sz val="10.0"/>
      </rPr>
      <t xml:space="preserve"> Carbs</t>
    </r>
  </si>
  <si>
    <t>Note: Only dark yellow cells should be modified.</t>
  </si>
  <si>
    <t>[1] is the Mifflin-St. Jeor equation, [2] is the Cunningham equation.</t>
  </si>
  <si>
    <t>Lifting Records</t>
  </si>
  <si>
    <t>Lifting Calculator</t>
  </si>
  <si>
    <t>1st Test</t>
  </si>
  <si>
    <t>2nd Test</t>
  </si>
  <si>
    <t>3rd Test</t>
  </si>
  <si>
    <t>4th Test</t>
  </si>
  <si>
    <t>5th Test</t>
  </si>
  <si>
    <t>6th Test</t>
  </si>
  <si>
    <t>Test #</t>
  </si>
  <si>
    <t>Exercise Name</t>
  </si>
  <si>
    <t>RIR</t>
  </si>
  <si>
    <t>BB Deadlift</t>
  </si>
  <si>
    <t>%1RM</t>
  </si>
  <si>
    <t>Main Lifts</t>
  </si>
  <si>
    <t>BB Squat</t>
  </si>
  <si>
    <t>Heavy Loading</t>
  </si>
  <si>
    <t>1 Rep Max</t>
  </si>
  <si>
    <t>2 Rep Max</t>
  </si>
  <si>
    <t>BB Bench Press</t>
  </si>
  <si>
    <t>3 Rep Max</t>
  </si>
  <si>
    <t>BB OHP</t>
  </si>
  <si>
    <t>4 Rep Max</t>
  </si>
  <si>
    <t>BB Row</t>
  </si>
  <si>
    <t>5 Rep Max</t>
  </si>
  <si>
    <t>EM Leg Press</t>
  </si>
  <si>
    <t>Moderate Loading</t>
  </si>
  <si>
    <t>6 Rep Max</t>
  </si>
  <si>
    <t>BB Hip Thrust</t>
  </si>
  <si>
    <t>7 Rep Max</t>
  </si>
  <si>
    <t>BB Incline Press</t>
  </si>
  <si>
    <t>8 Rep Max</t>
  </si>
  <si>
    <t>BB Upright Row</t>
  </si>
  <si>
    <t>9 Rep Max</t>
  </si>
  <si>
    <t>RC Lat Pulldown</t>
  </si>
  <si>
    <t>10 Rep Max</t>
  </si>
  <si>
    <t>Accessory LIfts</t>
  </si>
  <si>
    <t>BB Front Squats</t>
  </si>
  <si>
    <t>11 Rep Max</t>
  </si>
  <si>
    <t>DB Lunges</t>
  </si>
  <si>
    <t>12 Rep Max</t>
  </si>
  <si>
    <t>EM Leg Extensions</t>
  </si>
  <si>
    <t>Light Loading</t>
  </si>
  <si>
    <t>13 Rep Max</t>
  </si>
  <si>
    <t>BB Good Mornings</t>
  </si>
  <si>
    <t>14 Rep Max</t>
  </si>
  <si>
    <t>EM Glute Ham Raise</t>
  </si>
  <si>
    <t>15 Rep Max</t>
  </si>
  <si>
    <t>EM Hamstring Curl</t>
  </si>
  <si>
    <t>16 Rep Max</t>
  </si>
  <si>
    <t>EM Hip ABduction</t>
  </si>
  <si>
    <t>17 Rep Max</t>
  </si>
  <si>
    <t>EM Calf Raise</t>
  </si>
  <si>
    <t>18 Rep Max</t>
  </si>
  <si>
    <t>EM Chest Press</t>
  </si>
  <si>
    <t>19 Rep Max</t>
  </si>
  <si>
    <t>EM Chest Flyes</t>
  </si>
  <si>
    <t>20 Rep Max</t>
  </si>
  <si>
    <t>CB Skullcrushers</t>
  </si>
  <si>
    <t>RC Tricep Extensions</t>
  </si>
  <si>
    <t>EM Shoulder Press</t>
  </si>
  <si>
    <t>Barbell to Dumbbell Calculator</t>
  </si>
  <si>
    <t>BB Landmine Press</t>
  </si>
  <si>
    <t>Barbell to Dumbbell</t>
  </si>
  <si>
    <t>DB Lateral Raise</t>
  </si>
  <si>
    <t>RC Facepulls</t>
  </si>
  <si>
    <t>Dumbbell to Barbell</t>
  </si>
  <si>
    <t>BW Pullups</t>
  </si>
  <si>
    <t>BW Chinups</t>
  </si>
  <si>
    <t>*combined weight of two dumbbells.</t>
  </si>
  <si>
    <t>RC Straight Arm Pulldown</t>
  </si>
  <si>
    <t>EM Reverse Flyes</t>
  </si>
  <si>
    <t>Prefix Abbreviation Guide</t>
  </si>
  <si>
    <t>CB Bicep Curl</t>
  </si>
  <si>
    <t>- RIR stands for "Reps in Reserve"</t>
  </si>
  <si>
    <t>CB Reverse Curl</t>
  </si>
  <si>
    <t>- BB stands for "Barbell"</t>
  </si>
  <si>
    <t>CB Preacher Curl</t>
  </si>
  <si>
    <t>- CB stands for "Curl Bar"</t>
  </si>
  <si>
    <t>DB Incline Curl</t>
  </si>
  <si>
    <t>- DB stands for "Dumbbell"</t>
  </si>
  <si>
    <t>DB Hammer Curl</t>
  </si>
  <si>
    <t>- KB stands for "Kettlebell"</t>
  </si>
  <si>
    <t>- EM stands for "Exercise Machine"</t>
  </si>
  <si>
    <t>- RB stands for "Resistance Band"</t>
  </si>
  <si>
    <t>- RC stands for "Resistance Cable"</t>
  </si>
  <si>
    <t>Circumference</t>
  </si>
  <si>
    <t>Skinfold</t>
  </si>
  <si>
    <t>Subjective</t>
  </si>
  <si>
    <t>Neck</t>
  </si>
  <si>
    <t>Shoulder</t>
  </si>
  <si>
    <t>Chest</t>
  </si>
  <si>
    <t>Upper Arm</t>
  </si>
  <si>
    <t>Waist</t>
  </si>
  <si>
    <t>Hip</t>
  </si>
  <si>
    <t>Thigh</t>
  </si>
  <si>
    <t>Calf</t>
  </si>
  <si>
    <t>Midaxillary</t>
  </si>
  <si>
    <t>Abdominal</t>
  </si>
  <si>
    <t>Suprailiac</t>
  </si>
  <si>
    <t>Subscapular</t>
  </si>
  <si>
    <t>Triceps</t>
  </si>
  <si>
    <t>Pics</t>
  </si>
  <si>
    <t>BF%</t>
  </si>
  <si>
    <t>https://imgur.com/upload</t>
  </si>
  <si>
    <t>*Measured in ____.</t>
  </si>
  <si>
    <t>Bodyfat % Calculator</t>
  </si>
  <si>
    <t>Measuring Guide</t>
  </si>
  <si>
    <t>Visual Reference</t>
  </si>
  <si>
    <r>
      <rPr>
        <rFont val="Arial Narrow"/>
        <color rgb="FF1155CC"/>
        <sz val="10.0"/>
        <u/>
      </rPr>
      <t>https://imgur.com/a/sGVA64g</t>
    </r>
    <r>
      <rPr>
        <rFont val="Arial Narrow"/>
        <sz val="10.0"/>
      </rPr>
      <t xml:space="preserve"> </t>
    </r>
  </si>
  <si>
    <r>
      <rPr>
        <rFont val="Arial Narrow"/>
        <color rgb="FF1155CC"/>
        <sz val="10.0"/>
        <u/>
      </rPr>
      <t>https://imgur.com/a/OZp7GKX</t>
    </r>
    <r>
      <rPr>
        <rFont val="Arial Narrow"/>
        <sz val="10.0"/>
      </rPr>
      <t xml:space="preserve"> </t>
    </r>
  </si>
  <si>
    <t>Measure just below the Adam's apple and at the level of the 7th cervical vertebra. This particular vertebra is the "big bump" at the base of the neck.</t>
  </si>
  <si>
    <t>In men and women, this site is located on the diagonal line between the armpit and the nipple. Men should find the halfway point while women should measure 1/3 of the way between the two locations, closer to the armpit. Pinch and measure a diagonal fold.</t>
  </si>
  <si>
    <t>Measure at the widest point of the shoulders, around the entire shoulder area. Make sure to stand upright and breath normally. Record the measure after a normal (not forced) exhalation for ladies and after a normal (not forced) inhalation for men.</t>
  </si>
  <si>
    <t>The midaxillary line is a vertical line between the armpit and the hip. Find this line and then find your skinfold site, which is horizontal to the bottom of your sternum. Select a vertical skinfold at this site.</t>
  </si>
  <si>
    <t>For men, measure the maximal horizontal girth of the chest at the nipple line. For women, measure above the breasts. Stand upright and pass the tape measure over the shoulder blades and under the armpits. Record the measure after a normal (not forced) exhalation for women and a normal (not forced) inhalation for men.</t>
  </si>
  <si>
    <t>This site is located 1 inch directly to the left of, and in line with, the umbilicus (belly button). Pinch and measure a vertical fold of skin.</t>
  </si>
  <si>
    <t>Measure halfway between the eblow and the bony point on the top of your shoulder. Measure the distance if you have to and then take the circumference of this mid-point.</t>
  </si>
  <si>
    <t>This site is the area just above the natural angle of the iliac crest (hip bone). To measure this spot, trace the front angle of the hip and select a diagonal fold of skin 0.5 to 1 inch above the hip bone.</t>
  </si>
  <si>
    <t>Measure at the navel (belly button). Stand upright and breath normally with the abdomen relaxed. Record the measure after a normal (not foced) exhalation.</t>
  </si>
  <si>
    <t>This site is just below the bottom tip of your scapula (shoulder blade).Take a 45 degree diagonal skinfold measurement in the same direction as the imaginary line between ear and shoulder.</t>
  </si>
  <si>
    <t>Measure (from the side) around the glutes at the level of maximum circumference (the widest point). On the front side, the tape should pass over the pubic sympysis.</t>
  </si>
  <si>
    <t>This site is located at the back midline of the upper arm, halfway between the elbow and the bony point on the top of your shoulder. Measure this distance and mark the halfway point. Next, pinch a vertical fold of skin.</t>
  </si>
  <si>
    <t>Meaure at the halfway point between the center of the kneecap and the inguinal crease (the line where your leg inserts into the trunk). Measure the distance if necessary and then take the circumference of the mid-point.</t>
  </si>
  <si>
    <t>To find this site, select a vertical fold on the front midline of the thigh, halfway between the kneecap and inguinal crease (the line where leg inserts into trunk). Measure this distance and mark the mid-point.</t>
  </si>
  <si>
    <t>Simply measure at the widest point of the calf musclulature.</t>
  </si>
  <si>
    <t>Habit Tracker</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</si>
  <si>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</si>
  <si>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</si>
  <si>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</si>
  <si>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</si>
  <si>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</si>
  <si>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</si>
  <si>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</si>
  <si>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</si>
  <si>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</si>
  <si>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</si>
  <si>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</si>
  <si>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</si>
  <si>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</si>
  <si>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</si>
  <si>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</si>
  <si>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</si>
  <si>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</si>
  <si>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</si>
  <si>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</si>
  <si>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</si>
  <si>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</si>
  <si>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</si>
  <si>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</si>
  <si>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</si>
  <si>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</si>
  <si>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</si>
  <si>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</si>
  <si>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</si>
  <si>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</si>
  <si>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</si>
  <si>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</si>
  <si>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</si>
  <si>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</si>
  <si>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</si>
  <si>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</si>
  <si>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</si>
  <si>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Sun</t>
  </si>
  <si>
    <t>Mon</t>
  </si>
  <si>
    <t>Tue</t>
  </si>
  <si>
    <t>Wed</t>
  </si>
  <si>
    <t>Thu</t>
  </si>
  <si>
    <t>Fri</t>
  </si>
  <si>
    <t>Sat</t>
  </si>
  <si>
    <t>Score</t>
  </si>
  <si>
    <t>Habits</t>
  </si>
  <si>
    <t>Sleep Target</t>
  </si>
  <si>
    <t>★★★</t>
  </si>
  <si>
    <t>★★☆</t>
  </si>
  <si>
    <t>★☆☆</t>
  </si>
  <si>
    <t>☆☆☆</t>
  </si>
  <si>
    <t>Stress Target</t>
  </si>
  <si>
    <t>Resistance Exercise Target</t>
  </si>
  <si>
    <t>Aerobic Exercise Target</t>
  </si>
  <si>
    <t>Calorie Target</t>
  </si>
  <si>
    <t>Protein Target</t>
  </si>
  <si>
    <t>Vegetable Target</t>
  </si>
  <si>
    <t>Habit 8</t>
  </si>
  <si>
    <t>Habit 9</t>
  </si>
  <si>
    <t>Habit 10</t>
  </si>
  <si>
    <t>Habit 11</t>
  </si>
  <si>
    <t>Habit 12</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</si>
  <si>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</si>
  <si>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</si>
  <si>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</si>
  <si>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</si>
  <si>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</si>
  <si>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</si>
  <si>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</si>
  <si>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</si>
  <si>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</si>
  <si>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</si>
  <si>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</si>
  <si>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</si>
  <si>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</si>
  <si>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</si>
  <si>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</si>
  <si>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</si>
  <si>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</si>
  <si>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</si>
  <si>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</si>
  <si>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</si>
  <si>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</si>
  <si>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</si>
  <si>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</si>
  <si>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</si>
  <si>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</si>
  <si>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</si>
  <si>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</si>
  <si>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</si>
  <si>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</si>
  <si>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</si>
  <si>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</si>
  <si>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</si>
  <si>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</si>
  <si>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</si>
  <si>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</si>
  <si>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</si>
  <si>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</si>
  <si>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</si>
  <si>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</si>
  <si>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</si>
  <si>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</si>
  <si>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</si>
  <si>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</si>
  <si>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</si>
  <si>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</si>
  <si>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</si>
  <si>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</si>
  <si>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</si>
  <si>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</si>
  <si>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</si>
  <si>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</si>
  <si>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</si>
  <si>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Targets Defined</t>
  </si>
  <si>
    <t>Target 1 - "☆☆☆", description | "★☆☆", description | "★★☆", description | "★★★" description</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</si>
</sst>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
    <numFmt numFmtId="165" formatCode="m/d/yy"/>
    <numFmt numFmtId="166" formatCode="yyyy/mm/dd"/>
    <numFmt numFmtId="167" formatCode="#,##0.0"/>
    <numFmt numFmtId="168" formatCode="&quot;(&quot;ddd&quot;) &quot;mmm&quot; &quot;d"/>
    <numFmt numFmtId="169" formatCode="&quot;(&quot;ddd&quot;) &quot;mmmm&quot; &quot;d"/>
    <numFmt numFmtId="170" formatCode="m-d"/>
    <numFmt numFmtId="171" formatCode="mmm d"/>
    <numFmt numFmtId="172" formatCode="m/d/yyyy"/>
  </numFmts>
  <fonts count="59">
    <font>
      <sz val="11.0"/>
      <color theme="1"/>
      <name val="Calibri"/>
      <scheme val="minor"/>
    </font>
    <font>
      <sz val="16.0"/>
      <color rgb="FFFFFFFF"/>
      <name val="Calibri"/>
      <scheme val="minor"/>
    </font>
    <font>
      <sz val="8.0"/>
      <color rgb="FFFFFFFF"/>
      <name val="Permanent Marker"/>
    </font>
    <font>
      <b/>
      <sz val="12.0"/>
      <color rgb="FFFFFFFF"/>
      <name val="Calibri"/>
      <scheme val="minor"/>
    </font>
    <font/>
    <font>
      <b/>
      <sz val="8.0"/>
      <color rgb="FFFFFFFF"/>
      <name val="Calibri"/>
      <scheme val="minor"/>
    </font>
    <font>
      <sz val="12.0"/>
      <color rgb="FFFFFFFF"/>
      <name val="Permanent Marker"/>
    </font>
    <font>
      <color theme="1"/>
      <name val="Arial Narrow"/>
    </font>
    <font>
      <sz val="8.0"/>
      <color theme="0"/>
      <name val="Permanent Marker"/>
    </font>
    <font>
      <sz val="10.0"/>
      <color theme="0"/>
      <name val="Arial Narrow"/>
    </font>
    <font>
      <sz val="12.0"/>
      <color rgb="FFFFFFFF"/>
      <name val="Calibri"/>
      <scheme val="minor"/>
    </font>
    <font>
      <sz val="8.0"/>
      <color theme="1"/>
      <name val="Permanent Marker"/>
    </font>
    <font>
      <sz val="10.0"/>
      <color theme="1"/>
      <name val="Arial Narrow"/>
    </font>
    <font>
      <sz val="10.0"/>
      <color rgb="FF000000"/>
      <name val="Calibri"/>
      <scheme val="minor"/>
    </font>
    <font>
      <sz val="8.0"/>
      <color rgb="FFFFFFFF"/>
      <name val="Calibri"/>
      <scheme val="minor"/>
    </font>
    <font>
      <sz val="10.0"/>
      <color rgb="FF1C4587"/>
      <name val="Calibri"/>
      <scheme val="minor"/>
    </font>
    <font>
      <sz val="10.0"/>
      <color rgb="FFFFFFFF"/>
      <name val="Calibri"/>
      <scheme val="minor"/>
    </font>
    <font>
      <sz val="10.0"/>
      <color rgb="FFFFFFFF"/>
      <name val="Arial Narrow"/>
    </font>
    <font>
      <sz val="10.0"/>
      <color theme="1"/>
      <name val="Calibri"/>
      <scheme val="minor"/>
    </font>
    <font>
      <sz val="10.0"/>
      <color rgb="FF000000"/>
      <name val="Arial Narrow"/>
    </font>
    <font>
      <color theme="1"/>
      <name val="Calibri"/>
      <scheme val="minor"/>
    </font>
    <font>
      <b/>
      <sz val="8.0"/>
      <color theme="1"/>
      <name val="Calibri"/>
      <scheme val="minor"/>
    </font>
    <font>
      <sz val="8.0"/>
      <color theme="1"/>
      <name val="Calibri"/>
      <scheme val="minor"/>
    </font>
    <font>
      <sz val="8.0"/>
      <color theme="1"/>
      <name val="Arial Narrow"/>
    </font>
    <font>
      <b/>
      <sz val="16.0"/>
      <color rgb="FFFFFFFF"/>
      <name val="Calibri"/>
      <scheme val="minor"/>
    </font>
    <font>
      <sz val="12.0"/>
      <color theme="1"/>
      <name val="Calibri"/>
      <scheme val="minor"/>
    </font>
    <font>
      <b/>
      <sz val="16.0"/>
      <color theme="0"/>
      <name val="Calibri"/>
      <scheme val="minor"/>
    </font>
    <font>
      <sz val="12.0"/>
      <color theme="1"/>
      <name val="Arial Narrow"/>
    </font>
    <font>
      <sz val="12.0"/>
      <color rgb="FFFFFFFF"/>
      <name val="Arial"/>
    </font>
    <font>
      <b/>
      <sz val="12.0"/>
      <color theme="0"/>
      <name val="Arial"/>
    </font>
    <font>
      <b/>
      <sz val="12.0"/>
      <color rgb="FFFFFFFF"/>
      <name val="Arial"/>
    </font>
    <font>
      <sz val="12.0"/>
      <color rgb="FF000000"/>
      <name val="Arial Narrow"/>
    </font>
    <font>
      <sz val="12.0"/>
      <color theme="1"/>
      <name val="&quot;Arial Narrow&quot;"/>
    </font>
    <font>
      <sz val="9.0"/>
      <color theme="1"/>
      <name val="Arial Narrow"/>
    </font>
    <font>
      <sz val="11.0"/>
      <color rgb="FF000000"/>
      <name val="Arial Narrow"/>
    </font>
    <font>
      <b/>
      <u/>
      <sz val="10.0"/>
      <color rgb="FF999999"/>
      <name val="Arial"/>
    </font>
    <font>
      <i/>
      <sz val="10.0"/>
      <color rgb="FF000000"/>
      <name val="Arial Narrow"/>
    </font>
    <font>
      <sz val="14.0"/>
      <color rgb="FFFFFFFF"/>
      <name val="Permanent Marker"/>
    </font>
    <font>
      <b/>
      <sz val="10.0"/>
      <color rgb="FFFFFFFF"/>
      <name val="Arial Narrow"/>
    </font>
    <font>
      <b/>
      <sz val="9.0"/>
      <color rgb="FFFFFFFF"/>
      <name val="Arial Narrow"/>
    </font>
    <font>
      <b/>
      <sz val="10.0"/>
      <color rgb="FF434343"/>
      <name val="Arial Narrow"/>
    </font>
    <font>
      <b/>
      <sz val="9.0"/>
      <color rgb="FF666666"/>
      <name val="Arial Narrow"/>
    </font>
    <font>
      <sz val="10.0"/>
      <color rgb="FF434343"/>
      <name val="Arial Narrow"/>
    </font>
    <font>
      <i/>
      <sz val="9.0"/>
      <color theme="1"/>
      <name val="Arial Narrow"/>
    </font>
    <font>
      <sz val="10.0"/>
      <color theme="1"/>
      <name val="&quot;Arial Narrow&quot;"/>
    </font>
    <font>
      <i/>
      <sz val="10.0"/>
      <color theme="1"/>
      <name val="Arial Narrow"/>
    </font>
    <font>
      <sz val="16.0"/>
      <color rgb="FFFFFFFF"/>
      <name val="Permanent Marker"/>
    </font>
    <font>
      <b/>
      <sz val="10.0"/>
      <color theme="1"/>
      <name val="Calibri"/>
      <scheme val="minor"/>
    </font>
    <font>
      <b/>
      <sz val="8.0"/>
      <color rgb="FFFFFFFF"/>
      <name val="Arial Narrow"/>
    </font>
    <font>
      <b/>
      <sz val="10.0"/>
      <color rgb="FF000000"/>
      <name val="Arial Narrow"/>
    </font>
    <font>
      <i/>
      <sz val="8.0"/>
      <color theme="1"/>
      <name val="Arial Narrow"/>
    </font>
    <font>
      <color theme="0"/>
      <name val="Calibri"/>
      <scheme val="minor"/>
    </font>
    <font>
      <b/>
      <sz val="10.0"/>
      <color theme="0"/>
      <name val="Arial Narrow"/>
    </font>
    <font>
      <b/>
      <color theme="1"/>
      <name val="Calibri"/>
      <scheme val="minor"/>
    </font>
    <font>
      <u/>
      <sz val="10.0"/>
      <color rgb="FF1155CC"/>
      <name val="Arial Narrow"/>
    </font>
    <font>
      <b/>
      <sz val="10.0"/>
      <color theme="1"/>
      <name val="Arial Narrow"/>
    </font>
    <font>
      <u/>
      <sz val="10.0"/>
      <color rgb="FF0000FF"/>
      <name val="Arial Narrow"/>
    </font>
    <font>
      <sz val="10.0"/>
      <color theme="0"/>
      <name val="Permanent Marker"/>
    </font>
    <font>
      <sz val="8.0"/>
      <color rgb="FF1C4587"/>
      <name val="Arial Narrow"/>
    </font>
  </fonts>
  <fills count="28">
    <fill>
      <patternFill patternType="none"/>
    </fill>
    <fill>
      <patternFill patternType="lightGray"/>
    </fill>
    <fill>
      <patternFill patternType="solid">
        <fgColor rgb="FF434343"/>
        <bgColor rgb="FF434343"/>
      </patternFill>
    </fill>
    <fill>
      <patternFill patternType="solid">
        <fgColor rgb="FFF3F3F3"/>
        <bgColor rgb="FFF3F3F3"/>
      </patternFill>
    </fill>
    <fill>
      <patternFill patternType="solid">
        <fgColor rgb="FF1C4587"/>
        <bgColor rgb="FF1C4587"/>
      </patternFill>
    </fill>
    <fill>
      <patternFill patternType="solid">
        <fgColor rgb="FFFFD966"/>
        <bgColor rgb="FFFFD966"/>
      </patternFill>
    </fill>
    <fill>
      <patternFill patternType="solid">
        <fgColor rgb="FFD9D9D9"/>
        <bgColor rgb="FFD9D9D9"/>
      </patternFill>
    </fill>
    <fill>
      <patternFill patternType="solid">
        <fgColor rgb="FFFFF2CC"/>
        <bgColor rgb="FFFFF2CC"/>
      </patternFill>
    </fill>
    <fill>
      <patternFill patternType="solid">
        <fgColor rgb="FFFEF8E3"/>
        <bgColor rgb="FFFEF8E3"/>
      </patternFill>
    </fill>
    <fill>
      <patternFill patternType="solid">
        <fgColor rgb="FF1155CC"/>
        <bgColor rgb="FF1155CC"/>
      </patternFill>
    </fill>
    <fill>
      <patternFill patternType="solid">
        <fgColor theme="7"/>
        <bgColor theme="7"/>
      </patternFill>
    </fill>
    <fill>
      <patternFill patternType="solid">
        <fgColor rgb="FF38761D"/>
        <bgColor rgb="FF38761D"/>
      </patternFill>
    </fill>
    <fill>
      <patternFill patternType="solid">
        <fgColor rgb="FFCC0000"/>
        <bgColor rgb="FFCC0000"/>
      </patternFill>
    </fill>
    <fill>
      <patternFill patternType="solid">
        <fgColor rgb="FF548135"/>
        <bgColor rgb="FF548135"/>
      </patternFill>
    </fill>
    <fill>
      <patternFill patternType="solid">
        <fgColor rgb="FFA4C2F4"/>
        <bgColor rgb="FFA4C2F4"/>
      </patternFill>
    </fill>
    <fill>
      <patternFill patternType="solid">
        <fgColor rgb="FFFFE598"/>
        <bgColor rgb="FFFFE598"/>
      </patternFill>
    </fill>
    <fill>
      <patternFill patternType="solid">
        <fgColor rgb="FFA8D08D"/>
        <bgColor rgb="FFA8D08D"/>
      </patternFill>
    </fill>
    <fill>
      <patternFill patternType="solid">
        <fgColor rgb="FFF4CCCC"/>
        <bgColor rgb="FFF4CCCC"/>
      </patternFill>
    </fill>
    <fill>
      <patternFill patternType="solid">
        <fgColor rgb="FFC9DAF8"/>
        <bgColor rgb="FFC9DAF8"/>
      </patternFill>
    </fill>
    <fill>
      <patternFill patternType="solid">
        <fgColor rgb="FFFEF2CB"/>
        <bgColor rgb="FFFEF2CB"/>
      </patternFill>
    </fill>
    <fill>
      <patternFill patternType="solid">
        <fgColor rgb="FFC5E0B3"/>
        <bgColor rgb="FFC5E0B3"/>
      </patternFill>
    </fill>
    <fill>
      <patternFill patternType="solid">
        <fgColor rgb="FFFFFFFF"/>
        <bgColor rgb="FFFFFFFF"/>
      </patternFill>
    </fill>
    <fill>
      <patternFill patternType="solid">
        <fgColor rgb="FFF7CB4D"/>
        <bgColor rgb="FFF7CB4D"/>
      </patternFill>
    </fill>
    <fill>
      <patternFill patternType="solid">
        <fgColor rgb="FFFFE599"/>
        <bgColor rgb="FFFFE599"/>
      </patternFill>
    </fill>
    <fill>
      <patternFill patternType="solid">
        <fgColor rgb="FFF1C232"/>
        <bgColor rgb="FFF1C232"/>
      </patternFill>
    </fill>
    <fill>
      <patternFill patternType="solid">
        <fgColor rgb="FFD9EAD3"/>
        <bgColor rgb="FFD9EAD3"/>
      </patternFill>
    </fill>
    <fill>
      <patternFill patternType="solid">
        <fgColor rgb="FFEEF7E3"/>
        <bgColor rgb="FFEEF7E3"/>
      </patternFill>
    </fill>
    <fill>
      <patternFill patternType="solid">
        <fgColor rgb="FFCCCCCC"/>
        <bgColor rgb="FFCCCCCC"/>
      </patternFill>
    </fill>
  </fills>
  <borders count="113">
    <border/>
    <border>
      <left style="thin">
        <color rgb="FF666666"/>
      </left>
      <top style="thin">
        <color rgb="FF666666"/>
      </top>
    </border>
    <border>
      <left style="thin">
        <color rgb="FF434343"/>
      </left>
      <right style="thin">
        <color rgb="FF434343"/>
      </right>
      <top style="thin">
        <color rgb="FF434343"/>
      </top>
      <bottom style="thin">
        <color rgb="FF434343"/>
      </bottom>
    </border>
    <border>
      <top style="thin">
        <color rgb="FF666666"/>
      </top>
    </border>
    <border>
      <right style="thin">
        <color rgb="FF666666"/>
      </right>
      <top style="thin">
        <color rgb="FF666666"/>
      </top>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right style="thin">
        <color rgb="FFF3F3F3"/>
      </right>
      <top style="thin">
        <color rgb="FFF3F3F3"/>
      </top>
      <bottom style="thin">
        <color rgb="FFF3F3F3"/>
      </bottom>
    </border>
    <border>
      <left style="thin">
        <color rgb="FF666666"/>
      </left>
      <bottom style="thin">
        <color rgb="FF666666"/>
      </bottom>
    </border>
    <border>
      <left style="thin">
        <color rgb="FF666666"/>
      </left>
    </border>
    <border>
      <left style="thin">
        <color rgb="FF000000"/>
      </left>
      <top style="thin">
        <color rgb="FF000000"/>
      </top>
    </border>
    <border>
      <top style="thin">
        <color rgb="FF000000"/>
      </top>
    </border>
    <border>
      <right style="thin">
        <color rgb="FF000000"/>
      </right>
      <top style="thin">
        <color rgb="FF000000"/>
      </top>
    </border>
    <border>
      <left style="thin">
        <color rgb="FF666666"/>
      </left>
      <right style="thin">
        <color rgb="FF666666"/>
      </right>
    </border>
    <border>
      <left style="thin">
        <color rgb="FFF3F3F3"/>
      </left>
      <right style="thin">
        <color rgb="FFF3F3F3"/>
      </right>
      <bottom style="thin">
        <color rgb="FFF3F3F3"/>
      </bottom>
    </border>
    <border>
      <left style="thin">
        <color rgb="FF434343"/>
      </left>
      <right style="thin">
        <color rgb="FF434343"/>
      </right>
      <top style="thin">
        <color rgb="FF434343"/>
      </top>
      <bottom style="medium">
        <color rgb="FF1155CC"/>
      </bottom>
    </border>
    <border>
      <left style="thin">
        <color rgb="FF434343"/>
      </left>
      <right style="thin">
        <color rgb="FF434343"/>
      </right>
      <top style="thin">
        <color rgb="FF434343"/>
      </top>
    </border>
    <border>
      <right style="thin">
        <color rgb="FFF3F3F3"/>
      </right>
      <bottom style="thin">
        <color rgb="FFF3F3F3"/>
      </bottom>
    </border>
    <border>
      <right style="thin">
        <color rgb="FF000000"/>
      </right>
    </border>
    <border>
      <right style="thin">
        <color rgb="FF666666"/>
      </right>
    </border>
    <border>
      <left style="thin">
        <color rgb="FF000000"/>
      </left>
    </border>
    <border>
      <left style="thin">
        <color rgb="FF0B5394"/>
      </left>
      <right style="thin">
        <color rgb="FF0B5394"/>
      </right>
      <top style="thin">
        <color rgb="FF0B5394"/>
      </top>
      <bottom style="thin">
        <color rgb="FF0B5394"/>
      </bottom>
    </border>
    <border>
      <right style="thin">
        <color rgb="FF666666"/>
      </right>
      <bottom style="thin">
        <color rgb="FF666666"/>
      </bottom>
    </border>
    <border>
      <left style="thin">
        <color rgb="FF666666"/>
      </left>
      <right style="thin">
        <color rgb="FF666666"/>
      </right>
      <bottom style="thin">
        <color rgb="FF666666"/>
      </bottom>
    </border>
    <border>
      <left style="thin">
        <color rgb="FF434343"/>
      </left>
      <right style="thin">
        <color rgb="FF434343"/>
      </right>
    </border>
    <border>
      <left style="thin">
        <color rgb="FF434343"/>
      </left>
      <right style="thin">
        <color rgb="FF434343"/>
      </right>
      <bottom style="thin">
        <color rgb="FF434343"/>
      </bottom>
    </border>
    <border>
      <left/>
      <top/>
    </border>
    <border>
      <top/>
    </border>
    <border>
      <left style="medium">
        <color rgb="FF1155CC"/>
      </left>
      <right style="medium">
        <color rgb="FF1155CC"/>
      </right>
      <top style="medium">
        <color rgb="FF1155CC"/>
      </top>
      <bottom style="medium">
        <color rgb="FF1155CC"/>
      </bottom>
    </border>
    <border>
      <top/>
      <bottom/>
    </border>
    <border>
      <right/>
      <top/>
      <bottom/>
    </border>
    <border>
      <right/>
      <top/>
    </border>
    <border>
      <left style="thin">
        <color rgb="FFF3F3F3"/>
      </left>
      <right style="thin">
        <color rgb="FFF3F3F3"/>
      </right>
      <top style="thin">
        <color rgb="FFF3F3F3"/>
      </top>
      <bottom style="thin">
        <color rgb="FFF3F3F3"/>
      </bottom>
    </border>
    <border>
      <left style="thin">
        <color rgb="FFCCCCCC"/>
      </left>
      <top style="thin">
        <color rgb="FFCCCCCC"/>
      </top>
      <bottom style="medium">
        <color rgb="FF000000"/>
      </bottom>
    </border>
    <border>
      <top style="thin">
        <color rgb="FFCCCCCC"/>
      </top>
      <bottom style="medium">
        <color rgb="FF000000"/>
      </bottom>
    </border>
    <border>
      <left style="medium">
        <color rgb="FF1155CC"/>
      </left>
      <bottom style="medium">
        <color rgb="FF000000"/>
      </bottom>
    </border>
    <border>
      <bottom style="medium">
        <color rgb="FF000000"/>
      </bottom>
    </border>
    <border>
      <right style="medium">
        <color rgb="FF1155CC"/>
      </right>
      <bottom style="medium">
        <color rgb="FF000000"/>
      </bottom>
    </border>
    <border>
      <left style="double">
        <color rgb="FF000000"/>
      </left>
    </border>
    <border>
      <right style="thin">
        <color rgb="FFF3F3F3"/>
      </right>
      <top style="medium">
        <color rgb="FF000000"/>
      </top>
    </border>
    <border>
      <top style="medium">
        <color rgb="FF000000"/>
      </top>
    </border>
    <border>
      <top style="medium">
        <color rgb="FF000000"/>
      </top>
      <bottom style="medium">
        <color rgb="FF000000"/>
      </bottom>
    </border>
    <border>
      <left style="thin">
        <color rgb="FFF3F3F3"/>
      </left>
      <right style="thin">
        <color rgb="FFF3F3F3"/>
      </right>
      <top style="thin">
        <color rgb="FFF3F3F3"/>
      </top>
    </border>
    <border>
      <right style="thin">
        <color rgb="FFF3F3F3"/>
      </right>
    </border>
    <border>
      <bottom style="hair">
        <color rgb="FFBF9000"/>
      </bottom>
    </border>
    <border>
      <left style="thin">
        <color rgb="FFF3F3F3"/>
      </left>
      <right style="thin">
        <color rgb="FFF3F3F3"/>
      </right>
    </border>
    <border>
      <top style="hair">
        <color rgb="FF000000"/>
      </top>
      <bottom style="hair">
        <color rgb="FF000000"/>
      </bottom>
    </border>
    <border>
      <left style="double">
        <color rgb="FF000000"/>
      </left>
      <bottom style="medium">
        <color rgb="FF000000"/>
      </bottom>
    </border>
    <border>
      <top style="thin">
        <color rgb="FFF3F3F3"/>
      </top>
      <bottom style="thin">
        <color rgb="FFF3F3F3"/>
      </bottom>
    </border>
    <border>
      <right style="thin">
        <color rgb="FFF3F3F3"/>
      </right>
      <bottom style="medium">
        <color rgb="FF000000"/>
      </bottom>
    </border>
    <border>
      <left style="medium">
        <color rgb="FFF3F3F3"/>
      </left>
      <right style="medium">
        <color rgb="FFF3F3F3"/>
      </right>
      <top style="medium">
        <color rgb="FFF3F3F3"/>
      </top>
      <bottom style="medium">
        <color rgb="FFF3F3F3"/>
      </bottom>
    </border>
    <border>
      <bottom style="double">
        <color rgb="FF1155CC"/>
      </bottom>
    </border>
    <border>
      <right style="thin">
        <color rgb="FF000000"/>
      </right>
      <bottom style="double">
        <color rgb="FF1155CC"/>
      </bottom>
    </border>
    <border>
      <left style="thin">
        <color rgb="FF1155CC"/>
      </left>
      <right style="thin">
        <color rgb="FFFFFFFF"/>
      </right>
      <top style="thin">
        <color rgb="FF1155CC"/>
      </top>
    </border>
    <border>
      <left style="thin">
        <color rgb="FF1155CC"/>
      </left>
      <right style="thin">
        <color rgb="FFFFE599"/>
      </right>
      <top style="thin">
        <color rgb="FF1155CC"/>
      </top>
    </border>
    <border>
      <left style="thin">
        <color rgb="FF1155CC"/>
      </left>
      <right style="thin">
        <color rgb="FFFFFFFF"/>
      </right>
    </border>
    <border>
      <left style="thin">
        <color rgb="FF1155CC"/>
      </left>
      <right style="thin">
        <color rgb="FFFFE599"/>
      </right>
    </border>
    <border>
      <top style="medium">
        <color rgb="FF1155CC"/>
      </top>
    </border>
    <border>
      <right style="thin">
        <color rgb="FF000000"/>
      </right>
      <top style="medium">
        <color rgb="FF1155CC"/>
      </top>
    </border>
    <border>
      <top style="thin">
        <color rgb="FF1155CC"/>
      </top>
    </border>
    <border>
      <bottom style="thin">
        <color rgb="FF000000"/>
      </bottom>
    </border>
    <border>
      <left style="thin">
        <color rgb="FF1155CC"/>
      </left>
      <right style="thin">
        <color rgb="FFFFFFFF"/>
      </right>
      <bottom style="thin">
        <color rgb="FFFFE599"/>
      </bottom>
    </border>
    <border>
      <left style="thin">
        <color rgb="FF1155CC"/>
      </left>
      <right style="thin">
        <color rgb="FFFFE599"/>
      </right>
      <bottom style="thin">
        <color rgb="FFFFE599"/>
      </bottom>
    </border>
    <border>
      <bottom style="double">
        <color rgb="FF660000"/>
      </bottom>
    </border>
    <border>
      <right style="thin">
        <color rgb="FF434343"/>
      </right>
      <bottom style="double">
        <color rgb="FF660000"/>
      </bottom>
    </border>
    <border>
      <right style="thin">
        <color rgb="FF434343"/>
      </right>
    </border>
    <border>
      <bottom style="medium">
        <color rgb="FF660000"/>
      </bottom>
    </border>
    <border>
      <right style="thin">
        <color rgb="FF434343"/>
      </right>
      <bottom style="medium">
        <color rgb="FF660000"/>
      </bottom>
    </border>
    <border>
      <right style="medium">
        <color rgb="FF660000"/>
      </right>
    </border>
    <border>
      <right style="dotted">
        <color rgb="FF660000"/>
      </right>
    </border>
    <border>
      <right style="medium">
        <color rgb="FF660000"/>
      </right>
      <top style="thin">
        <color rgb="FFFFFFFF"/>
      </top>
    </border>
    <border>
      <right style="medium">
        <color rgb="FF660000"/>
      </right>
      <bottom style="thin">
        <color rgb="FFFFFFFF"/>
      </bottom>
    </border>
    <border>
      <right style="medium">
        <color rgb="FF660000"/>
      </right>
      <bottom style="thin">
        <color rgb="FFFFC000"/>
      </bottom>
    </border>
    <border>
      <right style="medium">
        <color rgb="FF660000"/>
      </right>
      <top style="thin">
        <color rgb="FFF1C232"/>
      </top>
      <bottom style="thin">
        <color rgb="FFF1C232"/>
      </bottom>
    </border>
    <border>
      <right style="medium">
        <color rgb="FF660000"/>
      </right>
      <bottom style="thin">
        <color rgb="FFF1C232"/>
      </bottom>
    </border>
    <border>
      <left style="thin">
        <color rgb="FF434343"/>
      </left>
      <top style="thin">
        <color rgb="FFF3F3F3"/>
      </top>
      <bottom style="double">
        <color rgb="FF38761D"/>
      </bottom>
    </border>
    <border>
      <top style="thin">
        <color rgb="FFF3F3F3"/>
      </top>
      <bottom style="double">
        <color rgb="FF38761D"/>
      </bottom>
    </border>
    <border>
      <right style="thin">
        <color rgb="FF434343"/>
      </right>
      <top style="thin">
        <color rgb="FFF3F3F3"/>
      </top>
      <bottom style="double">
        <color rgb="FF38761D"/>
      </bottom>
    </border>
    <border>
      <left style="thin">
        <color rgb="FF434343"/>
      </left>
      <right style="thin">
        <color rgb="FF434343"/>
      </right>
      <top style="thin">
        <color rgb="FF434343"/>
      </top>
      <bottom style="double">
        <color rgb="FF38761D"/>
      </bottom>
    </border>
    <border>
      <left style="thin">
        <color rgb="FF434343"/>
      </left>
      <top style="thin">
        <color rgb="FF434343"/>
      </top>
      <bottom style="double">
        <color rgb="FF38761D"/>
      </bottom>
    </border>
    <border>
      <top style="thin">
        <color rgb="FF434343"/>
      </top>
      <bottom style="double">
        <color rgb="FF38761D"/>
      </bottom>
    </border>
    <border>
      <right style="thin">
        <color rgb="FF434343"/>
      </right>
      <top style="thin">
        <color rgb="FF434343"/>
      </top>
      <bottom style="double">
        <color rgb="FF38761D"/>
      </bottom>
    </border>
    <border>
      <left style="thin">
        <color rgb="FF434343"/>
      </left>
      <bottom style="thin">
        <color rgb="FF434343"/>
      </bottom>
    </border>
    <border>
      <left style="thin">
        <color rgb="FF434343"/>
      </left>
      <right style="thin">
        <color rgb="FFFFFFFF"/>
      </right>
      <top style="thin">
        <color rgb="FF434343"/>
      </top>
      <bottom style="thin">
        <color rgb="FF434343"/>
      </bottom>
    </border>
    <border>
      <right style="thin">
        <color rgb="FFFFFFFF"/>
      </right>
      <top style="thin">
        <color rgb="FF434343"/>
      </top>
      <bottom style="thin">
        <color rgb="FF434343"/>
      </bottom>
    </border>
    <border>
      <right style="thin">
        <color rgb="FF434343"/>
      </right>
      <top style="thin">
        <color rgb="FF434343"/>
      </top>
      <bottom style="thin">
        <color rgb="FF434343"/>
      </bottom>
    </border>
    <border>
      <left style="thin">
        <color rgb="FF434343"/>
      </left>
      <right style="thin">
        <color rgb="FF434343"/>
      </right>
      <top style="thin">
        <color rgb="FF434343"/>
      </top>
      <bottom style="medium">
        <color rgb="FF38761D"/>
      </bottom>
    </border>
    <border>
      <left style="thin">
        <color rgb="FF434343"/>
      </left>
      <top style="thin">
        <color rgb="FF434343"/>
      </top>
      <bottom style="thin">
        <color rgb="FF434343"/>
      </bottom>
    </border>
    <border>
      <right style="thin">
        <color rgb="FFD9D9D9"/>
      </right>
      <bottom style="thin">
        <color rgb="FFD9D9D9"/>
      </bottom>
    </border>
    <border>
      <left style="thin">
        <color rgb="FFD9D9D9"/>
      </left>
      <right style="thin">
        <color rgb="FFD9D9D9"/>
      </right>
      <bottom style="thin">
        <color rgb="FFD9D9D9"/>
      </bottom>
    </border>
    <border>
      <left style="thin">
        <color rgb="FFD9D9D9"/>
      </left>
      <bottom style="thin">
        <color rgb="FFD9D9D9"/>
      </bottom>
    </border>
    <border>
      <left style="medium">
        <color rgb="FF38761D"/>
      </left>
      <bottom style="thin">
        <color rgb="FFFFFFFF"/>
      </bottom>
    </border>
    <border>
      <left style="thin">
        <color rgb="FFF1C232"/>
      </left>
      <bottom style="thin">
        <color rgb="FFFFFFFF"/>
      </bottom>
    </border>
    <border>
      <left style="thin">
        <color rgb="FFF3F3F3"/>
      </left>
      <bottom style="thin">
        <color rgb="FFF3F3F3"/>
      </bottom>
    </border>
    <border>
      <left style="thin">
        <color rgb="FFF3F3F3"/>
      </left>
      <top style="thin">
        <color rgb="FFF3F3F3"/>
      </top>
      <bottom style="thin">
        <color rgb="FFF3F3F3"/>
      </bottom>
    </border>
    <border>
      <right style="thin">
        <color rgb="FFD9D9D9"/>
      </right>
      <top style="medium">
        <color rgb="FF38761D"/>
      </top>
      <bottom style="thin">
        <color rgb="FFD9D9D9"/>
      </bottom>
    </border>
    <border>
      <left style="thin">
        <color rgb="FFD9D9D9"/>
      </left>
      <right style="thin">
        <color rgb="FFD9D9D9"/>
      </right>
      <top style="medium">
        <color rgb="FF38761D"/>
      </top>
      <bottom style="thin">
        <color rgb="FFD9D9D9"/>
      </bottom>
    </border>
    <border>
      <left style="thin">
        <color rgb="FFD9D9D9"/>
      </left>
      <right style="medium">
        <color rgb="FF38761D"/>
      </right>
      <top style="medium">
        <color rgb="FF38761D"/>
      </top>
      <bottom style="thin">
        <color rgb="FFD9D9D9"/>
      </bottom>
    </border>
    <border>
      <right style="thin">
        <color rgb="FFD9D9D9"/>
      </right>
      <bottom style="thin">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top style="thin">
        <color rgb="FFD9D9D9"/>
      </top>
      <bottom style="thin">
        <color rgb="FFD9D9D9"/>
      </bottom>
    </border>
    <border>
      <left style="thin">
        <color rgb="FFD9D9D9"/>
      </left>
      <right style="medium">
        <color rgb="FF38761D"/>
      </right>
      <top style="thin">
        <color rgb="FFD9D9D9"/>
      </top>
      <bottom style="thin">
        <color rgb="FFD9D9D9"/>
      </bottom>
    </border>
    <border>
      <left style="medium">
        <color rgb="FF38761D"/>
      </left>
    </border>
    <border>
      <left style="thin">
        <color rgb="FFF1C232"/>
      </left>
      <bottom style="thin">
        <color rgb="FFD9D9D9"/>
      </bottom>
    </border>
    <border>
      <left style="thick">
        <color rgb="FF38761D"/>
      </left>
      <right style="thin">
        <color rgb="FF434343"/>
      </right>
      <top style="thick">
        <color rgb="FF38761D"/>
      </top>
      <bottom style="thick">
        <color rgb="FF38761D"/>
      </bottom>
    </border>
    <border>
      <left style="thin">
        <color rgb="FFF3F3F3"/>
      </left>
      <top style="thick">
        <color rgb="FF38761D"/>
      </top>
      <bottom style="thick">
        <color rgb="FF38761D"/>
      </bottom>
    </border>
    <border>
      <top style="thick">
        <color rgb="FF38761D"/>
      </top>
      <bottom style="thick">
        <color rgb="FF38761D"/>
      </bottom>
    </border>
    <border>
      <right style="medium">
        <color rgb="FF38761D"/>
      </right>
      <top style="thick">
        <color rgb="FF38761D"/>
      </top>
      <bottom style="thick">
        <color rgb="FF38761D"/>
      </bottom>
    </border>
    <border>
      <right style="thin">
        <color rgb="FF38761D"/>
      </right>
      <top style="thick">
        <color rgb="FF38761D"/>
      </top>
      <bottom style="thick">
        <color rgb="FF38761D"/>
      </bottom>
    </border>
    <border>
      <right style="thick">
        <color rgb="FF38761D"/>
      </right>
      <top style="thick">
        <color rgb="FF38761D"/>
      </top>
      <bottom style="thick">
        <color rgb="FF38761D"/>
      </bottom>
    </border>
    <border>
      <top style="thin">
        <color rgb="FF434343"/>
      </top>
      <bottom style="thin">
        <color rgb="FF434343"/>
      </bottom>
    </border>
  </borders>
  <cellStyleXfs count="1">
    <xf borderId="0" fillId="0" fontId="0" numFmtId="0" applyAlignment="1" applyFont="1"/>
  </cellStyleXfs>
  <cellXfs count="4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vertical="bottom"/>
    </xf>
    <xf borderId="3" fillId="2" fontId="3" numFmtId="0" xfId="0" applyAlignment="1" applyBorder="1" applyFont="1">
      <alignment horizontal="center" readingOrder="0" vertical="bottom"/>
    </xf>
    <xf borderId="3" fillId="0" fontId="4" numFmtId="0" xfId="0" applyBorder="1" applyFont="1"/>
    <xf borderId="4" fillId="0" fontId="4" numFmtId="0" xfId="0" applyBorder="1" applyFont="1"/>
    <xf borderId="2" fillId="2" fontId="5" numFmtId="0" xfId="0" applyAlignment="1" applyBorder="1" applyFont="1">
      <alignment horizontal="center" readingOrder="0" vertical="bottom"/>
    </xf>
    <xf borderId="5" fillId="2" fontId="6" numFmtId="0" xfId="0" applyAlignment="1" applyBorder="1" applyFont="1">
      <alignment horizontal="center" readingOrder="0" vertical="bottom"/>
    </xf>
    <xf borderId="6" fillId="0" fontId="4" numFmtId="0" xfId="0" applyBorder="1" applyFont="1"/>
    <xf borderId="7" fillId="0" fontId="4" numFmtId="0" xfId="0" applyBorder="1" applyFont="1"/>
    <xf borderId="0" fillId="2" fontId="2" numFmtId="0" xfId="0" applyAlignment="1" applyFont="1">
      <alignment horizontal="center" readingOrder="0" vertical="bottom"/>
    </xf>
    <xf borderId="1" fillId="2" fontId="6" numFmtId="0" xfId="0" applyAlignment="1" applyBorder="1" applyFont="1">
      <alignment horizontal="center" readingOrder="0" vertical="bottom"/>
    </xf>
    <xf borderId="2" fillId="2" fontId="7" numFmtId="0" xfId="0" applyBorder="1" applyFont="1"/>
    <xf borderId="8" fillId="3" fontId="7" numFmtId="0" xfId="0" applyBorder="1" applyFill="1" applyFont="1"/>
    <xf borderId="9" fillId="0" fontId="4" numFmtId="0" xfId="0" applyBorder="1" applyFont="1"/>
    <xf borderId="10" fillId="2" fontId="8" numFmtId="0" xfId="0" applyAlignment="1" applyBorder="1" applyFont="1">
      <alignment readingOrder="0" vertical="center"/>
    </xf>
    <xf borderId="11" fillId="4" fontId="9" numFmtId="0" xfId="0" applyAlignment="1" applyBorder="1" applyFill="1" applyFont="1">
      <alignment horizontal="center" readingOrder="0" vertical="center"/>
    </xf>
    <xf borderId="12" fillId="4" fontId="9" numFmtId="0" xfId="0" applyAlignment="1" applyBorder="1" applyFont="1">
      <alignment horizontal="center" readingOrder="0" vertical="center"/>
    </xf>
    <xf borderId="13" fillId="4" fontId="9" numFmtId="0" xfId="0" applyAlignment="1" applyBorder="1" applyFont="1">
      <alignment horizontal="center" readingOrder="0" vertical="center"/>
    </xf>
    <xf borderId="0" fillId="2" fontId="8" numFmtId="0" xfId="0" applyAlignment="1" applyFont="1">
      <alignment readingOrder="0" vertical="center"/>
    </xf>
    <xf borderId="12" fillId="4" fontId="9" numFmtId="0" xfId="0" applyAlignment="1" applyBorder="1" applyFont="1">
      <alignment readingOrder="0" vertical="center"/>
    </xf>
    <xf borderId="14" fillId="2" fontId="7" numFmtId="0" xfId="0" applyBorder="1" applyFont="1"/>
    <xf borderId="15" fillId="3" fontId="7" numFmtId="0" xfId="0" applyBorder="1" applyFont="1"/>
    <xf borderId="16" fillId="2" fontId="10" numFmtId="0" xfId="0" applyAlignment="1" applyBorder="1" applyFont="1">
      <alignment horizontal="center" readingOrder="0" vertical="center"/>
    </xf>
    <xf borderId="2" fillId="2" fontId="11" numFmtId="0" xfId="0" applyAlignment="1" applyBorder="1" applyFont="1">
      <alignment vertical="center"/>
    </xf>
    <xf borderId="17" fillId="2" fontId="7" numFmtId="0" xfId="0" applyAlignment="1" applyBorder="1" applyFont="1">
      <alignment vertical="center"/>
    </xf>
    <xf borderId="16" fillId="2" fontId="7" numFmtId="0" xfId="0" applyAlignment="1" applyBorder="1" applyFont="1">
      <alignment horizontal="center" vertical="center"/>
    </xf>
    <xf borderId="16" fillId="2" fontId="7" numFmtId="0" xfId="0" applyAlignment="1" applyBorder="1" applyFont="1">
      <alignment horizontal="right" vertical="center"/>
    </xf>
    <xf borderId="16" fillId="2" fontId="7" numFmtId="0" xfId="0" applyAlignment="1" applyBorder="1" applyFont="1">
      <alignment vertical="center"/>
    </xf>
    <xf borderId="17" fillId="2" fontId="11" numFmtId="0" xfId="0" applyAlignment="1" applyBorder="1" applyFont="1">
      <alignment vertical="center"/>
    </xf>
    <xf borderId="2" fillId="2" fontId="7" numFmtId="0" xfId="0" applyAlignment="1" applyBorder="1" applyFont="1">
      <alignment vertical="center"/>
    </xf>
    <xf borderId="18" fillId="3" fontId="7" numFmtId="0" xfId="0" applyAlignment="1" applyBorder="1" applyFont="1">
      <alignment vertical="center"/>
    </xf>
    <xf borderId="0" fillId="5" fontId="12" numFmtId="0" xfId="0" applyAlignment="1" applyFill="1" applyFont="1">
      <alignment readingOrder="0" vertical="center"/>
    </xf>
    <xf borderId="10" fillId="2" fontId="5" numFmtId="0" xfId="0" applyAlignment="1" applyBorder="1" applyFont="1">
      <alignment readingOrder="0" textRotation="255" vertical="center"/>
    </xf>
    <xf borderId="0" fillId="6" fontId="13" numFmtId="0" xfId="0" applyAlignment="1" applyFill="1" applyFont="1">
      <alignment horizontal="center" readingOrder="0" vertical="center"/>
    </xf>
    <xf borderId="19" fillId="6" fontId="13" numFmtId="0" xfId="0" applyAlignment="1" applyBorder="1" applyFont="1">
      <alignment horizontal="center" readingOrder="0" vertical="center"/>
    </xf>
    <xf borderId="19" fillId="6" fontId="13" numFmtId="0" xfId="0" applyAlignment="1" applyBorder="1" applyFont="1">
      <alignment horizontal="left" readingOrder="0" vertical="center"/>
    </xf>
    <xf borderId="0" fillId="6" fontId="13" numFmtId="0" xfId="0" applyAlignment="1" applyFont="1">
      <alignment readingOrder="0" vertical="center"/>
    </xf>
    <xf borderId="20" fillId="2" fontId="14" numFmtId="0" xfId="0" applyAlignment="1" applyBorder="1" applyFont="1">
      <alignment readingOrder="0" textRotation="255" vertical="center"/>
    </xf>
    <xf borderId="21" fillId="7" fontId="13" numFmtId="1" xfId="0" applyAlignment="1" applyBorder="1" applyFill="1" applyFont="1" applyNumberFormat="1">
      <alignment horizontal="center" readingOrder="0" vertical="center"/>
    </xf>
    <xf borderId="0" fillId="7" fontId="13" numFmtId="0" xfId="0" applyAlignment="1" applyFont="1">
      <alignment horizontal="center" readingOrder="0" vertical="center"/>
    </xf>
    <xf borderId="0" fillId="7" fontId="15" numFmtId="0" xfId="0" applyAlignment="1" applyFont="1">
      <alignment horizontal="center" readingOrder="0" vertical="center"/>
    </xf>
    <xf borderId="0" fillId="7" fontId="13" numFmtId="0" xfId="0" applyAlignment="1" applyFont="1">
      <alignment horizontal="right" readingOrder="0" vertical="center"/>
    </xf>
    <xf borderId="0" fillId="7" fontId="13" numFmtId="0" xfId="0" applyAlignment="1" applyFont="1">
      <alignment horizontal="right" vertical="center"/>
    </xf>
    <xf borderId="0" fillId="7" fontId="13" numFmtId="0" xfId="0" applyAlignment="1" applyFont="1">
      <alignment horizontal="left" readingOrder="0" vertical="center"/>
    </xf>
    <xf borderId="14" fillId="2" fontId="14" numFmtId="0" xfId="0" applyAlignment="1" applyBorder="1" applyFont="1">
      <alignment readingOrder="0" textRotation="255" vertical="center"/>
    </xf>
    <xf borderId="0" fillId="7" fontId="13" numFmtId="1" xfId="0" applyAlignment="1" applyFont="1" applyNumberFormat="1">
      <alignment horizontal="center" readingOrder="0" vertical="center"/>
    </xf>
    <xf borderId="0" fillId="7" fontId="13" numFmtId="0" xfId="0" applyAlignment="1" applyFont="1">
      <alignment readingOrder="0" vertical="center"/>
    </xf>
    <xf borderId="21" fillId="7" fontId="13" numFmtId="1" xfId="0" applyAlignment="1" applyBorder="1" applyFont="1" applyNumberFormat="1">
      <alignment horizontal="center" readingOrder="0" vertical="center"/>
    </xf>
    <xf borderId="0" fillId="7" fontId="13" numFmtId="1" xfId="0" applyAlignment="1" applyFont="1" applyNumberFormat="1">
      <alignment horizontal="center" readingOrder="0" vertical="center"/>
    </xf>
    <xf borderId="0" fillId="7" fontId="13" numFmtId="0" xfId="0" applyAlignment="1" applyFont="1">
      <alignment horizontal="center" readingOrder="0" vertical="center"/>
    </xf>
    <xf borderId="0" fillId="7" fontId="15" numFmtId="0" xfId="0" applyAlignment="1" applyFont="1">
      <alignment horizontal="center" readingOrder="0" vertical="center"/>
    </xf>
    <xf borderId="0" fillId="7" fontId="13" numFmtId="0" xfId="0" applyAlignment="1" applyFont="1">
      <alignment readingOrder="0" vertical="center"/>
    </xf>
    <xf borderId="22" fillId="4" fontId="16" numFmtId="1" xfId="0" applyAlignment="1" applyBorder="1" applyFont="1" applyNumberFormat="1">
      <alignment horizontal="center" readingOrder="0" vertical="center"/>
    </xf>
    <xf borderId="22" fillId="4" fontId="16" numFmtId="1" xfId="0" applyBorder="1" applyFont="1" applyNumberFormat="1"/>
    <xf borderId="22" fillId="4" fontId="17" numFmtId="1" xfId="0" applyAlignment="1" applyBorder="1" applyFont="1" applyNumberFormat="1">
      <alignment horizontal="center" readingOrder="0" vertical="center"/>
    </xf>
    <xf borderId="22" fillId="4" fontId="17" numFmtId="1" xfId="0" applyBorder="1" applyFont="1" applyNumberFormat="1"/>
    <xf borderId="15" fillId="3" fontId="7" numFmtId="0" xfId="0" applyAlignment="1" applyBorder="1" applyFont="1">
      <alignment vertical="center"/>
    </xf>
    <xf borderId="10" fillId="0" fontId="4" numFmtId="0" xfId="0" applyBorder="1" applyFont="1"/>
    <xf borderId="20" fillId="0" fontId="4" numFmtId="0" xfId="0" applyBorder="1" applyFont="1"/>
    <xf borderId="14" fillId="0" fontId="4" numFmtId="0" xfId="0" applyBorder="1" applyFont="1"/>
    <xf borderId="21" fillId="8" fontId="13" numFmtId="1" xfId="0" applyAlignment="1" applyBorder="1" applyFill="1" applyFont="1" applyNumberFormat="1">
      <alignment horizontal="center" readingOrder="0" vertical="center"/>
    </xf>
    <xf borderId="0" fillId="8" fontId="13" numFmtId="1" xfId="0" applyAlignment="1" applyFont="1" applyNumberFormat="1">
      <alignment horizontal="center" readingOrder="0" vertical="center"/>
    </xf>
    <xf borderId="0" fillId="8" fontId="13" numFmtId="0" xfId="0" applyAlignment="1" applyFont="1">
      <alignment horizontal="center" readingOrder="0" vertical="center"/>
    </xf>
    <xf borderId="0" fillId="8" fontId="15" numFmtId="0" xfId="0" applyAlignment="1" applyFont="1">
      <alignment horizontal="center" readingOrder="0" vertical="center"/>
    </xf>
    <xf borderId="0" fillId="8" fontId="13" numFmtId="0" xfId="0" applyAlignment="1" applyFont="1">
      <alignment readingOrder="0" vertical="center"/>
    </xf>
    <xf borderId="14" fillId="8" fontId="4" numFmtId="0" xfId="0" applyBorder="1" applyFont="1"/>
    <xf borderId="22" fillId="4" fontId="16" numFmtId="0" xfId="0" applyBorder="1" applyFont="1"/>
    <xf borderId="22" fillId="4" fontId="17" numFmtId="0" xfId="0" applyBorder="1" applyFont="1"/>
    <xf borderId="14" fillId="7" fontId="4" numFmtId="0" xfId="0" applyBorder="1" applyFont="1"/>
    <xf borderId="23" fillId="0" fontId="4" numFmtId="0" xfId="0" applyBorder="1" applyFont="1"/>
    <xf borderId="24" fillId="0" fontId="4" numFmtId="0" xfId="0" applyBorder="1" applyFont="1"/>
    <xf borderId="24" fillId="8" fontId="4" numFmtId="0" xfId="0" applyBorder="1" applyFont="1"/>
    <xf borderId="0" fillId="2" fontId="14" numFmtId="0" xfId="0" applyAlignment="1" applyFont="1">
      <alignment readingOrder="0" textRotation="255" vertical="center"/>
    </xf>
    <xf borderId="0" fillId="6" fontId="13" numFmtId="0" xfId="0" applyAlignment="1" applyFont="1">
      <alignment horizontal="left" readingOrder="0" vertical="center"/>
    </xf>
    <xf borderId="0" fillId="4" fontId="16" numFmtId="1" xfId="0" applyAlignment="1" applyFont="1" applyNumberFormat="1">
      <alignment horizontal="center" readingOrder="0" vertical="center"/>
    </xf>
    <xf borderId="0" fillId="4" fontId="16" numFmtId="0" xfId="0" applyFont="1"/>
    <xf borderId="0" fillId="4" fontId="17" numFmtId="1" xfId="0" applyAlignment="1" applyFont="1" applyNumberFormat="1">
      <alignment horizontal="center" readingOrder="0" vertical="center"/>
    </xf>
    <xf borderId="0" fillId="4" fontId="17" numFmtId="0" xfId="0" applyFont="1"/>
    <xf borderId="25" fillId="2" fontId="7" numFmtId="0" xfId="0" applyAlignment="1" applyBorder="1" applyFont="1">
      <alignment vertical="center"/>
    </xf>
    <xf borderId="25" fillId="2" fontId="11" numFmtId="0" xfId="0" applyAlignment="1" applyBorder="1" applyFont="1">
      <alignment vertical="center"/>
    </xf>
    <xf borderId="0" fillId="5" fontId="18" numFmtId="0" xfId="0" applyAlignment="1" applyFont="1">
      <alignment readingOrder="0" vertical="center"/>
    </xf>
    <xf borderId="0" fillId="6" fontId="19" numFmtId="0" xfId="0" applyAlignment="1" applyFont="1">
      <alignment horizontal="center" readingOrder="0" vertical="center"/>
    </xf>
    <xf borderId="19" fillId="6" fontId="19" numFmtId="0" xfId="0" applyAlignment="1" applyBorder="1" applyFont="1">
      <alignment horizontal="center" readingOrder="0" vertical="center"/>
    </xf>
    <xf borderId="19" fillId="6" fontId="19" numFmtId="0" xfId="0" applyAlignment="1" applyBorder="1" applyFont="1">
      <alignment horizontal="left" readingOrder="0" vertical="center"/>
    </xf>
    <xf borderId="0" fillId="6" fontId="19" numFmtId="0" xfId="0" applyAlignment="1" applyFont="1">
      <alignment readingOrder="0" vertical="center"/>
    </xf>
    <xf borderId="2" fillId="2" fontId="20" numFmtId="0" xfId="0" applyAlignment="1" applyBorder="1" applyFont="1">
      <alignment vertical="center"/>
    </xf>
    <xf borderId="0" fillId="2" fontId="5" numFmtId="0" xfId="0" applyAlignment="1" applyFont="1">
      <alignment readingOrder="0" textRotation="255" vertical="center"/>
    </xf>
    <xf borderId="0" fillId="6" fontId="19" numFmtId="0" xfId="0" applyAlignment="1" applyFont="1">
      <alignment horizontal="left" readingOrder="0" vertical="center"/>
    </xf>
    <xf borderId="2" fillId="2" fontId="21" numFmtId="0" xfId="0" applyAlignment="1" applyBorder="1" applyFont="1">
      <alignment vertical="center"/>
    </xf>
    <xf borderId="2" fillId="2" fontId="22" numFmtId="0" xfId="0" applyAlignment="1" applyBorder="1" applyFont="1">
      <alignment vertical="center"/>
    </xf>
    <xf borderId="16" fillId="2" fontId="20" numFmtId="0" xfId="0" applyAlignment="1" applyBorder="1" applyFont="1">
      <alignment horizontal="center" vertical="center"/>
    </xf>
    <xf borderId="16" fillId="2" fontId="20" numFmtId="0" xfId="0" applyAlignment="1" applyBorder="1" applyFont="1">
      <alignment horizontal="right" vertical="center"/>
    </xf>
    <xf borderId="16" fillId="2" fontId="20" numFmtId="0" xfId="0" applyAlignment="1" applyBorder="1" applyFont="1">
      <alignment vertical="center"/>
    </xf>
    <xf borderId="17" fillId="2" fontId="22" numFmtId="0" xfId="0" applyAlignment="1" applyBorder="1" applyFont="1">
      <alignment vertical="center"/>
    </xf>
    <xf borderId="2" fillId="2" fontId="21" numFmtId="0" xfId="0" applyBorder="1" applyFont="1"/>
    <xf borderId="26" fillId="2" fontId="7" numFmtId="0" xfId="0" applyBorder="1" applyFont="1"/>
    <xf borderId="2" fillId="2" fontId="22" numFmtId="0" xfId="0" applyBorder="1" applyFont="1"/>
    <xf borderId="2" fillId="2" fontId="20" numFmtId="0" xfId="0" applyBorder="1" applyFont="1"/>
    <xf borderId="15" fillId="3" fontId="23" numFmtId="0" xfId="0" applyBorder="1" applyFont="1"/>
    <xf borderId="27" fillId="9" fontId="24" numFmtId="0" xfId="0" applyAlignment="1" applyBorder="1" applyFill="1" applyFont="1">
      <alignment horizontal="center" readingOrder="0" vertical="center"/>
    </xf>
    <xf borderId="28" fillId="0" fontId="4" numFmtId="0" xfId="0" applyBorder="1" applyFont="1"/>
    <xf borderId="29" fillId="9" fontId="1" numFmtId="0" xfId="0" applyAlignment="1" applyBorder="1" applyFont="1">
      <alignment horizontal="center" readingOrder="0" vertical="center"/>
    </xf>
    <xf borderId="0" fillId="9" fontId="1" numFmtId="0" xfId="0" applyAlignment="1" applyFont="1">
      <alignment horizontal="center" readingOrder="0" vertical="center"/>
    </xf>
    <xf borderId="8" fillId="3" fontId="25" numFmtId="0" xfId="0" applyBorder="1" applyFont="1"/>
    <xf borderId="30" fillId="10" fontId="24" numFmtId="0" xfId="0" applyAlignment="1" applyBorder="1" applyFill="1" applyFont="1">
      <alignment horizontal="center" readingOrder="0" vertical="center"/>
    </xf>
    <xf borderId="30" fillId="0" fontId="4" numFmtId="0" xfId="0" applyBorder="1" applyFont="1"/>
    <xf borderId="31" fillId="0" fontId="4" numFmtId="0" xfId="0" applyBorder="1" applyFont="1"/>
    <xf borderId="28" fillId="11" fontId="26" numFmtId="0" xfId="0" applyAlignment="1" applyBorder="1" applyFill="1" applyFont="1">
      <alignment horizontal="center" vertical="center"/>
    </xf>
    <xf borderId="32" fillId="0" fontId="4" numFmtId="0" xfId="0" applyBorder="1" applyFont="1"/>
    <xf borderId="33" fillId="3" fontId="20" numFmtId="0" xfId="0" applyBorder="1" applyFont="1"/>
    <xf borderId="28" fillId="12" fontId="24" numFmtId="0" xfId="0" applyAlignment="1" applyBorder="1" applyFill="1" applyFont="1">
      <alignment horizontal="center" readingOrder="0" vertical="center"/>
    </xf>
    <xf borderId="33" fillId="3" fontId="27" numFmtId="0" xfId="0" applyBorder="1" applyFont="1"/>
    <xf borderId="34" fillId="9" fontId="28" numFmtId="0" xfId="0" applyAlignment="1" applyBorder="1" applyFont="1">
      <alignment horizontal="center" readingOrder="0" vertical="center"/>
    </xf>
    <xf borderId="35" fillId="9" fontId="28" numFmtId="0" xfId="0" applyAlignment="1" applyBorder="1" applyFont="1">
      <alignment horizontal="center" readingOrder="0" vertical="center"/>
    </xf>
    <xf borderId="36" fillId="9" fontId="28" numFmtId="0" xfId="0" applyAlignment="1" applyBorder="1" applyFont="1">
      <alignment horizontal="center" readingOrder="0" vertical="center"/>
    </xf>
    <xf borderId="37" fillId="9" fontId="28" numFmtId="0" xfId="0" applyAlignment="1" applyBorder="1" applyFont="1">
      <alignment horizontal="center" readingOrder="0" vertical="center"/>
    </xf>
    <xf borderId="37" fillId="9" fontId="28" numFmtId="164" xfId="0" applyAlignment="1" applyBorder="1" applyFont="1" applyNumberFormat="1">
      <alignment horizontal="center" readingOrder="0" vertical="center"/>
    </xf>
    <xf borderId="38" fillId="9" fontId="28" numFmtId="164" xfId="0" applyAlignment="1" applyBorder="1" applyFont="1" applyNumberFormat="1">
      <alignment horizontal="center" readingOrder="0" vertical="center"/>
    </xf>
    <xf borderId="0" fillId="9" fontId="28" numFmtId="164" xfId="0" applyAlignment="1" applyFont="1" applyNumberFormat="1">
      <alignment horizontal="center" readingOrder="0" vertical="center"/>
    </xf>
    <xf borderId="8" fillId="3" fontId="27" numFmtId="0" xfId="0" applyBorder="1" applyFont="1"/>
    <xf borderId="37" fillId="0" fontId="29" numFmtId="165" xfId="0" applyAlignment="1" applyBorder="1" applyFont="1" applyNumberFormat="1">
      <alignment horizontal="center" vertical="center"/>
    </xf>
    <xf borderId="37" fillId="0" fontId="29" numFmtId="164" xfId="0" applyAlignment="1" applyBorder="1" applyFont="1" applyNumberFormat="1">
      <alignment horizontal="center" vertical="center"/>
    </xf>
    <xf borderId="37" fillId="0" fontId="30" numFmtId="164" xfId="0" applyAlignment="1" applyBorder="1" applyFont="1" applyNumberFormat="1">
      <alignment horizontal="center" readingOrder="0" vertical="center"/>
    </xf>
    <xf borderId="37" fillId="13" fontId="29" numFmtId="0" xfId="0" applyAlignment="1" applyBorder="1" applyFill="1" applyFont="1">
      <alignment horizontal="center" vertical="center"/>
    </xf>
    <xf borderId="37" fillId="13" fontId="29" numFmtId="165" xfId="0" applyAlignment="1" applyBorder="1" applyFont="1" applyNumberFormat="1">
      <alignment horizontal="center" vertical="center"/>
    </xf>
    <xf borderId="37" fillId="13" fontId="30" numFmtId="0" xfId="0" applyAlignment="1" applyBorder="1" applyFont="1">
      <alignment horizontal="center" readingOrder="0" vertical="center"/>
    </xf>
    <xf borderId="37" fillId="12" fontId="30" numFmtId="0" xfId="0" applyAlignment="1" applyBorder="1" applyFont="1">
      <alignment horizontal="center" readingOrder="0" vertical="center"/>
    </xf>
    <xf borderId="39" fillId="14" fontId="27" numFmtId="166" xfId="0" applyAlignment="1" applyBorder="1" applyFill="1" applyFont="1" applyNumberFormat="1">
      <alignment horizontal="center" readingOrder="0"/>
    </xf>
    <xf borderId="40" fillId="14" fontId="27" numFmtId="167" xfId="0" applyAlignment="1" applyBorder="1" applyFont="1" applyNumberFormat="1">
      <alignment horizontal="center" readingOrder="0"/>
    </xf>
    <xf borderId="39" fillId="14" fontId="27" numFmtId="168" xfId="0" applyAlignment="1" applyBorder="1" applyFont="1" applyNumberFormat="1">
      <alignment horizontal="center" readingOrder="0"/>
    </xf>
    <xf borderId="0" fillId="14" fontId="27" numFmtId="167" xfId="0" applyAlignment="1" applyFont="1" applyNumberFormat="1">
      <alignment horizontal="center"/>
    </xf>
    <xf borderId="0" fillId="14" fontId="31" numFmtId="167" xfId="0" applyAlignment="1" applyFont="1" applyNumberFormat="1">
      <alignment horizontal="center" readingOrder="0"/>
    </xf>
    <xf borderId="41" fillId="14" fontId="31" numFmtId="167" xfId="0" applyAlignment="1" applyBorder="1" applyFont="1" applyNumberFormat="1">
      <alignment horizontal="center" readingOrder="0"/>
    </xf>
    <xf borderId="37" fillId="0" fontId="12" numFmtId="0" xfId="0" applyAlignment="1" applyBorder="1" applyFont="1">
      <alignment horizontal="center" readingOrder="0"/>
    </xf>
    <xf borderId="42" fillId="15" fontId="32" numFmtId="164" xfId="0" applyAlignment="1" applyBorder="1" applyFill="1" applyFont="1" applyNumberFormat="1">
      <alignment horizontal="center" readingOrder="0" vertical="bottom"/>
    </xf>
    <xf borderId="37" fillId="0" fontId="33" numFmtId="1" xfId="0" applyAlignment="1" applyBorder="1" applyFont="1" applyNumberFormat="1">
      <alignment horizontal="center" readingOrder="0" vertical="bottom"/>
    </xf>
    <xf borderId="0" fillId="16" fontId="12" numFmtId="0" xfId="0" applyAlignment="1" applyFill="1" applyFont="1">
      <alignment horizontal="center"/>
    </xf>
    <xf borderId="0" fillId="16" fontId="31" numFmtId="164" xfId="0" applyAlignment="1" applyFont="1" applyNumberFormat="1">
      <alignment horizontal="center" readingOrder="0"/>
    </xf>
    <xf borderId="0" fillId="16" fontId="19" numFmtId="0" xfId="0" applyAlignment="1" applyFont="1">
      <alignment horizontal="center" readingOrder="0" shrinkToFit="0" wrapText="0"/>
    </xf>
    <xf borderId="0" fillId="17" fontId="34" numFmtId="0" xfId="0" applyAlignment="1" applyFill="1" applyFont="1">
      <alignment horizontal="center" readingOrder="0"/>
    </xf>
    <xf borderId="0" fillId="17" fontId="31" numFmtId="164" xfId="0" applyAlignment="1" applyFont="1" applyNumberFormat="1">
      <alignment horizontal="center" readingOrder="0"/>
    </xf>
    <xf borderId="43" fillId="3" fontId="35" numFmtId="0" xfId="0" applyAlignment="1" applyBorder="1" applyFont="1">
      <alignment readingOrder="0" textRotation="90"/>
    </xf>
    <xf borderId="39" fillId="18" fontId="27" numFmtId="169" xfId="0" applyAlignment="1" applyBorder="1" applyFill="1" applyFont="1" applyNumberFormat="1">
      <alignment horizontal="center" readingOrder="0"/>
    </xf>
    <xf borderId="44" fillId="18" fontId="27" numFmtId="167" xfId="0" applyAlignment="1" applyBorder="1" applyFont="1" applyNumberFormat="1">
      <alignment horizontal="center" readingOrder="0"/>
    </xf>
    <xf borderId="39" fillId="18" fontId="27" numFmtId="168" xfId="0" applyAlignment="1" applyBorder="1" applyFont="1" applyNumberFormat="1">
      <alignment horizontal="center" readingOrder="0"/>
    </xf>
    <xf borderId="0" fillId="18" fontId="27" numFmtId="167" xfId="0" applyAlignment="1" applyFont="1" applyNumberFormat="1">
      <alignment horizontal="center"/>
    </xf>
    <xf borderId="45" fillId="0" fontId="12" numFmtId="0" xfId="0" applyAlignment="1" applyBorder="1" applyFont="1">
      <alignment horizontal="center" readingOrder="0"/>
    </xf>
    <xf borderId="45" fillId="19" fontId="32" numFmtId="164" xfId="0" applyAlignment="1" applyBorder="1" applyFill="1" applyFont="1" applyNumberFormat="1">
      <alignment horizontal="center" readingOrder="0" vertical="bottom"/>
    </xf>
    <xf borderId="45" fillId="0" fontId="12" numFmtId="1" xfId="0" applyAlignment="1" applyBorder="1" applyFont="1" applyNumberFormat="1">
      <alignment horizontal="center"/>
    </xf>
    <xf borderId="0" fillId="20" fontId="12" numFmtId="0" xfId="0" applyAlignment="1" applyFill="1" applyFont="1">
      <alignment horizontal="center"/>
    </xf>
    <xf borderId="0" fillId="20" fontId="31" numFmtId="164" xfId="0" applyAlignment="1" applyFont="1" applyNumberFormat="1">
      <alignment horizontal="center" readingOrder="0"/>
    </xf>
    <xf borderId="46" fillId="0" fontId="4" numFmtId="0" xfId="0" applyBorder="1" applyFont="1"/>
    <xf quotePrefix="1" borderId="39" fillId="14" fontId="27" numFmtId="169" xfId="0" applyAlignment="1" applyBorder="1" applyFont="1" applyNumberFormat="1">
      <alignment horizontal="center" readingOrder="0"/>
    </xf>
    <xf borderId="44" fillId="14" fontId="27" numFmtId="167" xfId="0" applyAlignment="1" applyBorder="1" applyFont="1" applyNumberFormat="1">
      <alignment horizontal="center" readingOrder="0"/>
    </xf>
    <xf borderId="45" fillId="0" fontId="12" numFmtId="165" xfId="0" applyAlignment="1" applyBorder="1" applyFont="1" applyNumberFormat="1">
      <alignment horizontal="center"/>
    </xf>
    <xf borderId="45" fillId="15" fontId="32" numFmtId="164" xfId="0" applyAlignment="1" applyBorder="1" applyFont="1" applyNumberFormat="1">
      <alignment horizontal="center" vertical="bottom"/>
    </xf>
    <xf borderId="0" fillId="17" fontId="31" numFmtId="2" xfId="0" applyAlignment="1" applyFont="1" applyNumberFormat="1">
      <alignment horizontal="center" readingOrder="0"/>
    </xf>
    <xf quotePrefix="1" borderId="39" fillId="18" fontId="27" numFmtId="169" xfId="0" applyAlignment="1" applyBorder="1" applyFont="1" applyNumberFormat="1">
      <alignment horizontal="center" readingOrder="0"/>
    </xf>
    <xf borderId="45" fillId="19" fontId="32" numFmtId="164" xfId="0" applyAlignment="1" applyBorder="1" applyFont="1" applyNumberFormat="1">
      <alignment horizontal="center" vertical="bottom"/>
    </xf>
    <xf borderId="33" fillId="3" fontId="31" numFmtId="0" xfId="0" applyAlignment="1" applyBorder="1" applyFont="1">
      <alignment readingOrder="0"/>
    </xf>
    <xf borderId="47" fillId="17" fontId="34" numFmtId="0" xfId="0" applyAlignment="1" applyBorder="1" applyFont="1">
      <alignment horizontal="center" readingOrder="0" vertical="center"/>
    </xf>
    <xf borderId="47" fillId="17" fontId="31" numFmtId="1" xfId="0" applyAlignment="1" applyBorder="1" applyFont="1" applyNumberFormat="1">
      <alignment horizontal="center" readingOrder="0" vertical="center"/>
    </xf>
    <xf borderId="37" fillId="0" fontId="12" numFmtId="165" xfId="0" applyAlignment="1" applyBorder="1" applyFont="1" applyNumberFormat="1">
      <alignment horizontal="center"/>
    </xf>
    <xf borderId="37" fillId="15" fontId="32" numFmtId="164" xfId="0" applyAlignment="1" applyBorder="1" applyFont="1" applyNumberFormat="1">
      <alignment horizontal="center" vertical="bottom"/>
    </xf>
    <xf borderId="37" fillId="0" fontId="12" numFmtId="1" xfId="0" applyAlignment="1" applyBorder="1" applyFont="1" applyNumberFormat="1">
      <alignment horizontal="center"/>
    </xf>
    <xf borderId="0" fillId="17" fontId="31" numFmtId="0" xfId="0" applyAlignment="1" applyFont="1">
      <alignment horizontal="center" readingOrder="0" vertical="center"/>
    </xf>
    <xf borderId="0" fillId="17" fontId="36" numFmtId="0" xfId="0" applyAlignment="1" applyFont="1">
      <alignment horizontal="center" readingOrder="0" vertical="center"/>
    </xf>
    <xf borderId="48" fillId="14" fontId="27" numFmtId="168" xfId="0" applyAlignment="1" applyBorder="1" applyFont="1" applyNumberFormat="1">
      <alignment horizontal="center" readingOrder="0"/>
    </xf>
    <xf borderId="37" fillId="14" fontId="27" numFmtId="167" xfId="0" applyAlignment="1" applyBorder="1" applyFont="1" applyNumberFormat="1">
      <alignment horizontal="center"/>
    </xf>
    <xf borderId="0" fillId="17" fontId="19" numFmtId="1" xfId="0" applyAlignment="1" applyFont="1" applyNumberFormat="1">
      <alignment horizontal="center" readingOrder="0" vertical="center"/>
    </xf>
    <xf borderId="0" fillId="17" fontId="36" numFmtId="1" xfId="0" applyAlignment="1" applyFont="1" applyNumberFormat="1">
      <alignment horizontal="center" readingOrder="0" vertical="center"/>
    </xf>
    <xf borderId="15" fillId="0" fontId="4" numFmtId="0" xfId="0" applyBorder="1" applyFont="1"/>
    <xf borderId="48" fillId="18" fontId="27" numFmtId="168" xfId="0" applyAlignment="1" applyBorder="1" applyFont="1" applyNumberFormat="1">
      <alignment horizontal="center" readingOrder="0"/>
    </xf>
    <xf borderId="37" fillId="18" fontId="27" numFmtId="167" xfId="0" applyAlignment="1" applyBorder="1" applyFont="1" applyNumberFormat="1">
      <alignment horizontal="center"/>
    </xf>
    <xf borderId="37" fillId="19" fontId="32" numFmtId="164" xfId="0" applyAlignment="1" applyBorder="1" applyFont="1" applyNumberFormat="1">
      <alignment horizontal="center" vertical="bottom"/>
    </xf>
    <xf borderId="49" fillId="3" fontId="27" numFmtId="0" xfId="0" applyBorder="1" applyFont="1"/>
    <xf borderId="15" fillId="3" fontId="27" numFmtId="165" xfId="0" applyAlignment="1" applyBorder="1" applyFont="1" applyNumberFormat="1">
      <alignment horizontal="center"/>
    </xf>
    <xf borderId="15" fillId="3" fontId="27" numFmtId="164" xfId="0" applyBorder="1" applyFont="1" applyNumberFormat="1"/>
    <xf borderId="15" fillId="3" fontId="27" numFmtId="164" xfId="0" applyAlignment="1" applyBorder="1" applyFont="1" applyNumberFormat="1">
      <alignment horizontal="center"/>
    </xf>
    <xf borderId="33" fillId="3" fontId="27" numFmtId="165" xfId="0" applyAlignment="1" applyBorder="1" applyFont="1" applyNumberFormat="1">
      <alignment horizontal="center"/>
    </xf>
    <xf borderId="33" fillId="3" fontId="27" numFmtId="164" xfId="0" applyBorder="1" applyFont="1" applyNumberFormat="1"/>
    <xf borderId="33" fillId="3" fontId="27" numFmtId="164" xfId="0" applyAlignment="1" applyBorder="1" applyFont="1" applyNumberFormat="1">
      <alignment horizontal="center"/>
    </xf>
    <xf borderId="8" fillId="3" fontId="27" numFmtId="165" xfId="0" applyAlignment="1" applyBorder="1" applyFont="1" applyNumberFormat="1">
      <alignment horizontal="center"/>
    </xf>
    <xf quotePrefix="1" borderId="48" fillId="18" fontId="27" numFmtId="169" xfId="0" applyAlignment="1" applyBorder="1" applyFont="1" applyNumberFormat="1">
      <alignment horizontal="center" readingOrder="0"/>
    </xf>
    <xf borderId="50" fillId="18" fontId="27" numFmtId="167" xfId="0" applyAlignment="1" applyBorder="1" applyFont="1" applyNumberFormat="1">
      <alignment horizontal="center" readingOrder="0"/>
    </xf>
    <xf borderId="15" fillId="3" fontId="27" numFmtId="0" xfId="0" applyBorder="1" applyFont="1"/>
    <xf borderId="51" fillId="3" fontId="37" numFmtId="0" xfId="0" applyAlignment="1" applyBorder="1" applyFont="1">
      <alignment horizontal="center" readingOrder="0" vertical="center"/>
    </xf>
    <xf borderId="52" fillId="2" fontId="37" numFmtId="0" xfId="0" applyAlignment="1" applyBorder="1" applyFont="1">
      <alignment horizontal="center" readingOrder="0" vertical="center"/>
    </xf>
    <xf borderId="52" fillId="0" fontId="4" numFmtId="0" xfId="0" applyBorder="1" applyFont="1"/>
    <xf borderId="53" fillId="0" fontId="4" numFmtId="0" xfId="0" applyBorder="1" applyFont="1"/>
    <xf borderId="8" fillId="3" fontId="12" numFmtId="0" xfId="0" applyBorder="1" applyFont="1"/>
    <xf borderId="33" fillId="3" fontId="12" numFmtId="0" xfId="0" applyAlignment="1" applyBorder="1" applyFont="1">
      <alignment readingOrder="0"/>
    </xf>
    <xf borderId="33" fillId="3" fontId="12" numFmtId="0" xfId="0" applyBorder="1" applyFont="1"/>
    <xf borderId="51" fillId="3" fontId="38" numFmtId="0" xfId="0" applyAlignment="1" applyBorder="1" applyFont="1">
      <alignment horizontal="right" readingOrder="0"/>
    </xf>
    <xf borderId="0" fillId="2" fontId="38" numFmtId="0" xfId="0" applyAlignment="1" applyFont="1">
      <alignment horizontal="right" readingOrder="0"/>
    </xf>
    <xf borderId="19" fillId="21" fontId="4" numFmtId="0" xfId="0" applyBorder="1" applyFill="1" applyFont="1"/>
    <xf borderId="51" fillId="3" fontId="38" numFmtId="0" xfId="0" applyAlignment="1" applyBorder="1" applyFont="1">
      <alignment readingOrder="0"/>
    </xf>
    <xf borderId="0" fillId="2" fontId="39" numFmtId="0" xfId="0" applyAlignment="1" applyFont="1">
      <alignment horizontal="right" readingOrder="0" vertical="center"/>
    </xf>
    <xf borderId="19" fillId="2" fontId="4" numFmtId="0" xfId="0" applyBorder="1" applyFont="1"/>
    <xf borderId="0" fillId="0" fontId="40" numFmtId="0" xfId="0" applyAlignment="1" applyFont="1">
      <alignment horizontal="center" readingOrder="0" shrinkToFit="0" vertical="center" wrapText="0"/>
    </xf>
    <xf borderId="0" fillId="22" fontId="40" numFmtId="0" xfId="0" applyAlignment="1" applyFill="1" applyFont="1">
      <alignment horizontal="center" readingOrder="0" vertical="center"/>
    </xf>
    <xf borderId="0" fillId="2" fontId="38" numFmtId="0" xfId="0" applyAlignment="1" applyFont="1">
      <alignment readingOrder="0"/>
    </xf>
    <xf borderId="54" fillId="23" fontId="12" numFmtId="0" xfId="0" applyAlignment="1" applyBorder="1" applyFill="1" applyFont="1">
      <alignment horizontal="left" readingOrder="0"/>
    </xf>
    <xf borderId="55" fillId="21" fontId="12" numFmtId="0" xfId="0" applyAlignment="1" applyBorder="1" applyFont="1">
      <alignment horizontal="right" readingOrder="0"/>
    </xf>
    <xf borderId="0" fillId="0" fontId="20" numFmtId="0" xfId="0" applyAlignment="1" applyFont="1">
      <alignment shrinkToFit="0" wrapText="0"/>
    </xf>
    <xf borderId="0" fillId="21" fontId="20" numFmtId="0" xfId="0" applyFont="1"/>
    <xf borderId="56" fillId="23" fontId="12" numFmtId="0" xfId="0" applyAlignment="1" applyBorder="1" applyFont="1">
      <alignment horizontal="right" readingOrder="0"/>
    </xf>
    <xf borderId="57" fillId="8" fontId="12" numFmtId="164" xfId="0" applyAlignment="1" applyBorder="1" applyFont="1" applyNumberFormat="1">
      <alignment readingOrder="0"/>
    </xf>
    <xf borderId="0" fillId="0" fontId="40" numFmtId="0" xfId="0" applyAlignment="1" applyFont="1">
      <alignment horizontal="right" readingOrder="0" shrinkToFit="0" wrapText="0"/>
    </xf>
    <xf borderId="0" fillId="8" fontId="40" numFmtId="0" xfId="0" applyAlignment="1" applyFont="1">
      <alignment horizontal="right" readingOrder="0"/>
    </xf>
    <xf borderId="0" fillId="8" fontId="12" numFmtId="0" xfId="0" applyFont="1"/>
    <xf borderId="57" fillId="21" fontId="12" numFmtId="0" xfId="0" applyAlignment="1" applyBorder="1" applyFont="1">
      <alignment horizontal="right"/>
    </xf>
    <xf borderId="0" fillId="0" fontId="12" numFmtId="0" xfId="0" applyAlignment="1" applyFont="1">
      <alignment horizontal="right" readingOrder="0" shrinkToFit="0" wrapText="0"/>
    </xf>
    <xf borderId="57" fillId="23" fontId="12" numFmtId="0" xfId="0" applyAlignment="1" applyBorder="1" applyFont="1">
      <alignment horizontal="right" readingOrder="0"/>
    </xf>
    <xf borderId="0" fillId="0" fontId="12" numFmtId="0" xfId="0" applyAlignment="1" applyFont="1">
      <alignment readingOrder="0" shrinkToFit="0" wrapText="0"/>
    </xf>
    <xf borderId="0" fillId="21" fontId="41" numFmtId="0" xfId="0" applyAlignment="1" applyFont="1">
      <alignment horizontal="right" readingOrder="0"/>
    </xf>
    <xf borderId="56" fillId="8" fontId="12" numFmtId="164" xfId="0" applyAlignment="1" applyBorder="1" applyFont="1" applyNumberFormat="1">
      <alignment horizontal="right"/>
    </xf>
    <xf borderId="57" fillId="8" fontId="12" numFmtId="164" xfId="0" applyAlignment="1" applyBorder="1" applyFont="1" applyNumberFormat="1">
      <alignment horizontal="right"/>
    </xf>
    <xf borderId="0" fillId="0" fontId="42" numFmtId="0" xfId="0" applyAlignment="1" applyFont="1">
      <alignment horizontal="right" readingOrder="0" shrinkToFit="0" wrapText="0"/>
    </xf>
    <xf borderId="0" fillId="8" fontId="43" numFmtId="0" xfId="0" applyAlignment="1" applyFont="1">
      <alignment horizontal="right" readingOrder="0"/>
    </xf>
    <xf borderId="0" fillId="8" fontId="12" numFmtId="170" xfId="0" applyAlignment="1" applyFont="1" applyNumberFormat="1">
      <alignment horizontal="right" readingOrder="0"/>
    </xf>
    <xf borderId="0" fillId="8" fontId="12" numFmtId="49" xfId="0" applyAlignment="1" applyFont="1" applyNumberFormat="1">
      <alignment horizontal="right" readingOrder="0"/>
    </xf>
    <xf borderId="56" fillId="21" fontId="12" numFmtId="164" xfId="0" applyAlignment="1" applyBorder="1" applyFont="1" applyNumberFormat="1">
      <alignment horizontal="right"/>
    </xf>
    <xf borderId="57" fillId="21" fontId="44" numFmtId="164" xfId="0" applyAlignment="1" applyBorder="1" applyFont="1" applyNumberFormat="1">
      <alignment horizontal="right" vertical="bottom"/>
    </xf>
    <xf borderId="0" fillId="21" fontId="43" numFmtId="0" xfId="0" applyAlignment="1" applyFont="1">
      <alignment horizontal="right" readingOrder="0"/>
    </xf>
    <xf borderId="0" fillId="21" fontId="12" numFmtId="170" xfId="0" applyAlignment="1" applyFont="1" applyNumberFormat="1">
      <alignment horizontal="right" readingOrder="0"/>
    </xf>
    <xf borderId="0" fillId="21" fontId="12" numFmtId="49" xfId="0" applyAlignment="1" applyFont="1" applyNumberFormat="1">
      <alignment horizontal="right" readingOrder="0"/>
    </xf>
    <xf borderId="57" fillId="8" fontId="44" numFmtId="164" xfId="0" applyAlignment="1" applyBorder="1" applyFont="1" applyNumberFormat="1">
      <alignment horizontal="right" vertical="bottom"/>
    </xf>
    <xf borderId="0" fillId="8" fontId="12" numFmtId="0" xfId="0" applyAlignment="1" applyFont="1">
      <alignment horizontal="right" readingOrder="0"/>
    </xf>
    <xf borderId="0" fillId="21" fontId="12" numFmtId="0" xfId="0" applyAlignment="1" applyFont="1">
      <alignment horizontal="right" readingOrder="0"/>
    </xf>
    <xf borderId="56" fillId="8" fontId="12" numFmtId="0" xfId="0" applyAlignment="1" applyBorder="1" applyFont="1">
      <alignment horizontal="right" readingOrder="0"/>
    </xf>
    <xf borderId="58" fillId="2" fontId="38" numFmtId="0" xfId="0" applyAlignment="1" applyBorder="1" applyFont="1">
      <alignment horizontal="center" readingOrder="0"/>
    </xf>
    <xf borderId="59" fillId="8" fontId="4" numFmtId="0" xfId="0" applyBorder="1" applyFont="1"/>
    <xf borderId="56" fillId="23" fontId="12" numFmtId="0" xfId="0" applyAlignment="1" applyBorder="1" applyFont="1">
      <alignment horizontal="left" readingOrder="0"/>
    </xf>
    <xf borderId="55" fillId="23" fontId="12" numFmtId="0" xfId="0" applyAlignment="1" applyBorder="1" applyFont="1">
      <alignment horizontal="left" readingOrder="0"/>
    </xf>
    <xf borderId="57" fillId="8" fontId="12" numFmtId="1" xfId="0" applyBorder="1" applyFont="1" applyNumberFormat="1"/>
    <xf borderId="0" fillId="8" fontId="20" numFmtId="0" xfId="0" applyFont="1"/>
    <xf borderId="60" fillId="2" fontId="38" numFmtId="0" xfId="0" applyAlignment="1" applyBorder="1" applyFont="1">
      <alignment readingOrder="0"/>
    </xf>
    <xf borderId="54" fillId="21" fontId="12" numFmtId="1" xfId="0" applyAlignment="1" applyBorder="1" applyFont="1" applyNumberFormat="1">
      <alignment horizontal="right"/>
    </xf>
    <xf borderId="57" fillId="21" fontId="12" numFmtId="1" xfId="0" applyBorder="1" applyFont="1" applyNumberFormat="1"/>
    <xf borderId="0" fillId="21" fontId="40" numFmtId="0" xfId="0" applyAlignment="1" applyFont="1">
      <alignment horizontal="right" readingOrder="0"/>
    </xf>
    <xf borderId="56" fillId="8" fontId="12" numFmtId="1" xfId="0" applyAlignment="1" applyBorder="1" applyFont="1" applyNumberFormat="1">
      <alignment horizontal="right"/>
    </xf>
    <xf borderId="0" fillId="8" fontId="41" numFmtId="0" xfId="0" applyAlignment="1" applyFont="1">
      <alignment horizontal="right" readingOrder="0"/>
    </xf>
    <xf borderId="56" fillId="21" fontId="12" numFmtId="1" xfId="0" applyAlignment="1" applyBorder="1" applyFont="1" applyNumberFormat="1">
      <alignment horizontal="right"/>
    </xf>
    <xf borderId="57" fillId="21" fontId="12" numFmtId="164" xfId="0" applyAlignment="1" applyBorder="1" applyFont="1" applyNumberFormat="1">
      <alignment horizontal="right"/>
    </xf>
    <xf borderId="55" fillId="23" fontId="12" numFmtId="2" xfId="0" applyAlignment="1" applyBorder="1" applyFont="1" applyNumberFormat="1">
      <alignment readingOrder="0"/>
    </xf>
    <xf borderId="54" fillId="8" fontId="12" numFmtId="1" xfId="0" applyAlignment="1" applyBorder="1" applyFont="1" applyNumberFormat="1">
      <alignment horizontal="right"/>
    </xf>
    <xf borderId="57" fillId="8" fontId="12" numFmtId="2" xfId="0" applyBorder="1" applyFont="1" applyNumberFormat="1"/>
    <xf borderId="57" fillId="23" fontId="12" numFmtId="2" xfId="0" applyAlignment="1" applyBorder="1" applyFont="1" applyNumberFormat="1">
      <alignment readingOrder="0"/>
    </xf>
    <xf borderId="0" fillId="21" fontId="12" numFmtId="0" xfId="0" applyFont="1"/>
    <xf borderId="61" fillId="2" fontId="38" numFmtId="0" xfId="0" applyAlignment="1" applyBorder="1" applyFont="1">
      <alignment readingOrder="0"/>
    </xf>
    <xf borderId="62" fillId="8" fontId="12" numFmtId="1" xfId="0" applyAlignment="1" applyBorder="1" applyFont="1" applyNumberFormat="1">
      <alignment horizontal="right"/>
    </xf>
    <xf borderId="61" fillId="2" fontId="38" numFmtId="0" xfId="0" applyBorder="1" applyFont="1"/>
    <xf borderId="63" fillId="8" fontId="12" numFmtId="2" xfId="0" applyBorder="1" applyFont="1" applyNumberFormat="1"/>
    <xf borderId="51" fillId="3" fontId="12" numFmtId="0" xfId="0" applyBorder="1" applyFont="1"/>
    <xf borderId="18" fillId="3" fontId="12" numFmtId="0" xfId="0" applyBorder="1" applyFont="1"/>
    <xf borderId="15" fillId="3" fontId="12" numFmtId="0" xfId="0" applyBorder="1" applyFont="1"/>
    <xf borderId="51" fillId="3" fontId="45" numFmtId="0" xfId="0" applyAlignment="1" applyBorder="1" applyFont="1">
      <alignment readingOrder="0"/>
    </xf>
    <xf borderId="8" fillId="3" fontId="45" numFmtId="0" xfId="0" applyAlignment="1" applyBorder="1" applyFont="1">
      <alignment readingOrder="0"/>
    </xf>
    <xf borderId="0" fillId="3" fontId="45" numFmtId="0" xfId="0" applyAlignment="1" applyFont="1">
      <alignment readingOrder="0"/>
    </xf>
    <xf borderId="33" fillId="3" fontId="45" numFmtId="0" xfId="0" applyAlignment="1" applyBorder="1" applyFont="1">
      <alignment readingOrder="0"/>
    </xf>
    <xf borderId="33" fillId="3" fontId="46" numFmtId="0" xfId="0" applyAlignment="1" applyBorder="1" applyFont="1">
      <alignment horizontal="center" readingOrder="0" vertical="center"/>
    </xf>
    <xf borderId="64" fillId="2" fontId="24" numFmtId="0" xfId="0" applyAlignment="1" applyBorder="1" applyFont="1">
      <alignment horizontal="center" readingOrder="0" vertical="center"/>
    </xf>
    <xf borderId="64" fillId="0" fontId="4" numFmtId="0" xfId="0" applyBorder="1" applyFont="1"/>
    <xf borderId="65" fillId="0" fontId="4" numFmtId="0" xfId="0" applyBorder="1" applyFont="1"/>
    <xf borderId="33" fillId="3" fontId="47" numFmtId="0" xfId="0" applyBorder="1" applyFont="1"/>
    <xf borderId="33" fillId="3" fontId="38" numFmtId="0" xfId="0" applyBorder="1" applyFont="1"/>
    <xf borderId="0" fillId="2" fontId="38" numFmtId="0" xfId="0" applyFont="1"/>
    <xf borderId="0" fillId="2" fontId="38" numFmtId="0" xfId="0" applyAlignment="1" applyFont="1">
      <alignment horizontal="left" readingOrder="0"/>
    </xf>
    <xf borderId="0" fillId="2" fontId="48" numFmtId="0" xfId="0" applyAlignment="1" applyFont="1">
      <alignment horizontal="center" readingOrder="0" vertical="center"/>
    </xf>
    <xf borderId="66" fillId="2" fontId="4" numFmtId="0" xfId="0" applyBorder="1" applyFont="1"/>
    <xf borderId="0" fillId="0" fontId="38" numFmtId="0" xfId="0" applyAlignment="1" applyFont="1">
      <alignment horizontal="right" readingOrder="0"/>
    </xf>
    <xf borderId="0" fillId="0" fontId="48" numFmtId="0" xfId="0" applyAlignment="1" applyFont="1">
      <alignment horizontal="right" readingOrder="0" vertical="center"/>
    </xf>
    <xf borderId="0" fillId="0" fontId="48" numFmtId="0" xfId="0" applyAlignment="1" applyFont="1">
      <alignment horizontal="left" readingOrder="0" vertical="center"/>
    </xf>
    <xf borderId="67" fillId="2" fontId="38" numFmtId="0" xfId="0" applyAlignment="1" applyBorder="1" applyFont="1">
      <alignment horizontal="left" readingOrder="0"/>
    </xf>
    <xf borderId="67" fillId="2" fontId="38" numFmtId="0" xfId="0" applyAlignment="1" applyBorder="1" applyFont="1">
      <alignment horizontal="center" readingOrder="0"/>
    </xf>
    <xf borderId="68" fillId="2" fontId="38" numFmtId="0" xfId="0" applyAlignment="1" applyBorder="1" applyFont="1">
      <alignment horizontal="center" readingOrder="0"/>
    </xf>
    <xf borderId="67" fillId="2" fontId="38" numFmtId="0" xfId="0" applyAlignment="1" applyBorder="1" applyFont="1">
      <alignment readingOrder="0"/>
    </xf>
    <xf borderId="67" fillId="2" fontId="38" numFmtId="0" xfId="0" applyAlignment="1" applyBorder="1" applyFont="1">
      <alignment horizontal="right" readingOrder="0"/>
    </xf>
    <xf borderId="33" fillId="3" fontId="19" numFmtId="0" xfId="0" applyAlignment="1" applyBorder="1" applyFont="1">
      <alignment horizontal="center" readingOrder="0" textRotation="90" vertical="center"/>
    </xf>
    <xf borderId="69" fillId="24" fontId="19" numFmtId="0" xfId="0" applyAlignment="1" applyBorder="1" applyFill="1" applyFont="1">
      <alignment horizontal="center" readingOrder="0" textRotation="90" vertical="center"/>
    </xf>
    <xf borderId="0" fillId="8" fontId="12" numFmtId="0" xfId="0" applyAlignment="1" applyFont="1">
      <alignment horizontal="left" readingOrder="0"/>
    </xf>
    <xf borderId="70" fillId="8" fontId="12" numFmtId="0" xfId="0" applyAlignment="1" applyBorder="1" applyFont="1">
      <alignment horizontal="right" readingOrder="0"/>
    </xf>
    <xf borderId="0" fillId="0" fontId="12" numFmtId="0" xfId="0" applyAlignment="1" applyFont="1">
      <alignment horizontal="right" readingOrder="0"/>
    </xf>
    <xf borderId="0" fillId="0" fontId="12" numFmtId="3" xfId="0" applyAlignment="1" applyFont="1" applyNumberFormat="1">
      <alignment horizontal="right"/>
    </xf>
    <xf borderId="0" fillId="0" fontId="12" numFmtId="9" xfId="0" applyAlignment="1" applyFont="1" applyNumberFormat="1">
      <alignment horizontal="right"/>
    </xf>
    <xf borderId="69" fillId="0" fontId="4" numFmtId="0" xfId="0" applyBorder="1" applyFont="1"/>
    <xf borderId="0" fillId="21" fontId="12" numFmtId="0" xfId="0" applyAlignment="1" applyFont="1">
      <alignment horizontal="left" readingOrder="0"/>
    </xf>
    <xf borderId="70" fillId="21" fontId="12" numFmtId="0" xfId="0" applyAlignment="1" applyBorder="1" applyFont="1">
      <alignment horizontal="right" readingOrder="0"/>
    </xf>
    <xf borderId="0" fillId="21" fontId="19" numFmtId="3" xfId="0" applyAlignment="1" applyFont="1" applyNumberFormat="1">
      <alignment horizontal="right"/>
    </xf>
    <xf borderId="71" fillId="24" fontId="19" numFmtId="0" xfId="0" applyAlignment="1" applyBorder="1" applyFont="1">
      <alignment horizontal="center" readingOrder="0" textRotation="90" vertical="center"/>
    </xf>
    <xf borderId="72" fillId="0" fontId="4" numFmtId="0" xfId="0" applyBorder="1" applyFont="1"/>
    <xf borderId="0" fillId="8" fontId="12" numFmtId="0" xfId="0" applyAlignment="1" applyFont="1">
      <alignment readingOrder="0"/>
    </xf>
    <xf borderId="0" fillId="21" fontId="12" numFmtId="0" xfId="0" applyAlignment="1" applyFont="1">
      <alignment readingOrder="0"/>
    </xf>
    <xf borderId="69" fillId="24" fontId="19" numFmtId="0" xfId="0" applyBorder="1" applyFont="1"/>
    <xf borderId="0" fillId="0" fontId="12" numFmtId="0" xfId="0" applyFont="1"/>
    <xf borderId="67" fillId="22" fontId="49" numFmtId="0" xfId="0" applyAlignment="1" applyBorder="1" applyFont="1">
      <alignment horizontal="center" readingOrder="0"/>
    </xf>
    <xf borderId="67" fillId="22" fontId="4" numFmtId="0" xfId="0" applyBorder="1" applyFont="1"/>
    <xf borderId="73" fillId="0" fontId="4" numFmtId="0" xfId="0" applyBorder="1" applyFont="1"/>
    <xf borderId="0" fillId="5" fontId="12" numFmtId="0" xfId="0" applyAlignment="1" applyFont="1">
      <alignment readingOrder="0"/>
    </xf>
    <xf borderId="0" fillId="8" fontId="12" numFmtId="1" xfId="0" applyAlignment="1" applyFont="1" applyNumberFormat="1">
      <alignment readingOrder="0"/>
    </xf>
    <xf borderId="74" fillId="24" fontId="19" numFmtId="0" xfId="0" applyAlignment="1" applyBorder="1" applyFont="1">
      <alignment horizontal="center" readingOrder="0" textRotation="90" vertical="center"/>
    </xf>
    <xf borderId="75" fillId="24" fontId="19" numFmtId="0" xfId="0" applyAlignment="1" applyBorder="1" applyFont="1">
      <alignment horizontal="center" readingOrder="0" textRotation="90" vertical="center"/>
    </xf>
    <xf borderId="33" fillId="3" fontId="19" numFmtId="0" xfId="0" applyBorder="1" applyFont="1"/>
    <xf borderId="74" fillId="24" fontId="19" numFmtId="0" xfId="0" applyBorder="1" applyFont="1"/>
    <xf borderId="0" fillId="21" fontId="50" numFmtId="0" xfId="0" applyAlignment="1" applyFont="1">
      <alignment readingOrder="0"/>
    </xf>
    <xf borderId="0" fillId="0" fontId="12" numFmtId="0" xfId="0" applyAlignment="1" applyFont="1">
      <alignment horizontal="left" readingOrder="0"/>
    </xf>
    <xf borderId="70" fillId="0" fontId="12" numFmtId="0" xfId="0" applyAlignment="1" applyBorder="1" applyFont="1">
      <alignment horizontal="right" readingOrder="0"/>
    </xf>
    <xf borderId="2" fillId="2" fontId="46" numFmtId="0" xfId="0" applyAlignment="1" applyBorder="1" applyFont="1">
      <alignment horizontal="center" readingOrder="0" vertical="center"/>
    </xf>
    <xf borderId="76" fillId="2" fontId="24" numFmtId="0" xfId="0" applyAlignment="1" applyBorder="1" applyFont="1">
      <alignment horizontal="center" readingOrder="0" vertical="center"/>
    </xf>
    <xf borderId="77" fillId="0" fontId="4" numFmtId="0" xfId="0" applyBorder="1" applyFont="1"/>
    <xf borderId="78" fillId="0" fontId="4" numFmtId="0" xfId="0" applyBorder="1" applyFont="1"/>
    <xf borderId="49" fillId="3" fontId="47" numFmtId="0" xfId="0" applyBorder="1" applyFont="1"/>
    <xf borderId="2" fillId="2" fontId="24" numFmtId="0" xfId="0" applyAlignment="1" applyBorder="1" applyFont="1">
      <alignment horizontal="center" readingOrder="0" vertical="center"/>
    </xf>
    <xf borderId="79" fillId="2" fontId="47" numFmtId="0" xfId="0" applyBorder="1" applyFont="1"/>
    <xf borderId="2" fillId="2" fontId="26" numFmtId="0" xfId="0" applyAlignment="1" applyBorder="1" applyFont="1">
      <alignment horizontal="center" readingOrder="0" vertical="center"/>
    </xf>
    <xf borderId="80" fillId="2" fontId="26" numFmtId="0" xfId="0" applyAlignment="1" applyBorder="1" applyFont="1">
      <alignment horizontal="center" readingOrder="0" vertical="center"/>
    </xf>
    <xf borderId="81" fillId="0" fontId="4" numFmtId="0" xfId="0" applyBorder="1" applyFont="1"/>
    <xf borderId="82" fillId="0" fontId="4" numFmtId="0" xfId="0" applyBorder="1" applyFont="1"/>
    <xf borderId="26" fillId="2" fontId="46" numFmtId="0" xfId="0" applyAlignment="1" applyBorder="1" applyFont="1">
      <alignment horizontal="center" readingOrder="0" vertical="center"/>
    </xf>
    <xf borderId="0" fillId="2" fontId="46" numFmtId="0" xfId="0" applyAlignment="1" applyFont="1">
      <alignment horizontal="center" readingOrder="0" vertical="center"/>
    </xf>
    <xf borderId="83" fillId="2" fontId="46" numFmtId="0" xfId="0" applyAlignment="1" applyBorder="1" applyFont="1">
      <alignment horizontal="center" readingOrder="0" vertical="center"/>
    </xf>
    <xf borderId="26" fillId="2" fontId="12" numFmtId="0" xfId="0" applyBorder="1" applyFont="1"/>
    <xf borderId="49" fillId="3" fontId="12" numFmtId="0" xfId="0" applyBorder="1" applyFont="1"/>
    <xf borderId="2" fillId="2" fontId="12" numFmtId="0" xfId="0" applyBorder="1" applyFont="1"/>
    <xf borderId="2" fillId="2" fontId="9" numFmtId="0" xfId="0" applyAlignment="1" applyBorder="1" applyFont="1">
      <alignment readingOrder="0" textRotation="45"/>
    </xf>
    <xf borderId="44" fillId="2" fontId="9" numFmtId="0" xfId="0" applyAlignment="1" applyBorder="1" applyFont="1">
      <alignment readingOrder="0" textRotation="45"/>
    </xf>
    <xf borderId="46" fillId="2" fontId="9" numFmtId="0" xfId="0" applyAlignment="1" applyBorder="1" applyFont="1">
      <alignment readingOrder="0" textRotation="45"/>
    </xf>
    <xf borderId="46" fillId="2" fontId="9" numFmtId="0" xfId="0" applyAlignment="1" applyBorder="1" applyFont="1">
      <alignment readingOrder="0" shrinkToFit="0" textRotation="45" wrapText="0"/>
    </xf>
    <xf borderId="0" fillId="2" fontId="51" numFmtId="0" xfId="0" applyFont="1"/>
    <xf borderId="66" fillId="2" fontId="51" numFmtId="0" xfId="0" applyAlignment="1" applyBorder="1" applyFont="1">
      <alignment readingOrder="0"/>
    </xf>
    <xf borderId="2" fillId="2" fontId="17" numFmtId="0" xfId="0" applyAlignment="1" applyBorder="1" applyFont="1">
      <alignment readingOrder="0" textRotation="45"/>
    </xf>
    <xf borderId="44" fillId="2" fontId="17" numFmtId="0" xfId="0" applyAlignment="1" applyBorder="1" applyFont="1">
      <alignment readingOrder="0" textRotation="45"/>
    </xf>
    <xf borderId="46" fillId="2" fontId="17" numFmtId="0" xfId="0" applyAlignment="1" applyBorder="1" applyFont="1">
      <alignment readingOrder="0" textRotation="45"/>
    </xf>
    <xf borderId="0" fillId="2" fontId="51" numFmtId="0" xfId="0" applyAlignment="1" applyFont="1">
      <alignment readingOrder="0"/>
    </xf>
    <xf borderId="2" fillId="2" fontId="52" numFmtId="0" xfId="0" applyAlignment="1" applyBorder="1" applyFont="1">
      <alignment horizontal="center" readingOrder="0" vertical="center"/>
    </xf>
    <xf borderId="84" fillId="2" fontId="52" numFmtId="0" xfId="0" applyAlignment="1" applyBorder="1" applyFont="1">
      <alignment horizontal="center" readingOrder="0" vertical="center"/>
    </xf>
    <xf borderId="85" fillId="2" fontId="52" numFmtId="0" xfId="0" applyAlignment="1" applyBorder="1" applyFont="1">
      <alignment horizontal="center" readingOrder="0" vertical="center"/>
    </xf>
    <xf borderId="86" fillId="2" fontId="52" numFmtId="0" xfId="0" applyAlignment="1" applyBorder="1" applyFont="1">
      <alignment horizontal="center" readingOrder="0" vertical="center"/>
    </xf>
    <xf borderId="2" fillId="2" fontId="12" numFmtId="0" xfId="0" applyAlignment="1" applyBorder="1" applyFont="1">
      <alignment readingOrder="0"/>
    </xf>
    <xf borderId="87" fillId="2" fontId="12" numFmtId="0" xfId="0" applyAlignment="1" applyBorder="1" applyFont="1">
      <alignment readingOrder="0"/>
    </xf>
    <xf borderId="2" fillId="2" fontId="53" numFmtId="170" xfId="0" applyAlignment="1" applyBorder="1" applyFont="1" applyNumberFormat="1">
      <alignment readingOrder="0"/>
    </xf>
    <xf borderId="88" fillId="2" fontId="20" numFmtId="170" xfId="0" applyAlignment="1" applyBorder="1" applyFont="1" applyNumberFormat="1">
      <alignment readingOrder="0"/>
    </xf>
    <xf borderId="17" fillId="2" fontId="12" numFmtId="0" xfId="0" applyBorder="1" applyFont="1"/>
    <xf borderId="89" fillId="3" fontId="12" numFmtId="2" xfId="0" applyAlignment="1" applyBorder="1" applyFont="1" applyNumberFormat="1">
      <alignment readingOrder="0"/>
    </xf>
    <xf borderId="90" fillId="3" fontId="12" numFmtId="2" xfId="0" applyAlignment="1" applyBorder="1" applyFont="1" applyNumberFormat="1">
      <alignment readingOrder="0"/>
    </xf>
    <xf borderId="91" fillId="3" fontId="12" numFmtId="2" xfId="0" applyAlignment="1" applyBorder="1" applyFont="1" applyNumberFormat="1">
      <alignment readingOrder="0"/>
    </xf>
    <xf borderId="92" fillId="24" fontId="20" numFmtId="0" xfId="0" applyBorder="1" applyFont="1"/>
    <xf borderId="93" fillId="24" fontId="12" numFmtId="171" xfId="0" applyAlignment="1" applyBorder="1" applyFont="1" applyNumberFormat="1">
      <alignment readingOrder="0"/>
    </xf>
    <xf borderId="89" fillId="3" fontId="12" numFmtId="164" xfId="0" applyAlignment="1" applyBorder="1" applyFont="1" applyNumberFormat="1">
      <alignment readingOrder="0"/>
    </xf>
    <xf borderId="94" fillId="24" fontId="12" numFmtId="164" xfId="0" applyAlignment="1" applyBorder="1" applyFont="1" applyNumberFormat="1">
      <alignment readingOrder="0"/>
    </xf>
    <xf borderId="95" fillId="3" fontId="12" numFmtId="0" xfId="0" applyBorder="1" applyFont="1"/>
    <xf borderId="96" fillId="3" fontId="54" numFmtId="0" xfId="0" applyAlignment="1" applyBorder="1" applyFont="1">
      <alignment readingOrder="0" shrinkToFit="0" wrapText="0"/>
    </xf>
    <xf borderId="97" fillId="3" fontId="12" numFmtId="0" xfId="0" applyAlignment="1" applyBorder="1" applyFont="1">
      <alignment shrinkToFit="0" wrapText="0"/>
    </xf>
    <xf borderId="98" fillId="3" fontId="12" numFmtId="0" xfId="0" applyAlignment="1" applyBorder="1" applyFont="1">
      <alignment shrinkToFit="0" wrapText="0"/>
    </xf>
    <xf borderId="99" fillId="24" fontId="12" numFmtId="171" xfId="0" applyAlignment="1" applyBorder="1" applyFont="1" applyNumberFormat="1">
      <alignment readingOrder="0"/>
    </xf>
    <xf borderId="100" fillId="3" fontId="12" numFmtId="2" xfId="0" applyAlignment="1" applyBorder="1" applyFont="1" applyNumberFormat="1">
      <alignment readingOrder="0"/>
    </xf>
    <xf borderId="101" fillId="3" fontId="12" numFmtId="2" xfId="0" applyAlignment="1" applyBorder="1" applyFont="1" applyNumberFormat="1">
      <alignment readingOrder="0"/>
    </xf>
    <xf borderId="102" fillId="3" fontId="12" numFmtId="2" xfId="0" applyAlignment="1" applyBorder="1" applyFont="1" applyNumberFormat="1">
      <alignment readingOrder="0"/>
    </xf>
    <xf borderId="100" fillId="3" fontId="12" numFmtId="164" xfId="0" applyAlignment="1" applyBorder="1" applyFont="1" applyNumberFormat="1">
      <alignment readingOrder="0"/>
    </xf>
    <xf borderId="101" fillId="3" fontId="12" numFmtId="164" xfId="0" applyAlignment="1" applyBorder="1" applyFont="1" applyNumberFormat="1">
      <alignment readingOrder="0"/>
    </xf>
    <xf borderId="102" fillId="3" fontId="12" numFmtId="164" xfId="0" applyAlignment="1" applyBorder="1" applyFont="1" applyNumberFormat="1">
      <alignment readingOrder="0"/>
    </xf>
    <xf borderId="100" fillId="3" fontId="12" numFmtId="0" xfId="0" applyAlignment="1" applyBorder="1" applyFont="1">
      <alignment shrinkToFit="0" wrapText="0"/>
    </xf>
    <xf borderId="101" fillId="3" fontId="12" numFmtId="0" xfId="0" applyAlignment="1" applyBorder="1" applyFont="1">
      <alignment shrinkToFit="0" wrapText="0"/>
    </xf>
    <xf borderId="103" fillId="3" fontId="12" numFmtId="0" xfId="0" applyAlignment="1" applyBorder="1" applyFont="1">
      <alignment shrinkToFit="0" wrapText="0"/>
    </xf>
    <xf borderId="104" fillId="24" fontId="20" numFmtId="0" xfId="0" applyBorder="1" applyFont="1"/>
    <xf borderId="105" fillId="24" fontId="12" numFmtId="171" xfId="0" applyAlignment="1" applyBorder="1" applyFont="1" applyNumberFormat="1">
      <alignment readingOrder="0"/>
    </xf>
    <xf borderId="89" fillId="24" fontId="12" numFmtId="171" xfId="0" applyAlignment="1" applyBorder="1" applyFont="1" applyNumberFormat="1">
      <alignment readingOrder="0"/>
    </xf>
    <xf borderId="0" fillId="3" fontId="12" numFmtId="0" xfId="0" applyFont="1"/>
    <xf borderId="15" fillId="3" fontId="12" numFmtId="0" xfId="0" applyAlignment="1" applyBorder="1" applyFont="1">
      <alignment readingOrder="0"/>
    </xf>
    <xf borderId="46" fillId="3" fontId="12" numFmtId="0" xfId="0" applyBorder="1" applyFont="1"/>
    <xf borderId="43" fillId="3" fontId="12" numFmtId="0" xfId="0" applyBorder="1" applyFont="1"/>
    <xf borderId="33" fillId="3" fontId="50" numFmtId="0" xfId="0" applyAlignment="1" applyBorder="1" applyFont="1">
      <alignment readingOrder="0"/>
    </xf>
    <xf borderId="106" fillId="2" fontId="12" numFmtId="0" xfId="0" applyBorder="1" applyFont="1"/>
    <xf borderId="107" fillId="24" fontId="52" numFmtId="0" xfId="0" applyAlignment="1" applyBorder="1" applyFont="1">
      <alignment horizontal="left" readingOrder="0" vertical="center"/>
    </xf>
    <xf borderId="108" fillId="0" fontId="4" numFmtId="0" xfId="0" applyBorder="1" applyFont="1"/>
    <xf borderId="109" fillId="0" fontId="4" numFmtId="0" xfId="0" applyBorder="1" applyFont="1"/>
    <xf borderId="108" fillId="8" fontId="12" numFmtId="10" xfId="0" applyAlignment="1" applyBorder="1" applyFont="1" applyNumberFormat="1">
      <alignment horizontal="center" vertical="center"/>
    </xf>
    <xf borderId="110" fillId="0" fontId="4" numFmtId="0" xfId="0" applyBorder="1" applyFont="1"/>
    <xf borderId="108" fillId="8" fontId="12" numFmtId="172" xfId="0" applyAlignment="1" applyBorder="1" applyFont="1" applyNumberFormat="1">
      <alignment horizontal="left" readingOrder="0" vertical="center"/>
    </xf>
    <xf borderId="111" fillId="0" fontId="4" numFmtId="0" xfId="0" applyBorder="1" applyFont="1"/>
    <xf borderId="95" fillId="11" fontId="38" numFmtId="0" xfId="0" applyAlignment="1" applyBorder="1" applyFont="1">
      <alignment horizontal="center" readingOrder="0"/>
    </xf>
    <xf borderId="49" fillId="11" fontId="4" numFmtId="0" xfId="0" applyBorder="1" applyFont="1"/>
    <xf borderId="8" fillId="11" fontId="4" numFmtId="0" xfId="0" applyBorder="1" applyFont="1"/>
    <xf borderId="95" fillId="25" fontId="55" numFmtId="0" xfId="0" applyAlignment="1" applyBorder="1" applyFill="1" applyFont="1">
      <alignment readingOrder="0"/>
    </xf>
    <xf borderId="49" fillId="25" fontId="4" numFmtId="0" xfId="0" applyBorder="1" applyFont="1"/>
    <xf borderId="8" fillId="25" fontId="4" numFmtId="0" xfId="0" applyBorder="1" applyFont="1"/>
    <xf borderId="95" fillId="26" fontId="56" numFmtId="0" xfId="0" applyAlignment="1" applyBorder="1" applyFill="1" applyFont="1">
      <alignment readingOrder="0"/>
    </xf>
    <xf borderId="49" fillId="26" fontId="4" numFmtId="0" xfId="0" applyBorder="1" applyFont="1"/>
    <xf borderId="8" fillId="26" fontId="4" numFmtId="0" xfId="0" applyBorder="1" applyFont="1"/>
    <xf borderId="95" fillId="26" fontId="12" numFmtId="0" xfId="0" applyAlignment="1" applyBorder="1" applyFont="1">
      <alignment horizontal="left" readingOrder="0" shrinkToFit="0" vertical="top" wrapText="1"/>
    </xf>
    <xf borderId="1" fillId="2" fontId="46" numFmtId="0" xfId="0" applyAlignment="1" applyBorder="1" applyFont="1">
      <alignment horizontal="center" readingOrder="0" vertical="center"/>
    </xf>
    <xf borderId="2" fillId="2" fontId="6" numFmtId="0" xfId="0" applyAlignment="1" applyBorder="1" applyFont="1">
      <alignment horizontal="center" readingOrder="0" vertical="bottom"/>
    </xf>
    <xf borderId="3" fillId="2" fontId="6" numFmtId="0" xfId="0" applyAlignment="1" applyBorder="1" applyFont="1">
      <alignment horizontal="center" readingOrder="0" vertical="bottom"/>
    </xf>
    <xf borderId="88" fillId="2" fontId="6" numFmtId="0" xfId="0" applyAlignment="1" applyBorder="1" applyFont="1">
      <alignment horizontal="center" readingOrder="0" vertical="bottom"/>
    </xf>
    <xf borderId="112" fillId="2" fontId="6" numFmtId="0" xfId="0" applyAlignment="1" applyBorder="1" applyFont="1">
      <alignment horizontal="center" readingOrder="0" vertical="bottom"/>
    </xf>
    <xf borderId="86" fillId="2" fontId="7" numFmtId="0" xfId="0" applyBorder="1" applyFont="1"/>
    <xf borderId="0" fillId="2" fontId="57" numFmtId="0" xfId="0" applyAlignment="1" applyFont="1">
      <alignment readingOrder="0" vertical="center"/>
    </xf>
    <xf borderId="11" fillId="11" fontId="17" numFmtId="0" xfId="0" applyAlignment="1" applyBorder="1" applyFont="1">
      <alignment horizontal="center" readingOrder="0" vertical="center"/>
    </xf>
    <xf borderId="12" fillId="11" fontId="17" numFmtId="0" xfId="0" applyAlignment="1" applyBorder="1" applyFont="1">
      <alignment horizontal="center" readingOrder="0" vertical="center"/>
    </xf>
    <xf borderId="13" fillId="11" fontId="17" numFmtId="0" xfId="0" applyAlignment="1" applyBorder="1" applyFont="1">
      <alignment horizontal="center" readingOrder="0" vertical="center"/>
    </xf>
    <xf borderId="87" fillId="2" fontId="6" numFmtId="0" xfId="0" applyAlignment="1" applyBorder="1" applyFont="1">
      <alignment horizontal="center" readingOrder="0"/>
    </xf>
    <xf borderId="2" fillId="2" fontId="11" numFmtId="0" xfId="0" applyBorder="1" applyFont="1"/>
    <xf borderId="87" fillId="2" fontId="7" numFmtId="0" xfId="0" applyAlignment="1" applyBorder="1" applyFont="1">
      <alignment horizontal="center"/>
    </xf>
    <xf borderId="87" fillId="2" fontId="7" numFmtId="0" xfId="0" applyAlignment="1" applyBorder="1" applyFont="1">
      <alignment horizontal="right"/>
    </xf>
    <xf borderId="18" fillId="3" fontId="7" numFmtId="0" xfId="0" applyBorder="1" applyFont="1"/>
    <xf borderId="14" fillId="2" fontId="2" numFmtId="0" xfId="0" applyAlignment="1" applyBorder="1" applyFont="1">
      <alignment readingOrder="0" textRotation="255" vertical="center"/>
    </xf>
    <xf borderId="21" fillId="7" fontId="58" numFmtId="1" xfId="0" applyAlignment="1" applyBorder="1" applyFont="1" applyNumberFormat="1">
      <alignment horizontal="left" readingOrder="0" vertical="center"/>
    </xf>
    <xf borderId="0" fillId="7" fontId="58" numFmtId="0" xfId="0" applyAlignment="1" applyFont="1">
      <alignment horizontal="left" readingOrder="0" vertical="center"/>
    </xf>
    <xf borderId="0" fillId="7" fontId="19" numFmtId="0" xfId="0" applyAlignment="1" applyFont="1">
      <alignment horizontal="center" readingOrder="0" vertical="center"/>
    </xf>
    <xf borderId="0" fillId="7" fontId="58" numFmtId="1" xfId="0" applyAlignment="1" applyFont="1" applyNumberFormat="1">
      <alignment horizontal="left" readingOrder="0" vertical="center"/>
    </xf>
    <xf borderId="2" fillId="2" fontId="23" numFmtId="0" xfId="0" applyBorder="1" applyFont="1"/>
    <xf borderId="15" fillId="3" fontId="23" numFmtId="0" xfId="0" applyAlignment="1" applyBorder="1" applyFont="1">
      <alignment horizontal="center" readingOrder="0" vertical="center"/>
    </xf>
    <xf borderId="15" fillId="3" fontId="7" numFmtId="0" xfId="0" applyAlignment="1" applyBorder="1" applyFont="1">
      <alignment horizontal="center" vertical="center"/>
    </xf>
    <xf borderId="0" fillId="27" fontId="12" numFmtId="0" xfId="0" applyAlignment="1" applyFill="1" applyFont="1">
      <alignment readingOrder="0" shrinkToFit="0" vertical="center" wrapText="0"/>
    </xf>
  </cellXfs>
  <cellStyles count="1">
    <cellStyle xfId="0" name="Normal" builtinId="0"/>
  </cellStyles>
  <dxfs count="16">
    <dxf>
      <font/>
      <fill>
        <patternFill patternType="none"/>
      </fill>
      <border/>
    </dxf>
    <dxf>
      <font/>
      <fill>
        <patternFill patternType="solid">
          <fgColor rgb="FFFFF2CC"/>
          <bgColor rgb="FFFFF2CC"/>
        </patternFill>
      </fill>
      <border/>
    </dxf>
    <dxf>
      <font/>
      <fill>
        <patternFill patternType="solid">
          <fgColor rgb="FFFEF8E3"/>
          <bgColor rgb="FFFEF8E3"/>
        </patternFill>
      </fill>
      <border/>
    </dxf>
    <dxf>
      <font/>
      <fill>
        <patternFill patternType="solid">
          <fgColor rgb="FFFFC000"/>
          <bgColor rgb="FFFFC000"/>
        </patternFill>
      </fill>
      <border/>
    </dxf>
    <dxf>
      <font/>
      <fill>
        <patternFill patternType="solid">
          <fgColor rgb="FFFFE598"/>
          <bgColor rgb="FFFFE598"/>
        </patternFill>
      </fill>
      <border/>
    </dxf>
    <dxf>
      <font/>
      <fill>
        <patternFill patternType="solid">
          <fgColor rgb="FFFEF2CB"/>
          <bgColor rgb="FFFEF2CB"/>
        </patternFill>
      </fill>
      <border/>
    </dxf>
    <dxf>
      <font/>
      <fill>
        <patternFill patternType="solid">
          <fgColor rgb="FF38761D"/>
          <bgColor rgb="FF38761D"/>
        </patternFill>
      </fill>
      <border/>
    </dxf>
    <dxf>
      <font/>
      <fill>
        <patternFill patternType="solid">
          <fgColor rgb="FFB6D7A8"/>
          <bgColor rgb="FFB6D7A8"/>
        </patternFill>
      </fill>
      <border/>
    </dxf>
    <dxf>
      <font/>
      <fill>
        <patternFill patternType="solid">
          <fgColor rgb="FFD9EAD3"/>
          <bgColor rgb="FFD9EAD3"/>
        </patternFill>
      </fill>
      <border/>
    </dxf>
    <dxf>
      <font/>
      <fill>
        <patternFill patternType="solid">
          <fgColor rgb="FFCC0000"/>
          <bgColor rgb="FFCC0000"/>
        </patternFill>
      </fill>
      <border/>
    </dxf>
    <dxf>
      <font/>
      <fill>
        <patternFill patternType="solid">
          <fgColor rgb="FFEA9999"/>
          <bgColor rgb="FFEA9999"/>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434343"/>
          <bgColor rgb="FF434343"/>
        </patternFill>
      </fill>
      <border/>
    </dxf>
  </dxfs>
  <tableStyles count="155">
    <tableStyle count="2" pivot="0" name="Guided Exercise Log-style">
      <tableStyleElement dxfId="1" type="firstRowStripe"/>
      <tableStyleElement dxfId="2" type="secondRowStripe"/>
    </tableStyle>
    <tableStyle count="2" pivot="0" name="Guided Exercise Log-style 2">
      <tableStyleElement dxfId="1" type="firstRowStripe"/>
      <tableStyleElement dxfId="2" type="secondRowStripe"/>
    </tableStyle>
    <tableStyle count="2" pivot="0" name="Guided Exercise Log-style 3">
      <tableStyleElement dxfId="1" type="firstRowStripe"/>
      <tableStyleElement dxfId="2" type="secondRowStripe"/>
    </tableStyle>
    <tableStyle count="2" pivot="0" name="Guided Exercise Log-style 4">
      <tableStyleElement dxfId="1" type="firstRowStripe"/>
      <tableStyleElement dxfId="2" type="secondRowStripe"/>
    </tableStyle>
    <tableStyle count="2" pivot="0" name="Guided Exercise Log-style 5">
      <tableStyleElement dxfId="1" type="firstRowStripe"/>
      <tableStyleElement dxfId="2" type="secondRowStripe"/>
    </tableStyle>
    <tableStyle count="2" pivot="0" name="Guided Exercise Log-style 6">
      <tableStyleElement dxfId="1" type="firstRowStripe"/>
      <tableStyleElement dxfId="2" type="secondRowStripe"/>
    </tableStyle>
    <tableStyle count="2" pivot="0" name="Guided Exercise Log-style 7">
      <tableStyleElement dxfId="1" type="firstRowStripe"/>
      <tableStyleElement dxfId="2" type="secondRowStripe"/>
    </tableStyle>
    <tableStyle count="2" pivot="0" name="Guided Exercise Log-style 8">
      <tableStyleElement dxfId="1" type="firstRowStripe"/>
      <tableStyleElement dxfId="2" type="secondRowStripe"/>
    </tableStyle>
    <tableStyle count="2" pivot="0" name="Guided Exercise Log-style 9">
      <tableStyleElement dxfId="1" type="firstRowStripe"/>
      <tableStyleElement dxfId="2" type="secondRowStripe"/>
    </tableStyle>
    <tableStyle count="2" pivot="0" name="Guided Exercise Log-style 10">
      <tableStyleElement dxfId="1" type="firstRowStripe"/>
      <tableStyleElement dxfId="2" type="secondRowStripe"/>
    </tableStyle>
    <tableStyle count="2" pivot="0" name="Guided Exercise Log-style 11">
      <tableStyleElement dxfId="1" type="firstRowStripe"/>
      <tableStyleElement dxfId="2" type="secondRowStripe"/>
    </tableStyle>
    <tableStyle count="2" pivot="0" name="Guided Exercise Log-style 12">
      <tableStyleElement dxfId="1" type="firstRowStripe"/>
      <tableStyleElement dxfId="2" type="secondRowStripe"/>
    </tableStyle>
    <tableStyle count="2" pivot="0" name="Guided Exercise Log-style 13">
      <tableStyleElement dxfId="1" type="firstRowStripe"/>
      <tableStyleElement dxfId="2" type="secondRowStripe"/>
    </tableStyle>
    <tableStyle count="2" pivot="0" name="Guided Exercise Log-style 14">
      <tableStyleElement dxfId="1" type="firstRowStripe"/>
      <tableStyleElement dxfId="2" type="secondRowStripe"/>
    </tableStyle>
    <tableStyle count="2" pivot="0" name="Guided Exercise Log-style 15">
      <tableStyleElement dxfId="1" type="firstRowStripe"/>
      <tableStyleElement dxfId="2" type="secondRowStripe"/>
    </tableStyle>
    <tableStyle count="2" pivot="0" name="Guided Exercise Log-style 16">
      <tableStyleElement dxfId="1" type="firstRowStripe"/>
      <tableStyleElement dxfId="2" type="secondRowStripe"/>
    </tableStyle>
    <tableStyle count="2" pivot="0" name="Guided Exercise Log-style 17">
      <tableStyleElement dxfId="1" type="firstRowStripe"/>
      <tableStyleElement dxfId="2" type="secondRowStripe"/>
    </tableStyle>
    <tableStyle count="2" pivot="0" name="Guided Exercise Log-style 18">
      <tableStyleElement dxfId="1" type="firstRowStripe"/>
      <tableStyleElement dxfId="2" type="secondRowStripe"/>
    </tableStyle>
    <tableStyle count="2" pivot="0" name="Guided Exercise Log-style 19">
      <tableStyleElement dxfId="1" type="firstRowStripe"/>
      <tableStyleElement dxfId="2" type="secondRowStripe"/>
    </tableStyle>
    <tableStyle count="2" pivot="0" name="Guided Exercise Log-style 20">
      <tableStyleElement dxfId="1" type="firstRowStripe"/>
      <tableStyleElement dxfId="2" type="secondRowStripe"/>
    </tableStyle>
    <tableStyle count="2" pivot="0" name="Guided Exercise Log-style 21">
      <tableStyleElement dxfId="1" type="firstRowStripe"/>
      <tableStyleElement dxfId="2" type="secondRowStripe"/>
    </tableStyle>
    <tableStyle count="2" pivot="0" name="Guided Exercise Log-style 22">
      <tableStyleElement dxfId="1" type="firstRowStripe"/>
      <tableStyleElement dxfId="2" type="secondRowStripe"/>
    </tableStyle>
    <tableStyle count="2" pivot="0" name="Guided Exercise Log-style 23">
      <tableStyleElement dxfId="1" type="firstRowStripe"/>
      <tableStyleElement dxfId="2" type="secondRowStripe"/>
    </tableStyle>
    <tableStyle count="2" pivot="0" name="Guided Exercise Log-style 24">
      <tableStyleElement dxfId="1" type="firstRowStripe"/>
      <tableStyleElement dxfId="2" type="secondRowStripe"/>
    </tableStyle>
    <tableStyle count="2" pivot="0" name="Guided Exercise Log-style 25">
      <tableStyleElement dxfId="1" type="firstRowStripe"/>
      <tableStyleElement dxfId="2" type="secondRowStripe"/>
    </tableStyle>
    <tableStyle count="2" pivot="0" name="Guided Exercise Log-style 26">
      <tableStyleElement dxfId="1" type="firstRowStripe"/>
      <tableStyleElement dxfId="2" type="secondRowStripe"/>
    </tableStyle>
    <tableStyle count="2" pivot="0" name="Guided Exercise Log-style 27">
      <tableStyleElement dxfId="1" type="firstRowStripe"/>
      <tableStyleElement dxfId="2" type="secondRowStripe"/>
    </tableStyle>
    <tableStyle count="2" pivot="0" name="Guided Exercise Log-style 28">
      <tableStyleElement dxfId="1" type="firstRowStripe"/>
      <tableStyleElement dxfId="2" type="secondRowStripe"/>
    </tableStyle>
    <tableStyle count="2" pivot="0" name="Guided Exercise Log-style 29">
      <tableStyleElement dxfId="1" type="firstRowStripe"/>
      <tableStyleElement dxfId="2" type="secondRowStripe"/>
    </tableStyle>
    <tableStyle count="2" pivot="0" name="Guided Exercise Log-style 30">
      <tableStyleElement dxfId="1" type="firstRowStripe"/>
      <tableStyleElement dxfId="2" type="secondRowStripe"/>
    </tableStyle>
    <tableStyle count="2" pivot="0" name="Guided Exercise Log-style 31">
      <tableStyleElement dxfId="1" type="firstRowStripe"/>
      <tableStyleElement dxfId="2" type="secondRowStripe"/>
    </tableStyle>
    <tableStyle count="2" pivot="0" name="Guided Exercise Log-style 32">
      <tableStyleElement dxfId="1" type="firstRowStripe"/>
      <tableStyleElement dxfId="2" type="secondRowStripe"/>
    </tableStyle>
    <tableStyle count="2" pivot="0" name="Guided Exercise Log-style 33">
      <tableStyleElement dxfId="1" type="firstRowStripe"/>
      <tableStyleElement dxfId="2" type="secondRowStripe"/>
    </tableStyle>
    <tableStyle count="2" pivot="0" name="Guided Exercise Log-style 34">
      <tableStyleElement dxfId="1" type="firstRowStripe"/>
      <tableStyleElement dxfId="2" type="secondRowStripe"/>
    </tableStyle>
    <tableStyle count="2" pivot="0" name="Guided Exercise Log-style 35">
      <tableStyleElement dxfId="1" type="firstRowStripe"/>
      <tableStyleElement dxfId="2" type="secondRowStripe"/>
    </tableStyle>
    <tableStyle count="2" pivot="0" name="Guided Exercise Log-style 36">
      <tableStyleElement dxfId="1" type="firstRowStripe"/>
      <tableStyleElement dxfId="2" type="secondRowStripe"/>
    </tableStyle>
    <tableStyle count="2" pivot="0" name="Guided Exercise Log-style 37">
      <tableStyleElement dxfId="1" type="firstRowStripe"/>
      <tableStyleElement dxfId="2" type="secondRowStripe"/>
    </tableStyle>
    <tableStyle count="2" pivot="0" name="Guided Exercise Log-style 38">
      <tableStyleElement dxfId="1" type="firstRowStripe"/>
      <tableStyleElement dxfId="2" type="secondRowStripe"/>
    </tableStyle>
    <tableStyle count="2" pivot="0" name="Guided Exercise Log-style 39">
      <tableStyleElement dxfId="1" type="firstRowStripe"/>
      <tableStyleElement dxfId="2" type="secondRowStripe"/>
    </tableStyle>
    <tableStyle count="2" pivot="0" name="Guided Exercise Log-style 40">
      <tableStyleElement dxfId="1" type="firstRowStripe"/>
      <tableStyleElement dxfId="2" type="secondRowStripe"/>
    </tableStyle>
    <tableStyle count="2" pivot="0" name="Guided Exercise Log-style 41">
      <tableStyleElement dxfId="1" type="firstRowStripe"/>
      <tableStyleElement dxfId="2" type="secondRowStripe"/>
    </tableStyle>
    <tableStyle count="2" pivot="0" name="Guided Exercise Log-style 42">
      <tableStyleElement dxfId="1" type="firstRowStripe"/>
      <tableStyleElement dxfId="2" type="secondRowStripe"/>
    </tableStyle>
    <tableStyle count="2" pivot="0" name="Guided Exercise Log-style 43">
      <tableStyleElement dxfId="1" type="firstRowStripe"/>
      <tableStyleElement dxfId="2" type="secondRowStripe"/>
    </tableStyle>
    <tableStyle count="2" pivot="0" name="Guided Exercise Log-style 44">
      <tableStyleElement dxfId="1" type="firstRowStripe"/>
      <tableStyleElement dxfId="2" type="secondRowStripe"/>
    </tableStyle>
    <tableStyle count="2" pivot="0" name="Guided Exercise Log-style 45">
      <tableStyleElement dxfId="1" type="firstRowStripe"/>
      <tableStyleElement dxfId="2" type="secondRowStripe"/>
    </tableStyle>
    <tableStyle count="2" pivot="0" name="Guided Exercise Log-style 46">
      <tableStyleElement dxfId="1" type="firstRowStripe"/>
      <tableStyleElement dxfId="2" type="secondRowStripe"/>
    </tableStyle>
    <tableStyle count="2" pivot="0" name="Guided Exercise Log-style 47">
      <tableStyleElement dxfId="1" type="firstRowStripe"/>
      <tableStyleElement dxfId="2" type="secondRowStripe"/>
    </tableStyle>
    <tableStyle count="2" pivot="0" name="Guided Exercise Log-style 48">
      <tableStyleElement dxfId="1" type="firstRowStripe"/>
      <tableStyleElement dxfId="2" type="secondRowStripe"/>
    </tableStyle>
    <tableStyle count="2" pivot="0" name="Guided Exercise Log-style 49">
      <tableStyleElement dxfId="1" type="firstRowStripe"/>
      <tableStyleElement dxfId="2" type="secondRowStripe"/>
    </tableStyle>
    <tableStyle count="2" pivot="0" name="Guided Exercise Log-style 50">
      <tableStyleElement dxfId="1" type="firstRowStripe"/>
      <tableStyleElement dxfId="2" type="secondRowStripe"/>
    </tableStyle>
    <tableStyle count="2" pivot="0" name="Guided Exercise Log-style 51">
      <tableStyleElement dxfId="1" type="firstRowStripe"/>
      <tableStyleElement dxfId="2" type="secondRowStripe"/>
    </tableStyle>
    <tableStyle count="2" pivot="0" name="Guided Exercise Log-style 52">
      <tableStyleElement dxfId="1" type="firstRowStripe"/>
      <tableStyleElement dxfId="2" type="secondRowStripe"/>
    </tableStyle>
    <tableStyle count="2" pivot="0" name="Guided Exercise Log-style 53">
      <tableStyleElement dxfId="1" type="firstRowStripe"/>
      <tableStyleElement dxfId="2" type="secondRowStripe"/>
    </tableStyle>
    <tableStyle count="2" pivot="0" name="Guided Exercise Log-style 54">
      <tableStyleElement dxfId="1" type="firstRowStripe"/>
      <tableStyleElement dxfId="2" type="secondRowStripe"/>
    </tableStyle>
    <tableStyle count="2" pivot="0" name="Guided Exercise Log-style 55">
      <tableStyleElement dxfId="1" type="firstRowStripe"/>
      <tableStyleElement dxfId="2" type="secondRowStripe"/>
    </tableStyle>
    <tableStyle count="2" pivot="0" name="Guided Exercise Log-style 56">
      <tableStyleElement dxfId="1" type="firstRowStripe"/>
      <tableStyleElement dxfId="2" type="secondRowStripe"/>
    </tableStyle>
    <tableStyle count="2" pivot="0" name="Guided Exercise Log-style 57">
      <tableStyleElement dxfId="1" type="firstRowStripe"/>
      <tableStyleElement dxfId="2" type="secondRowStripe"/>
    </tableStyle>
    <tableStyle count="2" pivot="0" name="Guided Exercise Log-style 58">
      <tableStyleElement dxfId="1" type="firstRowStripe"/>
      <tableStyleElement dxfId="2" type="secondRowStripe"/>
    </tableStyle>
    <tableStyle count="2" pivot="0" name="Guided Exercise Log-style 59">
      <tableStyleElement dxfId="1" type="firstRowStripe"/>
      <tableStyleElement dxfId="2" type="secondRowStripe"/>
    </tableStyle>
    <tableStyle count="2" pivot="0" name="Guided Exercise Log-style 60">
      <tableStyleElement dxfId="1" type="firstRowStripe"/>
      <tableStyleElement dxfId="2" type="secondRowStripe"/>
    </tableStyle>
    <tableStyle count="2" pivot="0" name="Guided Exercise Log-style 61">
      <tableStyleElement dxfId="1" type="firstRowStripe"/>
      <tableStyleElement dxfId="2" type="secondRowStripe"/>
    </tableStyle>
    <tableStyle count="2" pivot="0" name="Guided Exercise Log-style 62">
      <tableStyleElement dxfId="1" type="firstRowStripe"/>
      <tableStyleElement dxfId="2" type="secondRowStripe"/>
    </tableStyle>
    <tableStyle count="2" pivot="0" name="Guided Exercise Log-style 63">
      <tableStyleElement dxfId="1" type="firstRowStripe"/>
      <tableStyleElement dxfId="2" type="secondRowStripe"/>
    </tableStyle>
    <tableStyle count="2" pivot="0" name="Guided Exercise Log-style 64">
      <tableStyleElement dxfId="1" type="firstRowStripe"/>
      <tableStyleElement dxfId="2" type="secondRowStripe"/>
    </tableStyle>
    <tableStyle count="2" pivot="0" name="Guided Exercise Log-style 65">
      <tableStyleElement dxfId="1" type="firstRowStripe"/>
      <tableStyleElement dxfId="2" type="secondRowStripe"/>
    </tableStyle>
    <tableStyle count="2" pivot="0" name="Guided Exercise Log-style 66">
      <tableStyleElement dxfId="1" type="firstRowStripe"/>
      <tableStyleElement dxfId="2" type="secondRowStripe"/>
    </tableStyle>
    <tableStyle count="2" pivot="0" name="Guided Exercise Log-style 67">
      <tableStyleElement dxfId="1" type="firstRowStripe"/>
      <tableStyleElement dxfId="2" type="secondRowStripe"/>
    </tableStyle>
    <tableStyle count="2" pivot="0" name="Guided Exercise Log-style 68">
      <tableStyleElement dxfId="1" type="firstRowStripe"/>
      <tableStyleElement dxfId="2" type="secondRowStripe"/>
    </tableStyle>
    <tableStyle count="2" pivot="0" name="Guided Exercise Log-style 69">
      <tableStyleElement dxfId="1" type="firstRowStripe"/>
      <tableStyleElement dxfId="2" type="secondRowStripe"/>
    </tableStyle>
    <tableStyle count="2" pivot="0" name="Guided Exercise Log-style 70">
      <tableStyleElement dxfId="1" type="firstRowStripe"/>
      <tableStyleElement dxfId="2" type="secondRowStripe"/>
    </tableStyle>
    <tableStyle count="2" pivot="0" name="Guided Exercise Log-style 71">
      <tableStyleElement dxfId="1" type="firstRowStripe"/>
      <tableStyleElement dxfId="2" type="secondRowStripe"/>
    </tableStyle>
    <tableStyle count="2" pivot="0" name="Guided Exercise Log-style 72">
      <tableStyleElement dxfId="1" type="firstRowStripe"/>
      <tableStyleElement dxfId="2" type="secondRowStripe"/>
    </tableStyle>
    <tableStyle count="2" pivot="0" name="Guided Exercise Log-style 73">
      <tableStyleElement dxfId="1" type="firstRowStripe"/>
      <tableStyleElement dxfId="2" type="secondRowStripe"/>
    </tableStyle>
    <tableStyle count="2" pivot="0" name="Guided Exercise Log-style 74">
      <tableStyleElement dxfId="1" type="firstRowStripe"/>
      <tableStyleElement dxfId="2" type="secondRowStripe"/>
    </tableStyle>
    <tableStyle count="2" pivot="0" name="Guided Exercise Log-style 75">
      <tableStyleElement dxfId="1" type="firstRowStripe"/>
      <tableStyleElement dxfId="2" type="secondRowStripe"/>
    </tableStyle>
    <tableStyle count="2" pivot="0" name="Guided Exercise Log-style 76">
      <tableStyleElement dxfId="1" type="firstRowStripe"/>
      <tableStyleElement dxfId="2" type="secondRowStripe"/>
    </tableStyle>
    <tableStyle count="2" pivot="0" name="Guided Exercise Log-style 77">
      <tableStyleElement dxfId="1" type="firstRowStripe"/>
      <tableStyleElement dxfId="2" type="secondRowStripe"/>
    </tableStyle>
    <tableStyle count="2" pivot="0" name="Guided Exercise Log-style 78">
      <tableStyleElement dxfId="1" type="firstRowStripe"/>
      <tableStyleElement dxfId="2" type="secondRowStripe"/>
    </tableStyle>
    <tableStyle count="2" pivot="0" name="Guided Exercise Log-style 79">
      <tableStyleElement dxfId="1" type="firstRowStripe"/>
      <tableStyleElement dxfId="2" type="secondRowStripe"/>
    </tableStyle>
    <tableStyle count="2" pivot="0" name="Guided Exercise Log-style 80">
      <tableStyleElement dxfId="1" type="firstRowStripe"/>
      <tableStyleElement dxfId="2" type="secondRowStripe"/>
    </tableStyle>
    <tableStyle count="2" pivot="0" name="Guided Exercise Log-style 81">
      <tableStyleElement dxfId="1" type="firstRowStripe"/>
      <tableStyleElement dxfId="2" type="secondRowStripe"/>
    </tableStyle>
    <tableStyle count="2" pivot="0" name="Guided Exercise Log-style 82">
      <tableStyleElement dxfId="1" type="firstRowStripe"/>
      <tableStyleElement dxfId="2" type="secondRowStripe"/>
    </tableStyle>
    <tableStyle count="2" pivot="0" name="Guided Exercise Log-style 83">
      <tableStyleElement dxfId="1" type="firstRowStripe"/>
      <tableStyleElement dxfId="2" type="secondRowStripe"/>
    </tableStyle>
    <tableStyle count="2" pivot="0" name="Guided Exercise Log-style 84">
      <tableStyleElement dxfId="1" type="firstRowStripe"/>
      <tableStyleElement dxfId="2" type="secondRowStripe"/>
    </tableStyle>
    <tableStyle count="2" pivot="0" name="Guided Exercise Log-style 85">
      <tableStyleElement dxfId="1" type="firstRowStripe"/>
      <tableStyleElement dxfId="2" type="secondRowStripe"/>
    </tableStyle>
    <tableStyle count="2" pivot="0" name="Guided Exercise Log-style 86">
      <tableStyleElement dxfId="1" type="firstRowStripe"/>
      <tableStyleElement dxfId="2" type="secondRowStripe"/>
    </tableStyle>
    <tableStyle count="2" pivot="0" name="Guided Exercise Log-style 87">
      <tableStyleElement dxfId="1" type="firstRowStripe"/>
      <tableStyleElement dxfId="2" type="secondRowStripe"/>
    </tableStyle>
    <tableStyle count="2" pivot="0" name="Guided Exercise Log-style 88">
      <tableStyleElement dxfId="1" type="firstRowStripe"/>
      <tableStyleElement dxfId="2" type="secondRowStripe"/>
    </tableStyle>
    <tableStyle count="2" pivot="0" name="Guided Exercise Log-style 89">
      <tableStyleElement dxfId="1" type="firstRowStripe"/>
      <tableStyleElement dxfId="2" type="secondRowStripe"/>
    </tableStyle>
    <tableStyle count="2" pivot="0" name="Guided Exercise Log-style 90">
      <tableStyleElement dxfId="1" type="firstRowStripe"/>
      <tableStyleElement dxfId="2" type="secondRowStripe"/>
    </tableStyle>
    <tableStyle count="2" pivot="0" name="Guided Exercise Log-style 91">
      <tableStyleElement dxfId="1" type="firstRowStripe"/>
      <tableStyleElement dxfId="2" type="secondRowStripe"/>
    </tableStyle>
    <tableStyle count="2" pivot="0" name="Guided Exercise Log-style 92">
      <tableStyleElement dxfId="1" type="firstRowStripe"/>
      <tableStyleElement dxfId="2" type="secondRowStripe"/>
    </tableStyle>
    <tableStyle count="3" pivot="0" name="2025 Weight Journal-style">
      <tableStyleElement dxfId="3" type="headerRow"/>
      <tableStyleElement dxfId="4" type="firstRowStripe"/>
      <tableStyleElement dxfId="5" type="secondRowStripe"/>
    </tableStyle>
    <tableStyle count="3" pivot="0" name="2025 Weight Journal-style 2">
      <tableStyleElement dxfId="6" type="headerRow"/>
      <tableStyleElement dxfId="7" type="firstRowStripe"/>
      <tableStyleElement dxfId="8" type="secondRowStripe"/>
    </tableStyle>
    <tableStyle count="3" pivot="0" name="2025 Weight Journal-style 3">
      <tableStyleElement dxfId="9" type="headerRow"/>
      <tableStyleElement dxfId="10" type="firstRowStripe"/>
      <tableStyleElement dxfId="11" type="secondRowStripe"/>
    </tableStyle>
    <tableStyle count="3" pivot="0" name="Quick Stats-style">
      <tableStyleElement dxfId="13" type="headerRow"/>
      <tableStyleElement dxfId="14" type="firstRowStripe"/>
      <tableStyleElement dxfId="2" type="secondRowStripe"/>
    </tableStyle>
    <tableStyle count="3" pivot="0" name="Lifting Records-style">
      <tableStyleElement dxfId="15" type="headerRow"/>
      <tableStyleElement dxfId="14" type="firstRowStripe"/>
      <tableStyleElement dxfId="2" type="secondRowStripe"/>
    </tableStyle>
    <tableStyle count="2" pivot="0" name="Lifting Records-style 2">
      <tableStyleElement dxfId="2" type="firstRowStripe"/>
      <tableStyleElement dxfId="14" type="secondRowStripe"/>
    </tableStyle>
    <tableStyle count="2" pivot="0" name="Lifting Records-style 3">
      <tableStyleElement dxfId="14" type="firstRowStripe"/>
      <tableStyleElement dxfId="2" type="secondRowStripe"/>
    </tableStyle>
    <tableStyle count="2" pivot="0" name="Lifting Records-style 4">
      <tableStyleElement dxfId="2" type="firstRowStripe"/>
      <tableStyleElement dxfId="14" type="secondRowStripe"/>
    </tableStyle>
    <tableStyle count="3" pivot="0" name="Measurements-style">
      <tableStyleElement dxfId="13" type="headerRow"/>
      <tableStyleElement dxfId="2" type="firstRowStripe"/>
      <tableStyleElement dxfId="14" type="secondRowStripe"/>
    </tableStyle>
    <tableStyle count="2" pivot="0" name="Measurements-style 2">
      <tableStyleElement dxfId="14" type="firstRowStripe"/>
      <tableStyleElement dxfId="2" type="secondRowStripe"/>
    </tableStyle>
    <tableStyle count="2" pivot="0" name="Measurements-style 3">
      <tableStyleElement dxfId="14" type="firstRowStripe"/>
      <tableStyleElement dxfId="2" type="secondRowStripe"/>
    </tableStyle>
    <tableStyle count="2" pivot="0" name="Habits-style">
      <tableStyleElement dxfId="1" type="firstRowStripe"/>
      <tableStyleElement dxfId="2" type="secondRowStripe"/>
    </tableStyle>
    <tableStyle count="2" pivot="0" name="Habits-style 2">
      <tableStyleElement dxfId="1" type="firstRowStripe"/>
      <tableStyleElement dxfId="2" type="secondRowStripe"/>
    </tableStyle>
    <tableStyle count="2" pivot="0" name="Habits-style 3">
      <tableStyleElement dxfId="1" type="firstRowStripe"/>
      <tableStyleElement dxfId="2" type="secondRowStripe"/>
    </tableStyle>
    <tableStyle count="2" pivot="0" name="Habits-style 4">
      <tableStyleElement dxfId="1" type="firstRowStripe"/>
      <tableStyleElement dxfId="2" type="secondRowStripe"/>
    </tableStyle>
    <tableStyle count="2" pivot="0" name="Habits-style 5">
      <tableStyleElement dxfId="1" type="firstRowStripe"/>
      <tableStyleElement dxfId="2" type="secondRowStripe"/>
    </tableStyle>
    <tableStyle count="2" pivot="0" name="Habits-style 6">
      <tableStyleElement dxfId="1" type="firstRowStripe"/>
      <tableStyleElement dxfId="2" type="secondRowStripe"/>
    </tableStyle>
    <tableStyle count="2" pivot="0" name="Habits-style 7">
      <tableStyleElement dxfId="1" type="firstRowStripe"/>
      <tableStyleElement dxfId="2" type="secondRowStripe"/>
    </tableStyle>
    <tableStyle count="2" pivot="0" name="Habits-style 8">
      <tableStyleElement dxfId="1" type="firstRowStripe"/>
      <tableStyleElement dxfId="2" type="secondRowStripe"/>
    </tableStyle>
    <tableStyle count="2" pivot="0" name="Habits-style 9">
      <tableStyleElement dxfId="1" type="firstRowStripe"/>
      <tableStyleElement dxfId="2" type="secondRowStripe"/>
    </tableStyle>
    <tableStyle count="2" pivot="0" name="Habits-style 10">
      <tableStyleElement dxfId="1" type="firstRowStripe"/>
      <tableStyleElement dxfId="2" type="secondRowStripe"/>
    </tableStyle>
    <tableStyle count="2" pivot="0" name="Habits-style 11">
      <tableStyleElement dxfId="1" type="firstRowStripe"/>
      <tableStyleElement dxfId="2" type="secondRowStripe"/>
    </tableStyle>
    <tableStyle count="2" pivot="0" name="Habits-style 12">
      <tableStyleElement dxfId="1" type="firstRowStripe"/>
      <tableStyleElement dxfId="2" type="secondRowStripe"/>
    </tableStyle>
    <tableStyle count="2" pivot="0" name="Habits-style 13">
      <tableStyleElement dxfId="1" type="firstRowStripe"/>
      <tableStyleElement dxfId="2" type="secondRowStripe"/>
    </tableStyle>
    <tableStyle count="2" pivot="0" name="Habits-style 14">
      <tableStyleElement dxfId="1" type="firstRowStripe"/>
      <tableStyleElement dxfId="2" type="secondRowStripe"/>
    </tableStyle>
    <tableStyle count="2" pivot="0" name="Habits-style 15">
      <tableStyleElement dxfId="1" type="firstRowStripe"/>
      <tableStyleElement dxfId="2" type="secondRowStripe"/>
    </tableStyle>
    <tableStyle count="2" pivot="0" name="Habits-style 16">
      <tableStyleElement dxfId="1" type="firstRowStripe"/>
      <tableStyleElement dxfId="2" type="secondRowStripe"/>
    </tableStyle>
    <tableStyle count="2" pivot="0" name="Habits-style 17">
      <tableStyleElement dxfId="1" type="firstRowStripe"/>
      <tableStyleElement dxfId="2" type="secondRowStripe"/>
    </tableStyle>
    <tableStyle count="2" pivot="0" name="Habits-style 18">
      <tableStyleElement dxfId="1" type="firstRowStripe"/>
      <tableStyleElement dxfId="2" type="secondRowStripe"/>
    </tableStyle>
    <tableStyle count="2" pivot="0" name="Habits-style 19">
      <tableStyleElement dxfId="1" type="firstRowStripe"/>
      <tableStyleElement dxfId="2" type="secondRowStripe"/>
    </tableStyle>
    <tableStyle count="2" pivot="0" name="Habits-style 20">
      <tableStyleElement dxfId="1" type="firstRowStripe"/>
      <tableStyleElement dxfId="2" type="secondRowStripe"/>
    </tableStyle>
    <tableStyle count="2" pivot="0" name="Habits-style 21">
      <tableStyleElement dxfId="1" type="firstRowStripe"/>
      <tableStyleElement dxfId="2" type="secondRowStripe"/>
    </tableStyle>
    <tableStyle count="2" pivot="0" name="Habits-style 22">
      <tableStyleElement dxfId="1" type="firstRowStripe"/>
      <tableStyleElement dxfId="2" type="secondRowStripe"/>
    </tableStyle>
    <tableStyle count="2" pivot="0" name="Habits-style 23">
      <tableStyleElement dxfId="1" type="firstRowStripe"/>
      <tableStyleElement dxfId="2" type="secondRowStripe"/>
    </tableStyle>
    <tableStyle count="2" pivot="0" name="Habits-style 24">
      <tableStyleElement dxfId="1" type="firstRowStripe"/>
      <tableStyleElement dxfId="2" type="secondRowStripe"/>
    </tableStyle>
    <tableStyle count="2" pivot="0" name="Habits-style 25">
      <tableStyleElement dxfId="1" type="firstRowStripe"/>
      <tableStyleElement dxfId="2" type="secondRowStripe"/>
    </tableStyle>
    <tableStyle count="2" pivot="0" name="Habits-style 26">
      <tableStyleElement dxfId="1" type="firstRowStripe"/>
      <tableStyleElement dxfId="2" type="secondRowStripe"/>
    </tableStyle>
    <tableStyle count="2" pivot="0" name="Habits-style 27">
      <tableStyleElement dxfId="1" type="firstRowStripe"/>
      <tableStyleElement dxfId="2" type="secondRowStripe"/>
    </tableStyle>
    <tableStyle count="2" pivot="0" name="Habits-style 28">
      <tableStyleElement dxfId="1" type="firstRowStripe"/>
      <tableStyleElement dxfId="2" type="secondRowStripe"/>
    </tableStyle>
    <tableStyle count="2" pivot="0" name="Habits-style 29">
      <tableStyleElement dxfId="1" type="firstRowStripe"/>
      <tableStyleElement dxfId="2" type="secondRowStripe"/>
    </tableStyle>
    <tableStyle count="2" pivot="0" name="Habits-style 30">
      <tableStyleElement dxfId="1" type="firstRowStripe"/>
      <tableStyleElement dxfId="2" type="secondRowStripe"/>
    </tableStyle>
    <tableStyle count="2" pivot="0" name="Habits-style 31">
      <tableStyleElement dxfId="1" type="firstRowStripe"/>
      <tableStyleElement dxfId="2" type="secondRowStripe"/>
    </tableStyle>
    <tableStyle count="2" pivot="0" name="Habits-style 32">
      <tableStyleElement dxfId="1" type="firstRowStripe"/>
      <tableStyleElement dxfId="2" type="secondRowStripe"/>
    </tableStyle>
    <tableStyle count="2" pivot="0" name="Habits-style 33">
      <tableStyleElement dxfId="1" type="firstRowStripe"/>
      <tableStyleElement dxfId="2" type="secondRowStripe"/>
    </tableStyle>
    <tableStyle count="2" pivot="0" name="Habits-style 34">
      <tableStyleElement dxfId="1" type="firstRowStripe"/>
      <tableStyleElement dxfId="2" type="secondRowStripe"/>
    </tableStyle>
    <tableStyle count="2" pivot="0" name="Habits-style 35">
      <tableStyleElement dxfId="1" type="firstRowStripe"/>
      <tableStyleElement dxfId="2" type="secondRowStripe"/>
    </tableStyle>
    <tableStyle count="2" pivot="0" name="Habits-style 36">
      <tableStyleElement dxfId="1" type="firstRowStripe"/>
      <tableStyleElement dxfId="2" type="secondRowStripe"/>
    </tableStyle>
    <tableStyle count="2" pivot="0" name="Habits-style 37">
      <tableStyleElement dxfId="1" type="firstRowStripe"/>
      <tableStyleElement dxfId="2" type="secondRowStripe"/>
    </tableStyle>
    <tableStyle count="2" pivot="0" name="Habits-style 38">
      <tableStyleElement dxfId="1" type="firstRowStripe"/>
      <tableStyleElement dxfId="2" type="secondRowStripe"/>
    </tableStyle>
    <tableStyle count="2" pivot="0" name="Habits-style 39">
      <tableStyleElement dxfId="1" type="firstRowStripe"/>
      <tableStyleElement dxfId="2" type="secondRowStripe"/>
    </tableStyle>
    <tableStyle count="2" pivot="0" name="Habits-style 40">
      <tableStyleElement dxfId="1" type="firstRowStripe"/>
      <tableStyleElement dxfId="2" type="secondRowStripe"/>
    </tableStyle>
    <tableStyle count="2" pivot="0" name="Habits-style 41">
      <tableStyleElement dxfId="1" type="firstRowStripe"/>
      <tableStyleElement dxfId="2" type="secondRowStripe"/>
    </tableStyle>
    <tableStyle count="2" pivot="0" name="Habits-style 42">
      <tableStyleElement dxfId="1" type="firstRowStripe"/>
      <tableStyleElement dxfId="2" type="secondRowStripe"/>
    </tableStyle>
    <tableStyle count="2" pivot="0" name="Habits-style 43">
      <tableStyleElement dxfId="1" type="firstRowStripe"/>
      <tableStyleElement dxfId="2" type="secondRowStripe"/>
    </tableStyle>
    <tableStyle count="2" pivot="0" name="Habits-style 44">
      <tableStyleElement dxfId="1" type="firstRowStripe"/>
      <tableStyleElement dxfId="2" type="secondRowStripe"/>
    </tableStyle>
    <tableStyle count="2" pivot="0" name="Habits-style 45">
      <tableStyleElement dxfId="1" type="firstRowStripe"/>
      <tableStyleElement dxfId="2" type="secondRowStripe"/>
    </tableStyle>
    <tableStyle count="2" pivot="0" name="Habits-style 46">
      <tableStyleElement dxfId="1" type="firstRowStripe"/>
      <tableStyleElement dxfId="2" type="secondRowStripe"/>
    </tableStyle>
    <tableStyle count="2" pivot="0" name="Habits-style 47">
      <tableStyleElement dxfId="1" type="firstRowStripe"/>
      <tableStyleElement dxfId="2" type="secondRowStripe"/>
    </tableStyle>
    <tableStyle count="2" pivot="0" name="Habits-style 48">
      <tableStyleElement dxfId="1" type="firstRowStripe"/>
      <tableStyleElement dxfId="2" type="secondRowStripe"/>
    </tableStyle>
    <tableStyle count="2" pivot="0" name="Habits-style 49">
      <tableStyleElement dxfId="1" type="firstRowStripe"/>
      <tableStyleElement dxfId="2" type="secondRowStripe"/>
    </tableStyle>
    <tableStyle count="2" pivot="0" name="Habits-style 50">
      <tableStyleElement dxfId="1" type="firstRowStripe"/>
      <tableStyleElement dxfId="2" type="secondRowStripe"/>
    </tableStyle>
    <tableStyle count="2" pivot="0" name="Habits-style 51">
      <tableStyleElement dxfId="1" type="firstRowStripe"/>
      <tableStyleElement dxfId="2" type="secondRowStripe"/>
    </tableStyle>
    <tableStyle count="2" pivot="0" name="Habits-style 5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Weight Trends Over Time</a:t>
            </a:r>
          </a:p>
        </c:rich>
      </c:tx>
      <c:overlay val="0"/>
    </c:title>
    <c:plotArea>
      <c:layout/>
      <c:lineChart>
        <c:ser>
          <c:idx val="0"/>
          <c:order val="0"/>
          <c:tx>
            <c:v>Weight Trend</c:v>
          </c:tx>
          <c:spPr>
            <a:ln cmpd="sng">
              <a:solidFill>
                <a:srgbClr val="4472C4"/>
              </a:solidFill>
            </a:ln>
          </c:spPr>
          <c:marker>
            <c:symbol val="none"/>
          </c:marker>
          <c:cat>
            <c:strRef>
              <c:f>'2025 Weight Journal'!$C$4:$C$374</c:f>
            </c:strRef>
          </c:cat>
          <c:val>
            <c:numRef>
              <c:f>'2025 Weight Journal'!$H$3:$H$374</c:f>
              <c:numCache/>
            </c:numRef>
          </c:val>
          <c:smooth val="0"/>
        </c:ser>
        <c:ser>
          <c:idx val="1"/>
          <c:order val="1"/>
          <c:tx>
            <c:v>Weigh Ins</c:v>
          </c:tx>
          <c:spPr>
            <a:ln cmpd="sng">
              <a:solidFill>
                <a:srgbClr val="ED7D31"/>
              </a:solidFill>
              <a:prstDash val="sysDot"/>
            </a:ln>
          </c:spPr>
          <c:marker>
            <c:symbol val="none"/>
          </c:marker>
          <c:cat>
            <c:strRef>
              <c:f>'2025 Weight Journal'!$C$4:$C$374</c:f>
            </c:strRef>
          </c:cat>
          <c:val>
            <c:numRef>
              <c:f>'2025 Weight Journal'!$E$3:$E$374</c:f>
              <c:numCache/>
            </c:numRef>
          </c:val>
          <c:smooth val="0"/>
        </c:ser>
        <c:axId val="2094641944"/>
        <c:axId val="1247878690"/>
      </c:lineChart>
      <c:catAx>
        <c:axId val="20946419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7878690"/>
      </c:catAx>
      <c:valAx>
        <c:axId val="124787869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Weight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4641944"/>
      </c:valAx>
    </c:plotArea>
    <c:legend>
      <c:legendPos val="r"/>
      <c:overlay val="0"/>
      <c:txPr>
        <a:bodyPr/>
        <a:lstStyle/>
        <a:p>
          <a:pPr lvl="0">
            <a:defRPr b="0">
              <a:solidFill>
                <a:srgbClr val="1A1A1A"/>
              </a:solidFill>
              <a:latin typeface="+mn-lt"/>
            </a:defRPr>
          </a:pPr>
        </a:p>
      </c:txPr>
    </c:legend>
    <c:plotVisOnly val="0"/>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Circumference Measures Over Time</a:t>
            </a:r>
          </a:p>
        </c:rich>
      </c:tx>
      <c:overlay val="0"/>
    </c:title>
    <c:plotArea>
      <c:layout/>
      <c:scatterChart>
        <c:scatterStyle val="lineMarker"/>
        <c:varyColors val="0"/>
        <c:dLbls>
          <c:showLegendKey val="0"/>
          <c:showVal val="0"/>
          <c:showCatName val="0"/>
          <c:showSerName val="0"/>
          <c:showPercent val="0"/>
          <c:showBubbleSize val="0"/>
        </c:dLbls>
        <c:axId val="1277608941"/>
        <c:axId val="312830050"/>
      </c:scatterChart>
      <c:valAx>
        <c:axId val="127760894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2830050"/>
      </c:valAx>
      <c:valAx>
        <c:axId val="312830050"/>
        <c:scaling>
          <c:orientation val="minMax"/>
        </c:scaling>
        <c:delete val="0"/>
        <c:axPos val="l"/>
        <c:tickLblPos val="nextTo"/>
        <c:spPr>
          <a:ln>
            <a:noFill/>
          </a:ln>
        </c:spPr>
        <c:crossAx val="127760894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Skinfold Measures Over Time</a:t>
            </a:r>
          </a:p>
        </c:rich>
      </c:tx>
      <c:overlay val="0"/>
    </c:title>
    <c:plotArea>
      <c:layout/>
      <c:scatterChart>
        <c:scatterStyle val="lineMarker"/>
        <c:varyColors val="0"/>
        <c:dLbls>
          <c:showLegendKey val="0"/>
          <c:showVal val="0"/>
          <c:showCatName val="0"/>
          <c:showSerName val="0"/>
          <c:showPercent val="0"/>
          <c:showBubbleSize val="0"/>
        </c:dLbls>
        <c:axId val="1536814147"/>
        <c:axId val="377610833"/>
      </c:scatterChart>
      <c:valAx>
        <c:axId val="15368141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7610833"/>
      </c:valAx>
      <c:valAx>
        <c:axId val="377610833"/>
        <c:scaling>
          <c:orientation val="minMax"/>
        </c:scaling>
        <c:delete val="0"/>
        <c:axPos val="l"/>
        <c:tickLblPos val="nextTo"/>
        <c:spPr>
          <a:ln>
            <a:noFill/>
          </a:ln>
        </c:spPr>
        <c:crossAx val="153681414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Weekly Habit Scores Over Time</a:t>
            </a:r>
          </a:p>
        </c:rich>
      </c:tx>
      <c:overlay val="0"/>
    </c:title>
    <c:plotArea>
      <c:layout/>
      <c:lineChart>
        <c:ser>
          <c:idx val="0"/>
          <c:order val="0"/>
          <c:tx>
            <c:strRef>
              <c:f>Habits!$A$24</c:f>
            </c:strRef>
          </c:tx>
          <c:spPr>
            <a:ln cmpd="sng">
              <a:solidFill>
                <a:srgbClr val="4472C4"/>
              </a:solidFill>
            </a:ln>
          </c:spPr>
          <c:marker>
            <c:symbol val="none"/>
          </c:marker>
          <c:cat>
            <c:strRef>
              <c:f>Habits!$B$23:$BA$23</c:f>
            </c:strRef>
          </c:cat>
          <c:val>
            <c:numRef>
              <c:f>Habits!$B$24:$BA$24</c:f>
              <c:numCache/>
            </c:numRef>
          </c:val>
          <c:smooth val="0"/>
        </c:ser>
        <c:ser>
          <c:idx val="1"/>
          <c:order val="1"/>
          <c:tx>
            <c:strRef>
              <c:f>Habits!$A$25</c:f>
            </c:strRef>
          </c:tx>
          <c:spPr>
            <a:ln cmpd="sng">
              <a:solidFill>
                <a:srgbClr val="ED7D31"/>
              </a:solidFill>
            </a:ln>
          </c:spPr>
          <c:marker>
            <c:symbol val="none"/>
          </c:marker>
          <c:cat>
            <c:strRef>
              <c:f>Habits!$B$23:$BA$23</c:f>
            </c:strRef>
          </c:cat>
          <c:val>
            <c:numRef>
              <c:f>Habits!$B$25:$BA$25</c:f>
              <c:numCache/>
            </c:numRef>
          </c:val>
          <c:smooth val="0"/>
        </c:ser>
        <c:axId val="387523433"/>
        <c:axId val="1596194804"/>
      </c:lineChart>
      <c:catAx>
        <c:axId val="3875234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96194804"/>
      </c:catAx>
      <c:valAx>
        <c:axId val="1596194804"/>
        <c:scaling>
          <c:orientation val="minMax"/>
          <c:max val="2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387523433"/>
      </c:valAx>
    </c:plotArea>
    <c:legend>
      <c:legendPos val="r"/>
      <c:overlay val="0"/>
      <c:txPr>
        <a:bodyPr/>
        <a:lstStyle/>
        <a:p>
          <a:pPr lvl="0">
            <a:defRPr b="0">
              <a:solidFill>
                <a:srgbClr val="1A1A1A"/>
              </a:solidFill>
              <a:latin typeface="+mn-lt"/>
            </a:defRPr>
          </a:pPr>
        </a:p>
      </c:txPr>
    </c:legend>
    <c:plotVisOnly val="0"/>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238125</xdr:colOff>
      <xdr:row>14</xdr:row>
      <xdr:rowOff>190500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23</xdr:col>
      <xdr:colOff>333375</xdr:colOff>
      <xdr:row>16</xdr:row>
      <xdr:rowOff>161925</xdr:rowOff>
    </xdr:from>
    <xdr:ext cx="4953000" cy="30575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23</xdr:col>
      <xdr:colOff>333375</xdr:colOff>
      <xdr:row>43</xdr:row>
      <xdr:rowOff>47625</xdr:rowOff>
    </xdr:from>
    <xdr:ext cx="4953000" cy="305752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36</xdr:row>
      <xdr:rowOff>95250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C4:I12" displayName="Table_1" name="Table_1" id="1">
  <tableColumns count="7">
    <tableColumn name="Column1" id="1"/>
    <tableColumn name="Column2" id="2"/>
    <tableColumn name="Column3" id="3"/>
    <tableColumn name="Column4" id="4"/>
    <tableColumn name="Column5" id="5"/>
    <tableColumn name="Column6" id="6"/>
    <tableColumn name="Column7" id="7"/>
  </tableColumns>
  <tableStyleInfo name="Guided Exercise Log-style" showColumnStripes="0" showFirstColumn="1" showLastColumn="1" showRowStripes="1"/>
</table>
</file>

<file path=xl/tables/table2.xml><?xml version="1.0" encoding="utf-8"?>
<table xmlns="http://schemas.openxmlformats.org/spreadsheetml/2006/main" headerRowCount="0" ref="K4:Q11"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Guided Exercise Log-style 2" showColumnStripes="0" showFirstColumn="1" showLastColumn="1" showRowStripes="1"/>
</table>
</file>

<file path=xl/tables/table3.xml><?xml version="1.0" encoding="utf-8"?>
<table xmlns="http://schemas.openxmlformats.org/spreadsheetml/2006/main" headerRowCount="0" ref="S4:Y11" displayName="Table_3" name="Table_3" id="3">
  <tableColumns count="7">
    <tableColumn name="Column1" id="1"/>
    <tableColumn name="Column2" id="2"/>
    <tableColumn name="Column3" id="3"/>
    <tableColumn name="Column4" id="4"/>
    <tableColumn name="Column5" id="5"/>
    <tableColumn name="Column6" id="6"/>
    <tableColumn name="Column7" id="7"/>
  </tableColumns>
  <tableStyleInfo name="Guided Exercise Log-style 3" showColumnStripes="0" showFirstColumn="1" showLastColumn="1" showRowStripes="1"/>
</table>
</file>

<file path=xl/tables/table4.xml><?xml version="1.0" encoding="utf-8"?>
<table xmlns="http://schemas.openxmlformats.org/spreadsheetml/2006/main" headerRowCount="0" ref="AA4:AG11"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Guided Exercise Log-style 4" showColumnStripes="0" showFirstColumn="1" showLastColumn="1" showRowStripes="1"/>
</table>
</file>

<file path=xl/tables/table5.xml><?xml version="1.0" encoding="utf-8"?>
<table xmlns="http://schemas.openxmlformats.org/spreadsheetml/2006/main" headerRowCount="0" ref="AV4:BB11"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Guided Exercise Log-style 5" showColumnStripes="0" showFirstColumn="1" showLastColumn="1" showRowStripes="1"/>
</table>
</file>

<file path=xl/tables/table6.xml><?xml version="1.0" encoding="utf-8"?>
<table xmlns="http://schemas.openxmlformats.org/spreadsheetml/2006/main" headerRowCount="0" ref="BD4:BJ11"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Guided Exercise Log-style 6" showColumnStripes="0" showFirstColumn="1" showLastColumn="1" showRowStripes="1"/>
</table>
</file>

<file path=xl/tables/table7.xml><?xml version="1.0" encoding="utf-8"?>
<table xmlns="http://schemas.openxmlformats.org/spreadsheetml/2006/main" headerRowCount="0" ref="BL4:BR11"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Guided Exercise Log-style 7" showColumnStripes="0" showFirstColumn="1" showLastColumn="1" showRowStripes="1"/>
</table>
</file>

<file path=xl/tables/table8.xml><?xml version="1.0" encoding="utf-8"?>
<table xmlns="http://schemas.openxmlformats.org/spreadsheetml/2006/main" headerRowCount="0" ref="CG4:CM11"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Guided Exercise Log-style 8" showColumnStripes="0" showFirstColumn="1" showLastColumn="1" showRowStripes="1"/>
</table>
</file>

<file path=xl/tables/table9.xml><?xml version="1.0" encoding="utf-8"?>
<table xmlns="http://schemas.openxmlformats.org/spreadsheetml/2006/main" headerRowCount="0" ref="CO4:CU11"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Guided Exercise Log-style 9" showColumnStripes="0" showFirstColumn="1" showLastColumn="1" showRowStripes="1"/>
</table>
</file>

<file path=xl/tables/table10.xml><?xml version="1.0" encoding="utf-8"?>
<table xmlns="http://schemas.openxmlformats.org/spreadsheetml/2006/main" headerRowCount="0" ref="CW4:DC1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Guided Exercise Log-style 10" showColumnStripes="0" showFirstColumn="1" showLastColumn="1" showRowStripes="1"/>
</table>
</file>

<file path=xl/tables/table11.xml><?xml version="1.0" encoding="utf-8"?>
<table xmlns="http://schemas.openxmlformats.org/spreadsheetml/2006/main" headerRowCount="0" ref="DR4:DX1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Guided Exercise Log-style 11" showColumnStripes="0" showFirstColumn="1" showLastColumn="1" showRowStripes="1"/>
</table>
</file>

<file path=xl/tables/table12.xml><?xml version="1.0" encoding="utf-8"?>
<table xmlns="http://schemas.openxmlformats.org/spreadsheetml/2006/main" headerRowCount="0" ref="DZ4:EF1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Guided Exercise Log-style 12" showColumnStripes="0" showFirstColumn="1" showLastColumn="1" showRowStripes="1"/>
</table>
</file>

<file path=xl/tables/table13.xml><?xml version="1.0" encoding="utf-8"?>
<table xmlns="http://schemas.openxmlformats.org/spreadsheetml/2006/main" headerRowCount="0" ref="EH4:EN1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Guided Exercise Log-style 13" showColumnStripes="0" showFirstColumn="1" showLastColumn="1" showRowStripes="1"/>
</table>
</file>

<file path=xl/tables/table14.xml><?xml version="1.0" encoding="utf-8"?>
<table xmlns="http://schemas.openxmlformats.org/spreadsheetml/2006/main" headerRowCount="0" ref="FB4:FC11" displayName="Table_14" name="Table_14" id="14">
  <tableColumns count="2">
    <tableColumn name="Column1" id="1"/>
    <tableColumn name="Column2" id="2"/>
  </tableColumns>
  <tableStyleInfo name="Guided Exercise Log-style 14" showColumnStripes="0" showFirstColumn="1" showLastColumn="1" showRowStripes="1"/>
</table>
</file>

<file path=xl/tables/table15.xml><?xml version="1.0" encoding="utf-8"?>
<table xmlns="http://schemas.openxmlformats.org/spreadsheetml/2006/main" headerRowCount="0" ref="C13:I20"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Guided Exercise Log-style 15" showColumnStripes="0" showFirstColumn="1" showLastColumn="1" showRowStripes="1"/>
</table>
</file>

<file path=xl/tables/table16.xml><?xml version="1.0" encoding="utf-8"?>
<table xmlns="http://schemas.openxmlformats.org/spreadsheetml/2006/main" headerRowCount="0" ref="K13:Q20"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Guided Exercise Log-style 16" showColumnStripes="0" showFirstColumn="1" showLastColumn="1" showRowStripes="1"/>
</table>
</file>

<file path=xl/tables/table17.xml><?xml version="1.0" encoding="utf-8"?>
<table xmlns="http://schemas.openxmlformats.org/spreadsheetml/2006/main" headerRowCount="0" ref="S13:Y20"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Guided Exercise Log-style 17" showColumnStripes="0" showFirstColumn="1" showLastColumn="1" showRowStripes="1"/>
</table>
</file>

<file path=xl/tables/table18.xml><?xml version="1.0" encoding="utf-8"?>
<table xmlns="http://schemas.openxmlformats.org/spreadsheetml/2006/main" headerRowCount="0" ref="AA13:AG20"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Guided Exercise Log-style 18" showColumnStripes="0" showFirstColumn="1" showLastColumn="1" showRowStripes="1"/>
</table>
</file>

<file path=xl/tables/table19.xml><?xml version="1.0" encoding="utf-8"?>
<table xmlns="http://schemas.openxmlformats.org/spreadsheetml/2006/main" headerRowCount="0" ref="AV13:BB2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Guided Exercise Log-style 19" showColumnStripes="0" showFirstColumn="1" showLastColumn="1" showRowStripes="1"/>
</table>
</file>

<file path=xl/tables/table20.xml><?xml version="1.0" encoding="utf-8"?>
<table xmlns="http://schemas.openxmlformats.org/spreadsheetml/2006/main" headerRowCount="0" ref="BD13:BJ20"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Guided Exercise Log-style 20" showColumnStripes="0" showFirstColumn="1" showLastColumn="1" showRowStripes="1"/>
</table>
</file>

<file path=xl/tables/table21.xml><?xml version="1.0" encoding="utf-8"?>
<table xmlns="http://schemas.openxmlformats.org/spreadsheetml/2006/main" headerRowCount="0" ref="BL13:BR20"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Guided Exercise Log-style 21" showColumnStripes="0" showFirstColumn="1" showLastColumn="1" showRowStripes="1"/>
</table>
</file>

<file path=xl/tables/table22.xml><?xml version="1.0" encoding="utf-8"?>
<table xmlns="http://schemas.openxmlformats.org/spreadsheetml/2006/main" headerRowCount="0" ref="CG13:CM20"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Guided Exercise Log-style 22" showColumnStripes="0" showFirstColumn="1" showLastColumn="1" showRowStripes="1"/>
</table>
</file>

<file path=xl/tables/table23.xml><?xml version="1.0" encoding="utf-8"?>
<table xmlns="http://schemas.openxmlformats.org/spreadsheetml/2006/main" headerRowCount="0" ref="CO13:CU20"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Guided Exercise Log-style 23" showColumnStripes="0" showFirstColumn="1" showLastColumn="1" showRowStripes="1"/>
</table>
</file>

<file path=xl/tables/table24.xml><?xml version="1.0" encoding="utf-8"?>
<table xmlns="http://schemas.openxmlformats.org/spreadsheetml/2006/main" headerRowCount="0" ref="CW13:DC20"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Guided Exercise Log-style 24" showColumnStripes="0" showFirstColumn="1" showLastColumn="1" showRowStripes="1"/>
</table>
</file>

<file path=xl/tables/table25.xml><?xml version="1.0" encoding="utf-8"?>
<table xmlns="http://schemas.openxmlformats.org/spreadsheetml/2006/main" headerRowCount="0" ref="DR13:DX20"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Guided Exercise Log-style 25" showColumnStripes="0" showFirstColumn="1" showLastColumn="1" showRowStripes="1"/>
</table>
</file>

<file path=xl/tables/table26.xml><?xml version="1.0" encoding="utf-8"?>
<table xmlns="http://schemas.openxmlformats.org/spreadsheetml/2006/main" headerRowCount="0" ref="DZ13:EF20"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Guided Exercise Log-style 26" showColumnStripes="0" showFirstColumn="1" showLastColumn="1" showRowStripes="1"/>
</table>
</file>

<file path=xl/tables/table27.xml><?xml version="1.0" encoding="utf-8"?>
<table xmlns="http://schemas.openxmlformats.org/spreadsheetml/2006/main" headerRowCount="0" ref="EH13:EN20"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Guided Exercise Log-style 27" showColumnStripes="0" showFirstColumn="1" showLastColumn="1" showRowStripes="1"/>
</table>
</file>

<file path=xl/tables/table28.xml><?xml version="1.0" encoding="utf-8"?>
<table xmlns="http://schemas.openxmlformats.org/spreadsheetml/2006/main" headerRowCount="0" ref="FB13:FC20" displayName="Table_28" name="Table_28" id="28">
  <tableColumns count="2">
    <tableColumn name="Column1" id="1"/>
    <tableColumn name="Column2" id="2"/>
  </tableColumns>
  <tableStyleInfo name="Guided Exercise Log-style 28" showColumnStripes="0" showFirstColumn="1" showLastColumn="1" showRowStripes="1"/>
</table>
</file>

<file path=xl/tables/table29.xml><?xml version="1.0" encoding="utf-8"?>
<table xmlns="http://schemas.openxmlformats.org/spreadsheetml/2006/main" headerRowCount="0" ref="C21:I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Guided Exercise Log-style 29" showColumnStripes="0" showFirstColumn="1" showLastColumn="1" showRowStripes="1"/>
</table>
</file>

<file path=xl/tables/table30.xml><?xml version="1.0" encoding="utf-8"?>
<table xmlns="http://schemas.openxmlformats.org/spreadsheetml/2006/main" headerRowCount="0" ref="C22:I27"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Guided Exercise Log-style 30" showColumnStripes="0" showFirstColumn="1" showLastColumn="1" showRowStripes="1"/>
</table>
</file>

<file path=xl/tables/table31.xml><?xml version="1.0" encoding="utf-8"?>
<table xmlns="http://schemas.openxmlformats.org/spreadsheetml/2006/main" headerRowCount="0" ref="K22:Q27"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Guided Exercise Log-style 31" showColumnStripes="0" showFirstColumn="1" showLastColumn="1" showRowStripes="1"/>
</table>
</file>

<file path=xl/tables/table32.xml><?xml version="1.0" encoding="utf-8"?>
<table xmlns="http://schemas.openxmlformats.org/spreadsheetml/2006/main" headerRowCount="0" ref="S22:Y27"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Guided Exercise Log-style 32" showColumnStripes="0" showFirstColumn="1" showLastColumn="1" showRowStripes="1"/>
</table>
</file>

<file path=xl/tables/table33.xml><?xml version="1.0" encoding="utf-8"?>
<table xmlns="http://schemas.openxmlformats.org/spreadsheetml/2006/main" headerRowCount="0" ref="AA22:AG27"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Guided Exercise Log-style 33" showColumnStripes="0" showFirstColumn="1" showLastColumn="1" showRowStripes="1"/>
</table>
</file>

<file path=xl/tables/table34.xml><?xml version="1.0" encoding="utf-8"?>
<table xmlns="http://schemas.openxmlformats.org/spreadsheetml/2006/main" headerRowCount="0" ref="AV22:BB27"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Guided Exercise Log-style 34" showColumnStripes="0" showFirstColumn="1" showLastColumn="1" showRowStripes="1"/>
</table>
</file>

<file path=xl/tables/table35.xml><?xml version="1.0" encoding="utf-8"?>
<table xmlns="http://schemas.openxmlformats.org/spreadsheetml/2006/main" headerRowCount="0" ref="BD22:BJ27"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Guided Exercise Log-style 35" showColumnStripes="0" showFirstColumn="1" showLastColumn="1" showRowStripes="1"/>
</table>
</file>

<file path=xl/tables/table36.xml><?xml version="1.0" encoding="utf-8"?>
<table xmlns="http://schemas.openxmlformats.org/spreadsheetml/2006/main" headerRowCount="0" ref="BL22:BR27"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Guided Exercise Log-style 36" showColumnStripes="0" showFirstColumn="1" showLastColumn="1" showRowStripes="1"/>
</table>
</file>

<file path=xl/tables/table37.xml><?xml version="1.0" encoding="utf-8"?>
<table xmlns="http://schemas.openxmlformats.org/spreadsheetml/2006/main" headerRowCount="0" ref="CG22:CM27"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Guided Exercise Log-style 37" showColumnStripes="0" showFirstColumn="1" showLastColumn="1" showRowStripes="1"/>
</table>
</file>

<file path=xl/tables/table38.xml><?xml version="1.0" encoding="utf-8"?>
<table xmlns="http://schemas.openxmlformats.org/spreadsheetml/2006/main" headerRowCount="0" ref="CO22:CU27"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Guided Exercise Log-style 38" showColumnStripes="0" showFirstColumn="1" showLastColumn="1" showRowStripes="1"/>
</table>
</file>

<file path=xl/tables/table39.xml><?xml version="1.0" encoding="utf-8"?>
<table xmlns="http://schemas.openxmlformats.org/spreadsheetml/2006/main" headerRowCount="0" ref="CW22:DC27"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Guided Exercise Log-style 39" showColumnStripes="0" showFirstColumn="1" showLastColumn="1" showRowStripes="1"/>
</table>
</file>

<file path=xl/tables/table40.xml><?xml version="1.0" encoding="utf-8"?>
<table xmlns="http://schemas.openxmlformats.org/spreadsheetml/2006/main" headerRowCount="0" ref="DR22:DX27"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Guided Exercise Log-style 40" showColumnStripes="0" showFirstColumn="1" showLastColumn="1" showRowStripes="1"/>
</table>
</file>

<file path=xl/tables/table41.xml><?xml version="1.0" encoding="utf-8"?>
<table xmlns="http://schemas.openxmlformats.org/spreadsheetml/2006/main" headerRowCount="0" ref="DZ22:EF27"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Guided Exercise Log-style 41" showColumnStripes="0" showFirstColumn="1" showLastColumn="1" showRowStripes="1"/>
</table>
</file>

<file path=xl/tables/table42.xml><?xml version="1.0" encoding="utf-8"?>
<table xmlns="http://schemas.openxmlformats.org/spreadsheetml/2006/main" headerRowCount="0" ref="EH22:EN27"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Guided Exercise Log-style 42" showColumnStripes="0" showFirstColumn="1" showLastColumn="1" showRowStripes="1"/>
</table>
</file>

<file path=xl/tables/table43.xml><?xml version="1.0" encoding="utf-8"?>
<table xmlns="http://schemas.openxmlformats.org/spreadsheetml/2006/main" headerRowCount="0" ref="FB22:FC27" displayName="Table_43" name="Table_43" id="43">
  <tableColumns count="2">
    <tableColumn name="Column1" id="1"/>
    <tableColumn name="Column2" id="2"/>
  </tableColumns>
  <tableStyleInfo name="Guided Exercise Log-style 43" showColumnStripes="0" showFirstColumn="1" showLastColumn="1" showRowStripes="1"/>
</table>
</file>

<file path=xl/tables/table44.xml><?xml version="1.0" encoding="utf-8"?>
<table xmlns="http://schemas.openxmlformats.org/spreadsheetml/2006/main" headerRowCount="0" ref="C28:I28"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Guided Exercise Log-style 44" showColumnStripes="0" showFirstColumn="1" showLastColumn="1" showRowStripes="1"/>
</table>
</file>

<file path=xl/tables/table45.xml><?xml version="1.0" encoding="utf-8"?>
<table xmlns="http://schemas.openxmlformats.org/spreadsheetml/2006/main" headerRowCount="0" ref="C29:I3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Guided Exercise Log-style 45" showColumnStripes="0" showFirstColumn="1" showLastColumn="1" showRowStripes="1"/>
</table>
</file>

<file path=xl/tables/table46.xml><?xml version="1.0" encoding="utf-8"?>
<table xmlns="http://schemas.openxmlformats.org/spreadsheetml/2006/main" headerRowCount="0" ref="K29:Q35"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Guided Exercise Log-style 46" showColumnStripes="0" showFirstColumn="1" showLastColumn="1" showRowStripes="1"/>
</table>
</file>

<file path=xl/tables/table47.xml><?xml version="1.0" encoding="utf-8"?>
<table xmlns="http://schemas.openxmlformats.org/spreadsheetml/2006/main" headerRowCount="0" ref="S29:Y3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Guided Exercise Log-style 47" showColumnStripes="0" showFirstColumn="1" showLastColumn="1" showRowStripes="1"/>
</table>
</file>

<file path=xl/tables/table48.xml><?xml version="1.0" encoding="utf-8"?>
<table xmlns="http://schemas.openxmlformats.org/spreadsheetml/2006/main" headerRowCount="0" ref="AA29:AG3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Guided Exercise Log-style 48" showColumnStripes="0" showFirstColumn="1" showLastColumn="1" showRowStripes="1"/>
</table>
</file>

<file path=xl/tables/table49.xml><?xml version="1.0" encoding="utf-8"?>
<table xmlns="http://schemas.openxmlformats.org/spreadsheetml/2006/main" headerRowCount="0" ref="AV29:BB35"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Guided Exercise Log-style 49" showColumnStripes="0" showFirstColumn="1" showLastColumn="1" showRowStripes="1"/>
</table>
</file>

<file path=xl/tables/table50.xml><?xml version="1.0" encoding="utf-8"?>
<table xmlns="http://schemas.openxmlformats.org/spreadsheetml/2006/main" headerRowCount="0" ref="BD29:BJ35"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Guided Exercise Log-style 50" showColumnStripes="0" showFirstColumn="1" showLastColumn="1" showRowStripes="1"/>
</table>
</file>

<file path=xl/tables/table51.xml><?xml version="1.0" encoding="utf-8"?>
<table xmlns="http://schemas.openxmlformats.org/spreadsheetml/2006/main" headerRowCount="0" ref="BL29:BR35"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Guided Exercise Log-style 51" showColumnStripes="0" showFirstColumn="1" showLastColumn="1" showRowStripes="1"/>
</table>
</file>

<file path=xl/tables/table52.xml><?xml version="1.0" encoding="utf-8"?>
<table xmlns="http://schemas.openxmlformats.org/spreadsheetml/2006/main" headerRowCount="0" ref="CG29:CM35"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Guided Exercise Log-style 52" showColumnStripes="0" showFirstColumn="1" showLastColumn="1" showRowStripes="1"/>
</table>
</file>

<file path=xl/tables/table53.xml><?xml version="1.0" encoding="utf-8"?>
<table xmlns="http://schemas.openxmlformats.org/spreadsheetml/2006/main" headerRowCount="0" ref="CO29:CU35" displayName="Table_53" name="Table_53" id="53">
  <tableColumns count="7">
    <tableColumn name="Column1" id="1"/>
    <tableColumn name="Column2" id="2"/>
    <tableColumn name="Column3" id="3"/>
    <tableColumn name="Column4" id="4"/>
    <tableColumn name="Column5" id="5"/>
    <tableColumn name="Column6" id="6"/>
    <tableColumn name="Column7" id="7"/>
  </tableColumns>
  <tableStyleInfo name="Guided Exercise Log-style 53" showColumnStripes="0" showFirstColumn="1" showLastColumn="1" showRowStripes="1"/>
</table>
</file>

<file path=xl/tables/table54.xml><?xml version="1.0" encoding="utf-8"?>
<table xmlns="http://schemas.openxmlformats.org/spreadsheetml/2006/main" headerRowCount="0" ref="CW29:DC35"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Guided Exercise Log-style 54" showColumnStripes="0" showFirstColumn="1" showLastColumn="1" showRowStripes="1"/>
</table>
</file>

<file path=xl/tables/table55.xml><?xml version="1.0" encoding="utf-8"?>
<table xmlns="http://schemas.openxmlformats.org/spreadsheetml/2006/main" headerRowCount="0" ref="DR29:DX35" displayName="Table_55" name="Table_55" id="55">
  <tableColumns count="7">
    <tableColumn name="Column1" id="1"/>
    <tableColumn name="Column2" id="2"/>
    <tableColumn name="Column3" id="3"/>
    <tableColumn name="Column4" id="4"/>
    <tableColumn name="Column5" id="5"/>
    <tableColumn name="Column6" id="6"/>
    <tableColumn name="Column7" id="7"/>
  </tableColumns>
  <tableStyleInfo name="Guided Exercise Log-style 55" showColumnStripes="0" showFirstColumn="1" showLastColumn="1" showRowStripes="1"/>
</table>
</file>

<file path=xl/tables/table56.xml><?xml version="1.0" encoding="utf-8"?>
<table xmlns="http://schemas.openxmlformats.org/spreadsheetml/2006/main" headerRowCount="0" ref="DZ29:EF35"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Guided Exercise Log-style 56" showColumnStripes="0" showFirstColumn="1" showLastColumn="1" showRowStripes="1"/>
</table>
</file>

<file path=xl/tables/table57.xml><?xml version="1.0" encoding="utf-8"?>
<table xmlns="http://schemas.openxmlformats.org/spreadsheetml/2006/main" headerRowCount="0" ref="EH29:EN35" displayName="Table_57" name="Table_57" id="57">
  <tableColumns count="7">
    <tableColumn name="Column1" id="1"/>
    <tableColumn name="Column2" id="2"/>
    <tableColumn name="Column3" id="3"/>
    <tableColumn name="Column4" id="4"/>
    <tableColumn name="Column5" id="5"/>
    <tableColumn name="Column6" id="6"/>
    <tableColumn name="Column7" id="7"/>
  </tableColumns>
  <tableStyleInfo name="Guided Exercise Log-style 57" showColumnStripes="0" showFirstColumn="1" showLastColumn="1" showRowStripes="1"/>
</table>
</file>

<file path=xl/tables/table58.xml><?xml version="1.0" encoding="utf-8"?>
<table xmlns="http://schemas.openxmlformats.org/spreadsheetml/2006/main" headerRowCount="0" ref="FB29:FC35" displayName="Table_58" name="Table_58" id="58">
  <tableColumns count="2">
    <tableColumn name="Column1" id="1"/>
    <tableColumn name="Column2" id="2"/>
  </tableColumns>
  <tableStyleInfo name="Guided Exercise Log-style 58" showColumnStripes="0" showFirstColumn="1" showLastColumn="1" showRowStripes="1"/>
</table>
</file>

<file path=xl/tables/table59.xml><?xml version="1.0" encoding="utf-8"?>
<table xmlns="http://schemas.openxmlformats.org/spreadsheetml/2006/main" headerRowCount="0" ref="C36:I36"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Guided Exercise Log-style 59" showColumnStripes="0" showFirstColumn="1" showLastColumn="1" showRowStripes="1"/>
</table>
</file>

<file path=xl/tables/table60.xml><?xml version="1.0" encoding="utf-8"?>
<table xmlns="http://schemas.openxmlformats.org/spreadsheetml/2006/main" headerRowCount="0" ref="C37:I46" displayName="Table_60" name="Table_60" id="60">
  <tableColumns count="7">
    <tableColumn name="Column1" id="1"/>
    <tableColumn name="Column2" id="2"/>
    <tableColumn name="Column3" id="3"/>
    <tableColumn name="Column4" id="4"/>
    <tableColumn name="Column5" id="5"/>
    <tableColumn name="Column6" id="6"/>
    <tableColumn name="Column7" id="7"/>
  </tableColumns>
  <tableStyleInfo name="Guided Exercise Log-style 60" showColumnStripes="0" showFirstColumn="1" showLastColumn="1" showRowStripes="1"/>
</table>
</file>

<file path=xl/tables/table61.xml><?xml version="1.0" encoding="utf-8"?>
<table xmlns="http://schemas.openxmlformats.org/spreadsheetml/2006/main" headerRowCount="0" ref="K37:Q46" displayName="Table_61" name="Table_61" id="61">
  <tableColumns count="7">
    <tableColumn name="Column1" id="1"/>
    <tableColumn name="Column2" id="2"/>
    <tableColumn name="Column3" id="3"/>
    <tableColumn name="Column4" id="4"/>
    <tableColumn name="Column5" id="5"/>
    <tableColumn name="Column6" id="6"/>
    <tableColumn name="Column7" id="7"/>
  </tableColumns>
  <tableStyleInfo name="Guided Exercise Log-style 61" showColumnStripes="0" showFirstColumn="1" showLastColumn="1" showRowStripes="1"/>
</table>
</file>

<file path=xl/tables/table62.xml><?xml version="1.0" encoding="utf-8"?>
<table xmlns="http://schemas.openxmlformats.org/spreadsheetml/2006/main" headerRowCount="0" ref="S37:Y46" displayName="Table_62" name="Table_62" id="62">
  <tableColumns count="7">
    <tableColumn name="Column1" id="1"/>
    <tableColumn name="Column2" id="2"/>
    <tableColumn name="Column3" id="3"/>
    <tableColumn name="Column4" id="4"/>
    <tableColumn name="Column5" id="5"/>
    <tableColumn name="Column6" id="6"/>
    <tableColumn name="Column7" id="7"/>
  </tableColumns>
  <tableStyleInfo name="Guided Exercise Log-style 62" showColumnStripes="0" showFirstColumn="1" showLastColumn="1" showRowStripes="1"/>
</table>
</file>

<file path=xl/tables/table63.xml><?xml version="1.0" encoding="utf-8"?>
<table xmlns="http://schemas.openxmlformats.org/spreadsheetml/2006/main" headerRowCount="0" ref="AA37:AG46" displayName="Table_63" name="Table_63" id="63">
  <tableColumns count="7">
    <tableColumn name="Column1" id="1"/>
    <tableColumn name="Column2" id="2"/>
    <tableColumn name="Column3" id="3"/>
    <tableColumn name="Column4" id="4"/>
    <tableColumn name="Column5" id="5"/>
    <tableColumn name="Column6" id="6"/>
    <tableColumn name="Column7" id="7"/>
  </tableColumns>
  <tableStyleInfo name="Guided Exercise Log-style 63" showColumnStripes="0" showFirstColumn="1" showLastColumn="1" showRowStripes="1"/>
</table>
</file>

<file path=xl/tables/table64.xml><?xml version="1.0" encoding="utf-8"?>
<table xmlns="http://schemas.openxmlformats.org/spreadsheetml/2006/main" headerRowCount="0" ref="AV37:BB46" displayName="Table_64" name="Table_64" id="64">
  <tableColumns count="7">
    <tableColumn name="Column1" id="1"/>
    <tableColumn name="Column2" id="2"/>
    <tableColumn name="Column3" id="3"/>
    <tableColumn name="Column4" id="4"/>
    <tableColumn name="Column5" id="5"/>
    <tableColumn name="Column6" id="6"/>
    <tableColumn name="Column7" id="7"/>
  </tableColumns>
  <tableStyleInfo name="Guided Exercise Log-style 64" showColumnStripes="0" showFirstColumn="1" showLastColumn="1" showRowStripes="1"/>
</table>
</file>

<file path=xl/tables/table65.xml><?xml version="1.0" encoding="utf-8"?>
<table xmlns="http://schemas.openxmlformats.org/spreadsheetml/2006/main" headerRowCount="0" ref="BD37:BJ46"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Guided Exercise Log-style 65" showColumnStripes="0" showFirstColumn="1" showLastColumn="1" showRowStripes="1"/>
</table>
</file>

<file path=xl/tables/table66.xml><?xml version="1.0" encoding="utf-8"?>
<table xmlns="http://schemas.openxmlformats.org/spreadsheetml/2006/main" headerRowCount="0" ref="BL37:BR46" displayName="Table_66" name="Table_66" id="66">
  <tableColumns count="7">
    <tableColumn name="Column1" id="1"/>
    <tableColumn name="Column2" id="2"/>
    <tableColumn name="Column3" id="3"/>
    <tableColumn name="Column4" id="4"/>
    <tableColumn name="Column5" id="5"/>
    <tableColumn name="Column6" id="6"/>
    <tableColumn name="Column7" id="7"/>
  </tableColumns>
  <tableStyleInfo name="Guided Exercise Log-style 66" showColumnStripes="0" showFirstColumn="1" showLastColumn="1" showRowStripes="1"/>
</table>
</file>

<file path=xl/tables/table67.xml><?xml version="1.0" encoding="utf-8"?>
<table xmlns="http://schemas.openxmlformats.org/spreadsheetml/2006/main" headerRowCount="0" ref="CG37:CM46"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Guided Exercise Log-style 67" showColumnStripes="0" showFirstColumn="1" showLastColumn="1" showRowStripes="1"/>
</table>
</file>

<file path=xl/tables/table68.xml><?xml version="1.0" encoding="utf-8"?>
<table xmlns="http://schemas.openxmlformats.org/spreadsheetml/2006/main" headerRowCount="0" ref="CO37:CU46" displayName="Table_68" name="Table_68" id="68">
  <tableColumns count="7">
    <tableColumn name="Column1" id="1"/>
    <tableColumn name="Column2" id="2"/>
    <tableColumn name="Column3" id="3"/>
    <tableColumn name="Column4" id="4"/>
    <tableColumn name="Column5" id="5"/>
    <tableColumn name="Column6" id="6"/>
    <tableColumn name="Column7" id="7"/>
  </tableColumns>
  <tableStyleInfo name="Guided Exercise Log-style 68" showColumnStripes="0" showFirstColumn="1" showLastColumn="1" showRowStripes="1"/>
</table>
</file>

<file path=xl/tables/table69.xml><?xml version="1.0" encoding="utf-8"?>
<table xmlns="http://schemas.openxmlformats.org/spreadsheetml/2006/main" headerRowCount="0" ref="CW37:DC46"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Guided Exercise Log-style 69" showColumnStripes="0" showFirstColumn="1" showLastColumn="1" showRowStripes="1"/>
</table>
</file>

<file path=xl/tables/table70.xml><?xml version="1.0" encoding="utf-8"?>
<table xmlns="http://schemas.openxmlformats.org/spreadsheetml/2006/main" headerRowCount="0" ref="DR37:DX46"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Guided Exercise Log-style 70" showColumnStripes="0" showFirstColumn="1" showLastColumn="1" showRowStripes="1"/>
</table>
</file>

<file path=xl/tables/table71.xml><?xml version="1.0" encoding="utf-8"?>
<table xmlns="http://schemas.openxmlformats.org/spreadsheetml/2006/main" headerRowCount="0" ref="DZ37:EF46" displayName="Table_71" name="Table_71" id="71">
  <tableColumns count="7">
    <tableColumn name="Column1" id="1"/>
    <tableColumn name="Column2" id="2"/>
    <tableColumn name="Column3" id="3"/>
    <tableColumn name="Column4" id="4"/>
    <tableColumn name="Column5" id="5"/>
    <tableColumn name="Column6" id="6"/>
    <tableColumn name="Column7" id="7"/>
  </tableColumns>
  <tableStyleInfo name="Guided Exercise Log-style 71" showColumnStripes="0" showFirstColumn="1" showLastColumn="1" showRowStripes="1"/>
</table>
</file>

<file path=xl/tables/table72.xml><?xml version="1.0" encoding="utf-8"?>
<table xmlns="http://schemas.openxmlformats.org/spreadsheetml/2006/main" headerRowCount="0" ref="EH37:EN47" displayName="Table_72" name="Table_72" id="72">
  <tableColumns count="7">
    <tableColumn name="Column1" id="1"/>
    <tableColumn name="Column2" id="2"/>
    <tableColumn name="Column3" id="3"/>
    <tableColumn name="Column4" id="4"/>
    <tableColumn name="Column5" id="5"/>
    <tableColumn name="Column6" id="6"/>
    <tableColumn name="Column7" id="7"/>
  </tableColumns>
  <tableStyleInfo name="Guided Exercise Log-style 72" showColumnStripes="0" showFirstColumn="1" showLastColumn="1" showRowStripes="1"/>
</table>
</file>

<file path=xl/tables/table73.xml><?xml version="1.0" encoding="utf-8"?>
<table xmlns="http://schemas.openxmlformats.org/spreadsheetml/2006/main" headerRowCount="0" ref="FB37:FC46" displayName="Table_73" name="Table_73" id="73">
  <tableColumns count="2">
    <tableColumn name="Column1" id="1"/>
    <tableColumn name="Column2" id="2"/>
  </tableColumns>
  <tableStyleInfo name="Guided Exercise Log-style 73" showColumnStripes="0" showFirstColumn="1" showLastColumn="1" showRowStripes="1"/>
</table>
</file>

<file path=xl/tables/table74.xml><?xml version="1.0" encoding="utf-8"?>
<table xmlns="http://schemas.openxmlformats.org/spreadsheetml/2006/main" headerRowCount="0" ref="C47:I47" displayName="Table_74" name="Table_74" id="74">
  <tableColumns count="7">
    <tableColumn name="Column1" id="1"/>
    <tableColumn name="Column2" id="2"/>
    <tableColumn name="Column3" id="3"/>
    <tableColumn name="Column4" id="4"/>
    <tableColumn name="Column5" id="5"/>
    <tableColumn name="Column6" id="6"/>
    <tableColumn name="Column7" id="7"/>
  </tableColumns>
  <tableStyleInfo name="Guided Exercise Log-style 74" showColumnStripes="0" showFirstColumn="1" showLastColumn="1" showRowStripes="1"/>
</table>
</file>

<file path=xl/tables/table75.xml><?xml version="1.0" encoding="utf-8"?>
<table xmlns="http://schemas.openxmlformats.org/spreadsheetml/2006/main" headerRowCount="0" ref="AP47:AT47" displayName="Table_75" name="Table_75" id="75">
  <tableColumns count="5">
    <tableColumn name="Column1" id="1"/>
    <tableColumn name="Column2" id="2"/>
    <tableColumn name="Column3" id="3"/>
    <tableColumn name="Column4" id="4"/>
    <tableColumn name="Column5" id="5"/>
  </tableColumns>
  <tableStyleInfo name="Guided Exercise Log-style 75" showColumnStripes="0" showFirstColumn="1" showLastColumn="1" showRowStripes="1"/>
</table>
</file>

<file path=xl/tables/table76.xml><?xml version="1.0" encoding="utf-8"?>
<table xmlns="http://schemas.openxmlformats.org/spreadsheetml/2006/main" headerRowCount="0" ref="CA47:CE47" displayName="Table_76" name="Table_76" id="76">
  <tableColumns count="5">
    <tableColumn name="Column1" id="1"/>
    <tableColumn name="Column2" id="2"/>
    <tableColumn name="Column3" id="3"/>
    <tableColumn name="Column4" id="4"/>
    <tableColumn name="Column5" id="5"/>
  </tableColumns>
  <tableStyleInfo name="Guided Exercise Log-style 76" showColumnStripes="0" showFirstColumn="1" showLastColumn="1" showRowStripes="1"/>
</table>
</file>

<file path=xl/tables/table77.xml><?xml version="1.0" encoding="utf-8"?>
<table xmlns="http://schemas.openxmlformats.org/spreadsheetml/2006/main" headerRowCount="0" ref="DL47:DP47" displayName="Table_77" name="Table_77" id="77">
  <tableColumns count="5">
    <tableColumn name="Column1" id="1"/>
    <tableColumn name="Column2" id="2"/>
    <tableColumn name="Column3" id="3"/>
    <tableColumn name="Column4" id="4"/>
    <tableColumn name="Column5" id="5"/>
  </tableColumns>
  <tableStyleInfo name="Guided Exercise Log-style 77" showColumnStripes="0" showFirstColumn="1" showLastColumn="1" showRowStripes="1"/>
</table>
</file>

<file path=xl/tables/table78.xml><?xml version="1.0" encoding="utf-8"?>
<table xmlns="http://schemas.openxmlformats.org/spreadsheetml/2006/main" headerRowCount="0" ref="EP47:FA47" displayName="Table_78" name="Table_78" id="78">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Guided Exercise Log-style 78" showColumnStripes="0" showFirstColumn="1" showLastColumn="1" showRowStripes="1"/>
</table>
</file>

<file path=xl/tables/table79.xml><?xml version="1.0" encoding="utf-8"?>
<table xmlns="http://schemas.openxmlformats.org/spreadsheetml/2006/main" headerRowCount="0" ref="C48:I57" displayName="Table_79" name="Table_79" id="79">
  <tableColumns count="7">
    <tableColumn name="Column1" id="1"/>
    <tableColumn name="Column2" id="2"/>
    <tableColumn name="Column3" id="3"/>
    <tableColumn name="Column4" id="4"/>
    <tableColumn name="Column5" id="5"/>
    <tableColumn name="Column6" id="6"/>
    <tableColumn name="Column7" id="7"/>
  </tableColumns>
  <tableStyleInfo name="Guided Exercise Log-style 79" showColumnStripes="0" showFirstColumn="1" showLastColumn="1" showRowStripes="1"/>
</table>
</file>

<file path=xl/tables/table80.xml><?xml version="1.0" encoding="utf-8"?>
<table xmlns="http://schemas.openxmlformats.org/spreadsheetml/2006/main" headerRowCount="0" ref="K48:Q57" displayName="Table_80" name="Table_80" id="80">
  <tableColumns count="7">
    <tableColumn name="Column1" id="1"/>
    <tableColumn name="Column2" id="2"/>
    <tableColumn name="Column3" id="3"/>
    <tableColumn name="Column4" id="4"/>
    <tableColumn name="Column5" id="5"/>
    <tableColumn name="Column6" id="6"/>
    <tableColumn name="Column7" id="7"/>
  </tableColumns>
  <tableStyleInfo name="Guided Exercise Log-style 80" showColumnStripes="0" showFirstColumn="1" showLastColumn="1" showRowStripes="1"/>
</table>
</file>

<file path=xl/tables/table81.xml><?xml version="1.0" encoding="utf-8"?>
<table xmlns="http://schemas.openxmlformats.org/spreadsheetml/2006/main" headerRowCount="0" ref="S48:Y57"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Guided Exercise Log-style 81" showColumnStripes="0" showFirstColumn="1" showLastColumn="1" showRowStripes="1"/>
</table>
</file>

<file path=xl/tables/table82.xml><?xml version="1.0" encoding="utf-8"?>
<table xmlns="http://schemas.openxmlformats.org/spreadsheetml/2006/main" headerRowCount="0" ref="AA48:AG57" displayName="Table_82" name="Table_82" id="82">
  <tableColumns count="7">
    <tableColumn name="Column1" id="1"/>
    <tableColumn name="Column2" id="2"/>
    <tableColumn name="Column3" id="3"/>
    <tableColumn name="Column4" id="4"/>
    <tableColumn name="Column5" id="5"/>
    <tableColumn name="Column6" id="6"/>
    <tableColumn name="Column7" id="7"/>
  </tableColumns>
  <tableStyleInfo name="Guided Exercise Log-style 82" showColumnStripes="0" showFirstColumn="1" showLastColumn="1" showRowStripes="1"/>
</table>
</file>

<file path=xl/tables/table83.xml><?xml version="1.0" encoding="utf-8"?>
<table xmlns="http://schemas.openxmlformats.org/spreadsheetml/2006/main" headerRowCount="0" ref="AV48:BB57" displayName="Table_83" name="Table_83" id="83">
  <tableColumns count="7">
    <tableColumn name="Column1" id="1"/>
    <tableColumn name="Column2" id="2"/>
    <tableColumn name="Column3" id="3"/>
    <tableColumn name="Column4" id="4"/>
    <tableColumn name="Column5" id="5"/>
    <tableColumn name="Column6" id="6"/>
    <tableColumn name="Column7" id="7"/>
  </tableColumns>
  <tableStyleInfo name="Guided Exercise Log-style 83" showColumnStripes="0" showFirstColumn="1" showLastColumn="1" showRowStripes="1"/>
</table>
</file>

<file path=xl/tables/table84.xml><?xml version="1.0" encoding="utf-8"?>
<table xmlns="http://schemas.openxmlformats.org/spreadsheetml/2006/main" headerRowCount="0" ref="BD48:BJ57" displayName="Table_84" name="Table_84" id="84">
  <tableColumns count="7">
    <tableColumn name="Column1" id="1"/>
    <tableColumn name="Column2" id="2"/>
    <tableColumn name="Column3" id="3"/>
    <tableColumn name="Column4" id="4"/>
    <tableColumn name="Column5" id="5"/>
    <tableColumn name="Column6" id="6"/>
    <tableColumn name="Column7" id="7"/>
  </tableColumns>
  <tableStyleInfo name="Guided Exercise Log-style 84" showColumnStripes="0" showFirstColumn="1" showLastColumn="1" showRowStripes="1"/>
</table>
</file>

<file path=xl/tables/table85.xml><?xml version="1.0" encoding="utf-8"?>
<table xmlns="http://schemas.openxmlformats.org/spreadsheetml/2006/main" headerRowCount="0" ref="BL48:BR57" displayName="Table_85" name="Table_85" id="85">
  <tableColumns count="7">
    <tableColumn name="Column1" id="1"/>
    <tableColumn name="Column2" id="2"/>
    <tableColumn name="Column3" id="3"/>
    <tableColumn name="Column4" id="4"/>
    <tableColumn name="Column5" id="5"/>
    <tableColumn name="Column6" id="6"/>
    <tableColumn name="Column7" id="7"/>
  </tableColumns>
  <tableStyleInfo name="Guided Exercise Log-style 85" showColumnStripes="0" showFirstColumn="1" showLastColumn="1" showRowStripes="1"/>
</table>
</file>

<file path=xl/tables/table86.xml><?xml version="1.0" encoding="utf-8"?>
<table xmlns="http://schemas.openxmlformats.org/spreadsheetml/2006/main" headerRowCount="0" ref="CG48:CM57" displayName="Table_86" name="Table_86" id="86">
  <tableColumns count="7">
    <tableColumn name="Column1" id="1"/>
    <tableColumn name="Column2" id="2"/>
    <tableColumn name="Column3" id="3"/>
    <tableColumn name="Column4" id="4"/>
    <tableColumn name="Column5" id="5"/>
    <tableColumn name="Column6" id="6"/>
    <tableColumn name="Column7" id="7"/>
  </tableColumns>
  <tableStyleInfo name="Guided Exercise Log-style 86" showColumnStripes="0" showFirstColumn="1" showLastColumn="1" showRowStripes="1"/>
</table>
</file>

<file path=xl/tables/table87.xml><?xml version="1.0" encoding="utf-8"?>
<table xmlns="http://schemas.openxmlformats.org/spreadsheetml/2006/main" headerRowCount="0" ref="CO48:CU57" displayName="Table_87" name="Table_87" id="87">
  <tableColumns count="7">
    <tableColumn name="Column1" id="1"/>
    <tableColumn name="Column2" id="2"/>
    <tableColumn name="Column3" id="3"/>
    <tableColumn name="Column4" id="4"/>
    <tableColumn name="Column5" id="5"/>
    <tableColumn name="Column6" id="6"/>
    <tableColumn name="Column7" id="7"/>
  </tableColumns>
  <tableStyleInfo name="Guided Exercise Log-style 87" showColumnStripes="0" showFirstColumn="1" showLastColumn="1" showRowStripes="1"/>
</table>
</file>

<file path=xl/tables/table88.xml><?xml version="1.0" encoding="utf-8"?>
<table xmlns="http://schemas.openxmlformats.org/spreadsheetml/2006/main" headerRowCount="0" ref="CW48:DC57" displayName="Table_88" name="Table_88" id="88">
  <tableColumns count="7">
    <tableColumn name="Column1" id="1"/>
    <tableColumn name="Column2" id="2"/>
    <tableColumn name="Column3" id="3"/>
    <tableColumn name="Column4" id="4"/>
    <tableColumn name="Column5" id="5"/>
    <tableColumn name="Column6" id="6"/>
    <tableColumn name="Column7" id="7"/>
  </tableColumns>
  <tableStyleInfo name="Guided Exercise Log-style 88" showColumnStripes="0" showFirstColumn="1" showLastColumn="1" showRowStripes="1"/>
</table>
</file>

<file path=xl/tables/table89.xml><?xml version="1.0" encoding="utf-8"?>
<table xmlns="http://schemas.openxmlformats.org/spreadsheetml/2006/main" headerRowCount="0" ref="DR48:DX57"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Guided Exercise Log-style 89" showColumnStripes="0" showFirstColumn="1" showLastColumn="1" showRowStripes="1"/>
</table>
</file>

<file path=xl/tables/table90.xml><?xml version="1.0" encoding="utf-8"?>
<table xmlns="http://schemas.openxmlformats.org/spreadsheetml/2006/main" headerRowCount="0" ref="DZ48:EF57" displayName="Table_90" name="Table_90" id="90">
  <tableColumns count="7">
    <tableColumn name="Column1" id="1"/>
    <tableColumn name="Column2" id="2"/>
    <tableColumn name="Column3" id="3"/>
    <tableColumn name="Column4" id="4"/>
    <tableColumn name="Column5" id="5"/>
    <tableColumn name="Column6" id="6"/>
    <tableColumn name="Column7" id="7"/>
  </tableColumns>
  <tableStyleInfo name="Guided Exercise Log-style 90" showColumnStripes="0" showFirstColumn="1" showLastColumn="1" showRowStripes="1"/>
</table>
</file>

<file path=xl/tables/table91.xml><?xml version="1.0" encoding="utf-8"?>
<table xmlns="http://schemas.openxmlformats.org/spreadsheetml/2006/main" headerRowCount="0" ref="EH48:EN57" displayName="Table_91" name="Table_91" id="91">
  <tableColumns count="7">
    <tableColumn name="Column1" id="1"/>
    <tableColumn name="Column2" id="2"/>
    <tableColumn name="Column3" id="3"/>
    <tableColumn name="Column4" id="4"/>
    <tableColumn name="Column5" id="5"/>
    <tableColumn name="Column6" id="6"/>
    <tableColumn name="Column7" id="7"/>
  </tableColumns>
  <tableStyleInfo name="Guided Exercise Log-style 91" showColumnStripes="0" showFirstColumn="1" showLastColumn="1" showRowStripes="1"/>
</table>
</file>

<file path=xl/tables/table92.xml><?xml version="1.0" encoding="utf-8"?>
<table xmlns="http://schemas.openxmlformats.org/spreadsheetml/2006/main" headerRowCount="0" ref="FB48:FC57" displayName="Table_92" name="Table_92" id="92">
  <tableColumns count="2">
    <tableColumn name="Column1" id="1"/>
    <tableColumn name="Column2" id="2"/>
  </tableColumns>
  <tableStyleInfo name="Guided Exercise Log-style 92" showColumnStripes="0" showFirstColumn="1" showLastColumn="1" showRowStripes="1"/>
</table>
</file>

<file path=xl/tables/table93.xml><?xml version="1.0" encoding="utf-8"?>
<table xmlns="http://schemas.openxmlformats.org/spreadsheetml/2006/main" ref="J2:L56" displayName="Table_93" name="Table_93" id="93">
  <tableColumns count="3">
    <tableColumn name="Ending" id="1"/>
    <tableColumn name="Weight" id="2"/>
    <tableColumn name="TDEE" id="3"/>
  </tableColumns>
  <tableStyleInfo name="2025 Weight Journal-style" showColumnStripes="0" showFirstColumn="1" showLastColumn="1" showRowStripes="1"/>
</table>
</file>

<file path=xl/tables/table94.xml><?xml version="1.0" encoding="utf-8"?>
<table xmlns="http://schemas.openxmlformats.org/spreadsheetml/2006/main" ref="N2:P14" displayName="Table_94" name="Table_94" id="94">
  <tableColumns count="3">
    <tableColumn name="Month" id="1"/>
    <tableColumn name="Goal" id="2"/>
    <tableColumn name="Method" id="3"/>
  </tableColumns>
  <tableStyleInfo name="2025 Weight Journal-style 2" showColumnStripes="0" showFirstColumn="1" showLastColumn="1" showRowStripes="1"/>
</table>
</file>

<file path=xl/tables/table95.xml><?xml version="1.0" encoding="utf-8"?>
<table xmlns="http://schemas.openxmlformats.org/spreadsheetml/2006/main" headerRowCount="0" ref="R2:S12" displayName="Table_95" name="Table_95" id="95">
  <tableColumns count="2">
    <tableColumn name="Column1" id="1"/>
    <tableColumn name="Column2" id="2"/>
  </tableColumns>
  <tableStyleInfo name="2025 Weight Journal-style 3" showColumnStripes="0" showFirstColumn="1" showLastColumn="1" showRowStripes="1"/>
  <extLst>
    <ext uri="GoogleSheetsCustomDataVersion1">
      <go:sheetsCustomData xmlns:go="http://customooxmlschemas.google.com/" headerRowCount="1"/>
    </ext>
  </extLst>
</table>
</file>

<file path=xl/tables/table96.xml><?xml version="1.0" encoding="utf-8"?>
<table xmlns="http://schemas.openxmlformats.org/spreadsheetml/2006/main" ref="G3:G24" displayName="Table_96" name="Table_96" id="96">
  <tableColumns count="1">
    <tableColumn name="Activity Multiplier" id="1"/>
  </tableColumns>
  <tableStyleInfo name="Quick Stats-style" showColumnStripes="0" showFirstColumn="1" showLastColumn="1" showRowStripes="1"/>
</table>
</file>

<file path=xl/tables/table97.xml><?xml version="1.0" encoding="utf-8"?>
<table xmlns="http://schemas.openxmlformats.org/spreadsheetml/2006/main" headerRowCount="0" ref="X2:Z24" displayName="Table_97" name="Table_97" id="97">
  <tableColumns count="3">
    <tableColumn name="Column1" id="1"/>
    <tableColumn name="Column2" id="2"/>
    <tableColumn name="Column3" id="3"/>
  </tableColumns>
  <tableStyleInfo name="Lifting Records-style" showColumnStripes="0" showFirstColumn="1" showLastColumn="1" showRowStripes="1"/>
  <extLst>
    <ext uri="GoogleSheetsCustomDataVersion1">
      <go:sheetsCustomData xmlns:go="http://customooxmlschemas.google.com/" headerRowCount="1"/>
    </ext>
  </extLst>
</table>
</file>

<file path=xl/tables/table98.xml><?xml version="1.0" encoding="utf-8"?>
<table xmlns="http://schemas.openxmlformats.org/spreadsheetml/2006/main" headerRowCount="0" ref="C42:U42" displayName="Table_98" name="Table_98" id="98">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Lifting Records-style 2" showColumnStripes="0" showFirstColumn="1" showLastColumn="1" showRowStripes="1"/>
</table>
</file>

<file path=xl/tables/table99.xml><?xml version="1.0" encoding="utf-8"?>
<table xmlns="http://schemas.openxmlformats.org/spreadsheetml/2006/main" headerRowCount="0" ref="C43:U44" displayName="Table_99" name="Table_99" id="99">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Lifting Records-style 3" showColumnStripes="0" showFirstColumn="1" showLastColumn="1" showRowStripes="1"/>
</table>
</file>

<file path=xl/tables/table100.xml><?xml version="1.0" encoding="utf-8"?>
<table xmlns="http://schemas.openxmlformats.org/spreadsheetml/2006/main" headerRowCount="0" ref="C46:U66" displayName="Table_100" name="Table_100" id="100">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Lifting Records-style 4" showColumnStripes="0" showFirstColumn="1" showLastColumn="1" showRowStripes="1"/>
</table>
</file>

<file path=xl/tables/table101.xml><?xml version="1.0" encoding="utf-8"?>
<table xmlns="http://schemas.openxmlformats.org/spreadsheetml/2006/main" headerRowCount="0" ref="Y3:AC16" displayName="Table_101" name="Table_101" id="101">
  <tableColumns count="5">
    <tableColumn name="Column1" id="1"/>
    <tableColumn name="Column2" id="2"/>
    <tableColumn name="Column3" id="3"/>
    <tableColumn name="Column4" id="4"/>
    <tableColumn name="Column5" id="5"/>
  </tableColumns>
  <tableStyleInfo name="Measurements-style" showColumnStripes="0" showFirstColumn="1" showLastColumn="1" showRowStripes="1"/>
  <extLst>
    <ext uri="GoogleSheetsCustomDataVersion1">
      <go:sheetsCustomData xmlns:go="http://customooxmlschemas.google.com/" headerRowCount="1"/>
    </ext>
  </extLst>
</table>
</file>

<file path=xl/tables/table102.xml><?xml version="1.0" encoding="utf-8"?>
<table xmlns="http://schemas.openxmlformats.org/spreadsheetml/2006/main" headerRowCount="0" ref="A5:K16" displayName="Table_102" name="Table_102" id="10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Measurements-style 2" showColumnStripes="0" showFirstColumn="1" showLastColumn="1" showRowStripes="1"/>
</table>
</file>

<file path=xl/tables/table103.xml><?xml version="1.0" encoding="utf-8"?>
<table xmlns="http://schemas.openxmlformats.org/spreadsheetml/2006/main" headerRowCount="0" ref="M5:W16" displayName="Table_103" name="Table_103" id="10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Measurements-style 3" showColumnStripes="0" showFirstColumn="1" showLastColumn="1" showRowStripes="1"/>
</table>
</file>

<file path=xl/tables/table104.xml><?xml version="1.0" encoding="utf-8"?>
<table xmlns="http://schemas.openxmlformats.org/spreadsheetml/2006/main" headerRowCount="0" ref="C4:J18" displayName="Table_104" name="Table_104" id="10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showColumnStripes="0" showFirstColumn="1" showLastColumn="1" showRowStripes="1"/>
</table>
</file>

<file path=xl/tables/table105.xml><?xml version="1.0" encoding="utf-8"?>
<table xmlns="http://schemas.openxmlformats.org/spreadsheetml/2006/main" headerRowCount="0" ref="L4:S18" displayName="Table_105" name="Table_105" id="105">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 showColumnStripes="0" showFirstColumn="1" showLastColumn="1" showRowStripes="1"/>
</table>
</file>

<file path=xl/tables/table106.xml><?xml version="1.0" encoding="utf-8"?>
<table xmlns="http://schemas.openxmlformats.org/spreadsheetml/2006/main" headerRowCount="0" ref="U4:AB18" displayName="Table_106" name="Table_106" id="106">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 showColumnStripes="0" showFirstColumn="1" showLastColumn="1" showRowStripes="1"/>
</table>
</file>

<file path=xl/tables/table107.xml><?xml version="1.0" encoding="utf-8"?>
<table xmlns="http://schemas.openxmlformats.org/spreadsheetml/2006/main" headerRowCount="0" ref="AD4:AK18" displayName="Table_107" name="Table_107" id="107">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 showColumnStripes="0" showFirstColumn="1" showLastColumn="1" showRowStripes="1"/>
</table>
</file>

<file path=xl/tables/table108.xml><?xml version="1.0" encoding="utf-8"?>
<table xmlns="http://schemas.openxmlformats.org/spreadsheetml/2006/main" headerRowCount="0" ref="AM4:AT18" displayName="Table_108" name="Table_108" id="108">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5" showColumnStripes="0" showFirstColumn="1" showLastColumn="1" showRowStripes="1"/>
</table>
</file>

<file path=xl/tables/table109.xml><?xml version="1.0" encoding="utf-8"?>
<table xmlns="http://schemas.openxmlformats.org/spreadsheetml/2006/main" headerRowCount="0" ref="AV4:BC18" displayName="Table_109" name="Table_109" id="109">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6" showColumnStripes="0" showFirstColumn="1" showLastColumn="1" showRowStripes="1"/>
</table>
</file>

<file path=xl/tables/table110.xml><?xml version="1.0" encoding="utf-8"?>
<table xmlns="http://schemas.openxmlformats.org/spreadsheetml/2006/main" headerRowCount="0" ref="BE4:BL18" displayName="Table_110" name="Table_110" id="110">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7" showColumnStripes="0" showFirstColumn="1" showLastColumn="1" showRowStripes="1"/>
</table>
</file>

<file path=xl/tables/table111.xml><?xml version="1.0" encoding="utf-8"?>
<table xmlns="http://schemas.openxmlformats.org/spreadsheetml/2006/main" headerRowCount="0" ref="BN4:BU18" displayName="Table_111" name="Table_111" id="111">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8" showColumnStripes="0" showFirstColumn="1" showLastColumn="1" showRowStripes="1"/>
</table>
</file>

<file path=xl/tables/table112.xml><?xml version="1.0" encoding="utf-8"?>
<table xmlns="http://schemas.openxmlformats.org/spreadsheetml/2006/main" headerRowCount="0" ref="BW4:CD18" displayName="Table_112" name="Table_112" id="112">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9" showColumnStripes="0" showFirstColumn="1" showLastColumn="1" showRowStripes="1"/>
</table>
</file>

<file path=xl/tables/table113.xml><?xml version="1.0" encoding="utf-8"?>
<table xmlns="http://schemas.openxmlformats.org/spreadsheetml/2006/main" headerRowCount="0" ref="CF4:CM18" displayName="Table_113" name="Table_113" id="113">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0" showColumnStripes="0" showFirstColumn="1" showLastColumn="1" showRowStripes="1"/>
</table>
</file>

<file path=xl/tables/table114.xml><?xml version="1.0" encoding="utf-8"?>
<table xmlns="http://schemas.openxmlformats.org/spreadsheetml/2006/main" headerRowCount="0" ref="CO4:CV18" displayName="Table_114" name="Table_114" id="11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1" showColumnStripes="0" showFirstColumn="1" showLastColumn="1" showRowStripes="1"/>
</table>
</file>

<file path=xl/tables/table115.xml><?xml version="1.0" encoding="utf-8"?>
<table xmlns="http://schemas.openxmlformats.org/spreadsheetml/2006/main" headerRowCount="0" ref="CX4:DE18" displayName="Table_115" name="Table_115" id="115">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2" showColumnStripes="0" showFirstColumn="1" showLastColumn="1" showRowStripes="1"/>
</table>
</file>

<file path=xl/tables/table116.xml><?xml version="1.0" encoding="utf-8"?>
<table xmlns="http://schemas.openxmlformats.org/spreadsheetml/2006/main" headerRowCount="0" ref="DG4:DN18" displayName="Table_116" name="Table_116" id="116">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3" showColumnStripes="0" showFirstColumn="1" showLastColumn="1" showRowStripes="1"/>
</table>
</file>

<file path=xl/tables/table117.xml><?xml version="1.0" encoding="utf-8"?>
<table xmlns="http://schemas.openxmlformats.org/spreadsheetml/2006/main" headerRowCount="0" ref="DP4:DW18" displayName="Table_117" name="Table_117" id="117">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4" showColumnStripes="0" showFirstColumn="1" showLastColumn="1" showRowStripes="1"/>
</table>
</file>

<file path=xl/tables/table118.xml><?xml version="1.0" encoding="utf-8"?>
<table xmlns="http://schemas.openxmlformats.org/spreadsheetml/2006/main" headerRowCount="0" ref="DY4:EF18" displayName="Table_118" name="Table_118" id="118">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5" showColumnStripes="0" showFirstColumn="1" showLastColumn="1" showRowStripes="1"/>
</table>
</file>

<file path=xl/tables/table119.xml><?xml version="1.0" encoding="utf-8"?>
<table xmlns="http://schemas.openxmlformats.org/spreadsheetml/2006/main" headerRowCount="0" ref="EH4:EO18" displayName="Table_119" name="Table_119" id="119">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6" showColumnStripes="0" showFirstColumn="1" showLastColumn="1" showRowStripes="1"/>
</table>
</file>

<file path=xl/tables/table120.xml><?xml version="1.0" encoding="utf-8"?>
<table xmlns="http://schemas.openxmlformats.org/spreadsheetml/2006/main" headerRowCount="0" ref="EQ4:EX18" displayName="Table_120" name="Table_120" id="120">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7" showColumnStripes="0" showFirstColumn="1" showLastColumn="1" showRowStripes="1"/>
</table>
</file>

<file path=xl/tables/table121.xml><?xml version="1.0" encoding="utf-8"?>
<table xmlns="http://schemas.openxmlformats.org/spreadsheetml/2006/main" headerRowCount="0" ref="EZ4:FG18" displayName="Table_121" name="Table_121" id="121">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8" showColumnStripes="0" showFirstColumn="1" showLastColumn="1" showRowStripes="1"/>
</table>
</file>

<file path=xl/tables/table122.xml><?xml version="1.0" encoding="utf-8"?>
<table xmlns="http://schemas.openxmlformats.org/spreadsheetml/2006/main" headerRowCount="0" ref="FI4:FP18" displayName="Table_122" name="Table_122" id="122">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19" showColumnStripes="0" showFirstColumn="1" showLastColumn="1" showRowStripes="1"/>
</table>
</file>

<file path=xl/tables/table123.xml><?xml version="1.0" encoding="utf-8"?>
<table xmlns="http://schemas.openxmlformats.org/spreadsheetml/2006/main" headerRowCount="0" ref="FR4:FY18" displayName="Table_123" name="Table_123" id="123">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0" showColumnStripes="0" showFirstColumn="1" showLastColumn="1" showRowStripes="1"/>
</table>
</file>

<file path=xl/tables/table124.xml><?xml version="1.0" encoding="utf-8"?>
<table xmlns="http://schemas.openxmlformats.org/spreadsheetml/2006/main" headerRowCount="0" ref="GA4:GH18" displayName="Table_124" name="Table_124" id="12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1" showColumnStripes="0" showFirstColumn="1" showLastColumn="1" showRowStripes="1"/>
</table>
</file>

<file path=xl/tables/table125.xml><?xml version="1.0" encoding="utf-8"?>
<table xmlns="http://schemas.openxmlformats.org/spreadsheetml/2006/main" headerRowCount="0" ref="GJ4:GQ18" displayName="Table_125" name="Table_125" id="125">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2" showColumnStripes="0" showFirstColumn="1" showLastColumn="1" showRowStripes="1"/>
</table>
</file>

<file path=xl/tables/table126.xml><?xml version="1.0" encoding="utf-8"?>
<table xmlns="http://schemas.openxmlformats.org/spreadsheetml/2006/main" headerRowCount="0" ref="GS4:GZ18" displayName="Table_126" name="Table_126" id="126">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3" showColumnStripes="0" showFirstColumn="1" showLastColumn="1" showRowStripes="1"/>
</table>
</file>

<file path=xl/tables/table127.xml><?xml version="1.0" encoding="utf-8"?>
<table xmlns="http://schemas.openxmlformats.org/spreadsheetml/2006/main" headerRowCount="0" ref="HB4:HI18" displayName="Table_127" name="Table_127" id="127">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4" showColumnStripes="0" showFirstColumn="1" showLastColumn="1" showRowStripes="1"/>
</table>
</file>

<file path=xl/tables/table128.xml><?xml version="1.0" encoding="utf-8"?>
<table xmlns="http://schemas.openxmlformats.org/spreadsheetml/2006/main" headerRowCount="0" ref="HK4:HR18" displayName="Table_128" name="Table_128" id="128">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5" showColumnStripes="0" showFirstColumn="1" showLastColumn="1" showRowStripes="1"/>
</table>
</file>

<file path=xl/tables/table129.xml><?xml version="1.0" encoding="utf-8"?>
<table xmlns="http://schemas.openxmlformats.org/spreadsheetml/2006/main" headerRowCount="0" ref="HT4:IA18" displayName="Table_129" name="Table_129" id="129">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6" showColumnStripes="0" showFirstColumn="1" showLastColumn="1" showRowStripes="1"/>
</table>
</file>

<file path=xl/tables/table130.xml><?xml version="1.0" encoding="utf-8"?>
<table xmlns="http://schemas.openxmlformats.org/spreadsheetml/2006/main" headerRowCount="0" ref="IC4:IJ18" displayName="Table_130" name="Table_130" id="130">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7" showColumnStripes="0" showFirstColumn="1" showLastColumn="1" showRowStripes="1"/>
</table>
</file>

<file path=xl/tables/table131.xml><?xml version="1.0" encoding="utf-8"?>
<table xmlns="http://schemas.openxmlformats.org/spreadsheetml/2006/main" headerRowCount="0" ref="IL4:IS18" displayName="Table_131" name="Table_131" id="131">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8" showColumnStripes="0" showFirstColumn="1" showLastColumn="1" showRowStripes="1"/>
</table>
</file>

<file path=xl/tables/table132.xml><?xml version="1.0" encoding="utf-8"?>
<table xmlns="http://schemas.openxmlformats.org/spreadsheetml/2006/main" headerRowCount="0" ref="IU4:JB18" displayName="Table_132" name="Table_132" id="132">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29" showColumnStripes="0" showFirstColumn="1" showLastColumn="1" showRowStripes="1"/>
</table>
</file>

<file path=xl/tables/table133.xml><?xml version="1.0" encoding="utf-8"?>
<table xmlns="http://schemas.openxmlformats.org/spreadsheetml/2006/main" headerRowCount="0" ref="JD4:JK18" displayName="Table_133" name="Table_133" id="133">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0" showColumnStripes="0" showFirstColumn="1" showLastColumn="1" showRowStripes="1"/>
</table>
</file>

<file path=xl/tables/table134.xml><?xml version="1.0" encoding="utf-8"?>
<table xmlns="http://schemas.openxmlformats.org/spreadsheetml/2006/main" headerRowCount="0" ref="JM4:JT18" displayName="Table_134" name="Table_134" id="13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1" showColumnStripes="0" showFirstColumn="1" showLastColumn="1" showRowStripes="1"/>
</table>
</file>

<file path=xl/tables/table135.xml><?xml version="1.0" encoding="utf-8"?>
<table xmlns="http://schemas.openxmlformats.org/spreadsheetml/2006/main" headerRowCount="0" ref="JV4:KC18" displayName="Table_135" name="Table_135" id="135">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2" showColumnStripes="0" showFirstColumn="1" showLastColumn="1" showRowStripes="1"/>
</table>
</file>

<file path=xl/tables/table136.xml><?xml version="1.0" encoding="utf-8"?>
<table xmlns="http://schemas.openxmlformats.org/spreadsheetml/2006/main" headerRowCount="0" ref="KE4:KL18" displayName="Table_136" name="Table_136" id="136">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3" showColumnStripes="0" showFirstColumn="1" showLastColumn="1" showRowStripes="1"/>
</table>
</file>

<file path=xl/tables/table137.xml><?xml version="1.0" encoding="utf-8"?>
<table xmlns="http://schemas.openxmlformats.org/spreadsheetml/2006/main" headerRowCount="0" ref="KN4:KU19" displayName="Table_137" name="Table_137" id="137">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4" showColumnStripes="0" showFirstColumn="1" showLastColumn="1" showRowStripes="1"/>
</table>
</file>

<file path=xl/tables/table138.xml><?xml version="1.0" encoding="utf-8"?>
<table xmlns="http://schemas.openxmlformats.org/spreadsheetml/2006/main" headerRowCount="0" ref="KW4:LD18" displayName="Table_138" name="Table_138" id="138">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5" showColumnStripes="0" showFirstColumn="1" showLastColumn="1" showRowStripes="1"/>
</table>
</file>

<file path=xl/tables/table139.xml><?xml version="1.0" encoding="utf-8"?>
<table xmlns="http://schemas.openxmlformats.org/spreadsheetml/2006/main" headerRowCount="0" ref="LF4:LM18" displayName="Table_139" name="Table_139" id="139">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6" showColumnStripes="0" showFirstColumn="1" showLastColumn="1" showRowStripes="1"/>
</table>
</file>

<file path=xl/tables/table140.xml><?xml version="1.0" encoding="utf-8"?>
<table xmlns="http://schemas.openxmlformats.org/spreadsheetml/2006/main" headerRowCount="0" ref="LO4:LV18" displayName="Table_140" name="Table_140" id="140">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7" showColumnStripes="0" showFirstColumn="1" showLastColumn="1" showRowStripes="1"/>
</table>
</file>

<file path=xl/tables/table141.xml><?xml version="1.0" encoding="utf-8"?>
<table xmlns="http://schemas.openxmlformats.org/spreadsheetml/2006/main" headerRowCount="0" ref="LX4:ME18" displayName="Table_141" name="Table_141" id="141">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8" showColumnStripes="0" showFirstColumn="1" showLastColumn="1" showRowStripes="1"/>
</table>
</file>

<file path=xl/tables/table142.xml><?xml version="1.0" encoding="utf-8"?>
<table xmlns="http://schemas.openxmlformats.org/spreadsheetml/2006/main" headerRowCount="0" ref="MG4:MN18" displayName="Table_142" name="Table_142" id="142">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39" showColumnStripes="0" showFirstColumn="1" showLastColumn="1" showRowStripes="1"/>
</table>
</file>

<file path=xl/tables/table143.xml><?xml version="1.0" encoding="utf-8"?>
<table xmlns="http://schemas.openxmlformats.org/spreadsheetml/2006/main" headerRowCount="0" ref="MP4:MW18" displayName="Table_143" name="Table_143" id="143">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0" showColumnStripes="0" showFirstColumn="1" showLastColumn="1" showRowStripes="1"/>
</table>
</file>

<file path=xl/tables/table144.xml><?xml version="1.0" encoding="utf-8"?>
<table xmlns="http://schemas.openxmlformats.org/spreadsheetml/2006/main" headerRowCount="0" ref="MY4:NF18" displayName="Table_144" name="Table_144" id="14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1" showColumnStripes="0" showFirstColumn="1" showLastColumn="1" showRowStripes="1"/>
</table>
</file>

<file path=xl/tables/table145.xml><?xml version="1.0" encoding="utf-8"?>
<table xmlns="http://schemas.openxmlformats.org/spreadsheetml/2006/main" headerRowCount="0" ref="NH4:NO18" displayName="Table_145" name="Table_145" id="145">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2" showColumnStripes="0" showFirstColumn="1" showLastColumn="1" showRowStripes="1"/>
</table>
</file>

<file path=xl/tables/table146.xml><?xml version="1.0" encoding="utf-8"?>
<table xmlns="http://schemas.openxmlformats.org/spreadsheetml/2006/main" headerRowCount="0" ref="NQ4:NX18" displayName="Table_146" name="Table_146" id="146">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3" showColumnStripes="0" showFirstColumn="1" showLastColumn="1" showRowStripes="1"/>
</table>
</file>

<file path=xl/tables/table147.xml><?xml version="1.0" encoding="utf-8"?>
<table xmlns="http://schemas.openxmlformats.org/spreadsheetml/2006/main" headerRowCount="0" ref="NZ4:OG18" displayName="Table_147" name="Table_147" id="147">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4" showColumnStripes="0" showFirstColumn="1" showLastColumn="1" showRowStripes="1"/>
</table>
</file>

<file path=xl/tables/table148.xml><?xml version="1.0" encoding="utf-8"?>
<table xmlns="http://schemas.openxmlformats.org/spreadsheetml/2006/main" headerRowCount="0" ref="OI4:OP19" displayName="Table_148" name="Table_148" id="148">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5" showColumnStripes="0" showFirstColumn="1" showLastColumn="1" showRowStripes="1"/>
</table>
</file>

<file path=xl/tables/table149.xml><?xml version="1.0" encoding="utf-8"?>
<table xmlns="http://schemas.openxmlformats.org/spreadsheetml/2006/main" headerRowCount="0" ref="OR4:OY18" displayName="Table_149" name="Table_149" id="149">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6" showColumnStripes="0" showFirstColumn="1" showLastColumn="1" showRowStripes="1"/>
</table>
</file>

<file path=xl/tables/table150.xml><?xml version="1.0" encoding="utf-8"?>
<table xmlns="http://schemas.openxmlformats.org/spreadsheetml/2006/main" headerRowCount="0" ref="PA4:PH18" displayName="Table_150" name="Table_150" id="150">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7" showColumnStripes="0" showFirstColumn="1" showLastColumn="1" showRowStripes="1"/>
</table>
</file>

<file path=xl/tables/table151.xml><?xml version="1.0" encoding="utf-8"?>
<table xmlns="http://schemas.openxmlformats.org/spreadsheetml/2006/main" headerRowCount="0" ref="PJ4:PQ18" displayName="Table_151" name="Table_151" id="151">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8" showColumnStripes="0" showFirstColumn="1" showLastColumn="1" showRowStripes="1"/>
</table>
</file>

<file path=xl/tables/table152.xml><?xml version="1.0" encoding="utf-8"?>
<table xmlns="http://schemas.openxmlformats.org/spreadsheetml/2006/main" headerRowCount="0" ref="PS4:PZ18" displayName="Table_152" name="Table_152" id="152">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49" showColumnStripes="0" showFirstColumn="1" showLastColumn="1" showRowStripes="1"/>
</table>
</file>

<file path=xl/tables/table153.xml><?xml version="1.0" encoding="utf-8"?>
<table xmlns="http://schemas.openxmlformats.org/spreadsheetml/2006/main" headerRowCount="0" ref="QB4:QI18" displayName="Table_153" name="Table_153" id="153">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50" showColumnStripes="0" showFirstColumn="1" showLastColumn="1" showRowStripes="1"/>
</table>
</file>

<file path=xl/tables/table154.xml><?xml version="1.0" encoding="utf-8"?>
<table xmlns="http://schemas.openxmlformats.org/spreadsheetml/2006/main" headerRowCount="0" ref="QK4:QR18" displayName="Table_154" name="Table_154" id="154">
  <tableColumns count="8">
    <tableColumn name="Column1" id="1"/>
    <tableColumn name="Column2" id="2"/>
    <tableColumn name="Column3" id="3"/>
    <tableColumn name="Column4" id="4"/>
    <tableColumn name="Column5" id="5"/>
    <tableColumn name="Column6" id="6"/>
    <tableColumn name="Column7" id="7"/>
    <tableColumn name="Column8" id="8"/>
  </tableColumns>
  <tableStyleInfo name="Habits-style 51" showColumnStripes="0" showFirstColumn="1" showLastColumn="1" showRowStripes="1"/>
</table>
</file>

<file path=xl/tables/table155.xml><?xml version="1.0" encoding="utf-8"?>
<table xmlns="http://schemas.openxmlformats.org/spreadsheetml/2006/main" headerRowCount="0" ref="QT4:RC18" displayName="Table_155" name="Table_155" id="1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Habits-style 5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50" Type="http://schemas.openxmlformats.org/officeDocument/2006/relationships/table" Target="../tables/table57.xml"/><Relationship Id="rId1" Type="http://schemas.openxmlformats.org/officeDocument/2006/relationships/drawing" Target="../drawings/drawing1.xml"/><Relationship Id="rId107" Type="http://schemas.openxmlformats.org/officeDocument/2006/relationships/table" Target="../tables/table14.xml"/><Relationship Id="rId106" Type="http://schemas.openxmlformats.org/officeDocument/2006/relationships/table" Target="../tables/table13.xml"/><Relationship Id="rId105" Type="http://schemas.openxmlformats.org/officeDocument/2006/relationships/table" Target="../tables/table12.xml"/><Relationship Id="rId149" Type="http://schemas.openxmlformats.org/officeDocument/2006/relationships/table" Target="../tables/table56.xml"/><Relationship Id="rId104" Type="http://schemas.openxmlformats.org/officeDocument/2006/relationships/table" Target="../tables/table11.xml"/><Relationship Id="rId148" Type="http://schemas.openxmlformats.org/officeDocument/2006/relationships/table" Target="../tables/table55.xml"/><Relationship Id="rId109" Type="http://schemas.openxmlformats.org/officeDocument/2006/relationships/table" Target="../tables/table16.xml"/><Relationship Id="rId108" Type="http://schemas.openxmlformats.org/officeDocument/2006/relationships/table" Target="../tables/table15.xm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85" Type="http://schemas.openxmlformats.org/officeDocument/2006/relationships/table" Target="../tables/table92.xml"/><Relationship Id="rId140" Type="http://schemas.openxmlformats.org/officeDocument/2006/relationships/table" Target="../tables/table47.xml"/><Relationship Id="rId184" Type="http://schemas.openxmlformats.org/officeDocument/2006/relationships/table" Target="../tables/table91.xml"/><Relationship Id="rId103" Type="http://schemas.openxmlformats.org/officeDocument/2006/relationships/table" Target="../tables/table10.xml"/><Relationship Id="rId147" Type="http://schemas.openxmlformats.org/officeDocument/2006/relationships/table" Target="../tables/table54.xml"/><Relationship Id="rId102" Type="http://schemas.openxmlformats.org/officeDocument/2006/relationships/table" Target="../tables/table9.xml"/><Relationship Id="rId146" Type="http://schemas.openxmlformats.org/officeDocument/2006/relationships/table" Target="../tables/table53.xml"/><Relationship Id="rId101" Type="http://schemas.openxmlformats.org/officeDocument/2006/relationships/table" Target="../tables/table8.xml"/><Relationship Id="rId145" Type="http://schemas.openxmlformats.org/officeDocument/2006/relationships/table" Target="../tables/table52.xml"/><Relationship Id="rId100" Type="http://schemas.openxmlformats.org/officeDocument/2006/relationships/table" Target="../tables/table7.xml"/><Relationship Id="rId144" Type="http://schemas.openxmlformats.org/officeDocument/2006/relationships/table" Target="../tables/table51.xml"/><Relationship Id="rId183" Type="http://schemas.openxmlformats.org/officeDocument/2006/relationships/table" Target="../tables/table90.xml"/><Relationship Id="rId182" Type="http://schemas.openxmlformats.org/officeDocument/2006/relationships/table" Target="../tables/table89.xml"/><Relationship Id="rId181" Type="http://schemas.openxmlformats.org/officeDocument/2006/relationships/table" Target="../tables/table88.xml"/><Relationship Id="rId180" Type="http://schemas.openxmlformats.org/officeDocument/2006/relationships/table" Target="../tables/table8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2" Type="http://schemas.openxmlformats.org/officeDocument/2006/relationships/table" Target="../tables/table39.xml"/><Relationship Id="rId176" Type="http://schemas.openxmlformats.org/officeDocument/2006/relationships/table" Target="../tables/table83.xml"/><Relationship Id="rId131" Type="http://schemas.openxmlformats.org/officeDocument/2006/relationships/table" Target="../tables/table38.xml"/><Relationship Id="rId175" Type="http://schemas.openxmlformats.org/officeDocument/2006/relationships/table" Target="../tables/table82.xml"/><Relationship Id="rId130" Type="http://schemas.openxmlformats.org/officeDocument/2006/relationships/table" Target="../tables/table37.xml"/><Relationship Id="rId174" Type="http://schemas.openxmlformats.org/officeDocument/2006/relationships/table" Target="../tables/table81.xml"/><Relationship Id="rId173" Type="http://schemas.openxmlformats.org/officeDocument/2006/relationships/table" Target="../tables/table80.xml"/><Relationship Id="rId136" Type="http://schemas.openxmlformats.org/officeDocument/2006/relationships/table" Target="../tables/table43.xml"/><Relationship Id="rId135" Type="http://schemas.openxmlformats.org/officeDocument/2006/relationships/table" Target="../tables/table42.xml"/><Relationship Id="rId179" Type="http://schemas.openxmlformats.org/officeDocument/2006/relationships/table" Target="../tables/table86.xml"/><Relationship Id="rId134" Type="http://schemas.openxmlformats.org/officeDocument/2006/relationships/table" Target="../tables/table41.xml"/><Relationship Id="rId178" Type="http://schemas.openxmlformats.org/officeDocument/2006/relationships/table" Target="../tables/table85.xml"/><Relationship Id="rId133" Type="http://schemas.openxmlformats.org/officeDocument/2006/relationships/table" Target="../tables/table40.xml"/><Relationship Id="rId177" Type="http://schemas.openxmlformats.org/officeDocument/2006/relationships/table" Target="../tables/table84.xml"/><Relationship Id="rId172" Type="http://schemas.openxmlformats.org/officeDocument/2006/relationships/table" Target="../tables/table79.xml"/><Relationship Id="rId171" Type="http://schemas.openxmlformats.org/officeDocument/2006/relationships/table" Target="../tables/table78.xml"/><Relationship Id="rId170" Type="http://schemas.openxmlformats.org/officeDocument/2006/relationships/table" Target="../tables/table77.xml"/><Relationship Id="rId129" Type="http://schemas.openxmlformats.org/officeDocument/2006/relationships/table" Target="../tables/table36.xml"/><Relationship Id="rId128" Type="http://schemas.openxmlformats.org/officeDocument/2006/relationships/table" Target="../tables/table35.xml"/><Relationship Id="rId127" Type="http://schemas.openxmlformats.org/officeDocument/2006/relationships/table" Target="../tables/table34.xml"/><Relationship Id="rId126" Type="http://schemas.openxmlformats.org/officeDocument/2006/relationships/table" Target="../tables/table33.xml"/><Relationship Id="rId121" Type="http://schemas.openxmlformats.org/officeDocument/2006/relationships/table" Target="../tables/table28.xml"/><Relationship Id="rId165" Type="http://schemas.openxmlformats.org/officeDocument/2006/relationships/table" Target="../tables/table72.xml"/><Relationship Id="rId120" Type="http://schemas.openxmlformats.org/officeDocument/2006/relationships/table" Target="../tables/table27.xml"/><Relationship Id="rId164" Type="http://schemas.openxmlformats.org/officeDocument/2006/relationships/table" Target="../tables/table71.xml"/><Relationship Id="rId163" Type="http://schemas.openxmlformats.org/officeDocument/2006/relationships/table" Target="../tables/table70.xml"/><Relationship Id="rId162" Type="http://schemas.openxmlformats.org/officeDocument/2006/relationships/table" Target="../tables/table69.xml"/><Relationship Id="rId125" Type="http://schemas.openxmlformats.org/officeDocument/2006/relationships/table" Target="../tables/table32.xml"/><Relationship Id="rId169" Type="http://schemas.openxmlformats.org/officeDocument/2006/relationships/table" Target="../tables/table76.xml"/><Relationship Id="rId124" Type="http://schemas.openxmlformats.org/officeDocument/2006/relationships/table" Target="../tables/table31.xml"/><Relationship Id="rId168" Type="http://schemas.openxmlformats.org/officeDocument/2006/relationships/table" Target="../tables/table75.xml"/><Relationship Id="rId123" Type="http://schemas.openxmlformats.org/officeDocument/2006/relationships/table" Target="../tables/table30.xml"/><Relationship Id="rId167" Type="http://schemas.openxmlformats.org/officeDocument/2006/relationships/table" Target="../tables/table74.xml"/><Relationship Id="rId122" Type="http://schemas.openxmlformats.org/officeDocument/2006/relationships/table" Target="../tables/table29.xml"/><Relationship Id="rId166" Type="http://schemas.openxmlformats.org/officeDocument/2006/relationships/table" Target="../tables/table73.xml"/><Relationship Id="rId95" Type="http://schemas.openxmlformats.org/officeDocument/2006/relationships/table" Target="../tables/table2.xml"/><Relationship Id="rId94" Type="http://schemas.openxmlformats.org/officeDocument/2006/relationships/table" Target="../tables/table1.xml"/><Relationship Id="rId97" Type="http://schemas.openxmlformats.org/officeDocument/2006/relationships/table" Target="../tables/table4.xml"/><Relationship Id="rId96" Type="http://schemas.openxmlformats.org/officeDocument/2006/relationships/table" Target="../tables/table3.xml"/><Relationship Id="rId99" Type="http://schemas.openxmlformats.org/officeDocument/2006/relationships/table" Target="../tables/table6.xml"/><Relationship Id="rId161" Type="http://schemas.openxmlformats.org/officeDocument/2006/relationships/table" Target="../tables/table68.xml"/><Relationship Id="rId98" Type="http://schemas.openxmlformats.org/officeDocument/2006/relationships/table" Target="../tables/table5.xml"/><Relationship Id="rId160" Type="http://schemas.openxmlformats.org/officeDocument/2006/relationships/table" Target="../tables/table67.xml"/><Relationship Id="rId118" Type="http://schemas.openxmlformats.org/officeDocument/2006/relationships/table" Target="../tables/table25.xml"/><Relationship Id="rId117" Type="http://schemas.openxmlformats.org/officeDocument/2006/relationships/table" Target="../tables/table24.xml"/><Relationship Id="rId116" Type="http://schemas.openxmlformats.org/officeDocument/2006/relationships/table" Target="../tables/table23.xml"/><Relationship Id="rId115" Type="http://schemas.openxmlformats.org/officeDocument/2006/relationships/table" Target="../tables/table22.xml"/><Relationship Id="rId159" Type="http://schemas.openxmlformats.org/officeDocument/2006/relationships/table" Target="../tables/table66.xml"/><Relationship Id="rId119" Type="http://schemas.openxmlformats.org/officeDocument/2006/relationships/table" Target="../tables/table26.xml"/><Relationship Id="rId110" Type="http://schemas.openxmlformats.org/officeDocument/2006/relationships/table" Target="../tables/table17.xml"/><Relationship Id="rId154" Type="http://schemas.openxmlformats.org/officeDocument/2006/relationships/table" Target="../tables/table61.xml"/><Relationship Id="rId153" Type="http://schemas.openxmlformats.org/officeDocument/2006/relationships/table" Target="../tables/table60.xml"/><Relationship Id="rId152" Type="http://schemas.openxmlformats.org/officeDocument/2006/relationships/table" Target="../tables/table59.xml"/><Relationship Id="rId151" Type="http://schemas.openxmlformats.org/officeDocument/2006/relationships/table" Target="../tables/table58.xml"/><Relationship Id="rId114" Type="http://schemas.openxmlformats.org/officeDocument/2006/relationships/table" Target="../tables/table21.xml"/><Relationship Id="rId158" Type="http://schemas.openxmlformats.org/officeDocument/2006/relationships/table" Target="../tables/table65.xml"/><Relationship Id="rId113" Type="http://schemas.openxmlformats.org/officeDocument/2006/relationships/table" Target="../tables/table20.xml"/><Relationship Id="rId157" Type="http://schemas.openxmlformats.org/officeDocument/2006/relationships/table" Target="../tables/table64.xml"/><Relationship Id="rId112" Type="http://schemas.openxmlformats.org/officeDocument/2006/relationships/table" Target="../tables/table19.xml"/><Relationship Id="rId156" Type="http://schemas.openxmlformats.org/officeDocument/2006/relationships/table" Target="../tables/table63.xml"/><Relationship Id="rId111" Type="http://schemas.openxmlformats.org/officeDocument/2006/relationships/table" Target="../tables/table18.xml"/><Relationship Id="rId155" Type="http://schemas.openxmlformats.org/officeDocument/2006/relationships/table" Target="../tables/table62.xml"/></Relationships>
</file>

<file path=xl/worksheets/_rels/sheet2.xml.rels><?xml version="1.0" encoding="UTF-8" standalone="yes"?><Relationships xmlns="http://schemas.openxmlformats.org/package/2006/relationships"><Relationship Id="rId1" Type="http://schemas.openxmlformats.org/officeDocument/2006/relationships/hyperlink" Target="https://linktr.ee/bodyunbound" TargetMode="External"/><Relationship Id="rId2" Type="http://schemas.openxmlformats.org/officeDocument/2006/relationships/drawing" Target="../drawings/drawing2.xml"/><Relationship Id="rId6" Type="http://schemas.openxmlformats.org/officeDocument/2006/relationships/table" Target="../tables/table93.xml"/><Relationship Id="rId7" Type="http://schemas.openxmlformats.org/officeDocument/2006/relationships/table" Target="../tables/table94.xml"/><Relationship Id="rId8" Type="http://schemas.openxmlformats.org/officeDocument/2006/relationships/table" Target="../tables/table95.xml"/></Relationships>
</file>

<file path=xl/worksheets/_rels/sheet3.xml.rels><?xml version="1.0" encoding="UTF-8" standalone="yes"?><Relationships xmlns="http://schemas.openxmlformats.org/package/2006/relationships"><Relationship Id="rId1" Type="http://schemas.openxmlformats.org/officeDocument/2006/relationships/hyperlink" Target="https://linktr.ee/bodyunbound" TargetMode="External"/><Relationship Id="rId2" Type="http://schemas.openxmlformats.org/officeDocument/2006/relationships/drawing" Target="../drawings/drawing3.xml"/><Relationship Id="rId4" Type="http://schemas.openxmlformats.org/officeDocument/2006/relationships/table" Target="../tables/table96.xml"/></Relationships>
</file>

<file path=xl/worksheets/_rels/sheet4.xml.rels><?xml version="1.0" encoding="UTF-8" standalone="yes"?><Relationships xmlns="http://schemas.openxmlformats.org/package/2006/relationships"><Relationship Id="rId1" Type="http://schemas.openxmlformats.org/officeDocument/2006/relationships/hyperlink" Target="https://linktr.ee/bodyunbound" TargetMode="External"/><Relationship Id="rId2" Type="http://schemas.openxmlformats.org/officeDocument/2006/relationships/drawing" Target="../drawings/drawing4.xml"/><Relationship Id="rId9" Type="http://schemas.openxmlformats.org/officeDocument/2006/relationships/table" Target="../tables/table99.xml"/><Relationship Id="rId7" Type="http://schemas.openxmlformats.org/officeDocument/2006/relationships/table" Target="../tables/table97.xml"/><Relationship Id="rId8" Type="http://schemas.openxmlformats.org/officeDocument/2006/relationships/table" Target="../tables/table98.xml"/><Relationship Id="rId10" Type="http://schemas.openxmlformats.org/officeDocument/2006/relationships/table" Target="../tables/table100.xml"/></Relationships>
</file>

<file path=xl/worksheets/_rels/sheet5.xml.rels><?xml version="1.0" encoding="UTF-8" standalone="yes"?><Relationships xmlns="http://schemas.openxmlformats.org/package/2006/relationships"><Relationship Id="rId1" Type="http://schemas.openxmlformats.org/officeDocument/2006/relationships/hyperlink" Target="https://linktr.ee/bodyunbound" TargetMode="External"/><Relationship Id="rId2" Type="http://schemas.openxmlformats.org/officeDocument/2006/relationships/hyperlink" Target="https://imgur.com/upload" TargetMode="External"/><Relationship Id="rId3" Type="http://schemas.openxmlformats.org/officeDocument/2006/relationships/hyperlink" Target="https://imgur.com/a/sGVA64g" TargetMode="External"/><Relationship Id="rId4" Type="http://schemas.openxmlformats.org/officeDocument/2006/relationships/hyperlink" Target="https://imgur.com/a/OZp7GKX" TargetMode="External"/><Relationship Id="rId9" Type="http://schemas.openxmlformats.org/officeDocument/2006/relationships/table" Target="../tables/table101.xml"/><Relationship Id="rId5" Type="http://schemas.openxmlformats.org/officeDocument/2006/relationships/drawing" Target="../drawings/drawing5.xml"/><Relationship Id="rId11" Type="http://schemas.openxmlformats.org/officeDocument/2006/relationships/table" Target="../tables/table103.xml"/><Relationship Id="rId10" Type="http://schemas.openxmlformats.org/officeDocument/2006/relationships/table" Target="../tables/table102.xml"/></Relationships>
</file>

<file path=xl/worksheets/_rels/sheet6.xml.rels><?xml version="1.0" encoding="UTF-8" standalone="yes"?><Relationships xmlns="http://schemas.openxmlformats.org/package/2006/relationships"><Relationship Id="rId84" Type="http://schemas.openxmlformats.org/officeDocument/2006/relationships/table" Target="../tables/table134.xml"/><Relationship Id="rId83" Type="http://schemas.openxmlformats.org/officeDocument/2006/relationships/table" Target="../tables/table133.xml"/><Relationship Id="rId86" Type="http://schemas.openxmlformats.org/officeDocument/2006/relationships/table" Target="../tables/table136.xml"/><Relationship Id="rId85" Type="http://schemas.openxmlformats.org/officeDocument/2006/relationships/table" Target="../tables/table135.xml"/><Relationship Id="rId88" Type="http://schemas.openxmlformats.org/officeDocument/2006/relationships/table" Target="../tables/table138.xml"/><Relationship Id="rId87" Type="http://schemas.openxmlformats.org/officeDocument/2006/relationships/table" Target="../tables/table137.xml"/><Relationship Id="rId89" Type="http://schemas.openxmlformats.org/officeDocument/2006/relationships/table" Target="../tables/table139.xml"/><Relationship Id="rId80" Type="http://schemas.openxmlformats.org/officeDocument/2006/relationships/table" Target="../tables/table130.xml"/><Relationship Id="rId82" Type="http://schemas.openxmlformats.org/officeDocument/2006/relationships/table" Target="../tables/table132.xml"/><Relationship Id="rId81" Type="http://schemas.openxmlformats.org/officeDocument/2006/relationships/table" Target="../tables/table131.xml"/><Relationship Id="rId1" Type="http://schemas.openxmlformats.org/officeDocument/2006/relationships/drawing" Target="../drawings/drawing6.xml"/><Relationship Id="rId105" Type="http://schemas.openxmlformats.org/officeDocument/2006/relationships/table" Target="../tables/table155.xml"/><Relationship Id="rId104" Type="http://schemas.openxmlformats.org/officeDocument/2006/relationships/table" Target="../tables/table154.xml"/><Relationship Id="rId103" Type="http://schemas.openxmlformats.org/officeDocument/2006/relationships/table" Target="../tables/table153.xml"/><Relationship Id="rId102" Type="http://schemas.openxmlformats.org/officeDocument/2006/relationships/table" Target="../tables/table152.xml"/><Relationship Id="rId101" Type="http://schemas.openxmlformats.org/officeDocument/2006/relationships/table" Target="../tables/table151.xml"/><Relationship Id="rId100" Type="http://schemas.openxmlformats.org/officeDocument/2006/relationships/table" Target="../tables/table150.xml"/><Relationship Id="rId73" Type="http://schemas.openxmlformats.org/officeDocument/2006/relationships/table" Target="../tables/table123.xml"/><Relationship Id="rId72" Type="http://schemas.openxmlformats.org/officeDocument/2006/relationships/table" Target="../tables/table122.xml"/><Relationship Id="rId75" Type="http://schemas.openxmlformats.org/officeDocument/2006/relationships/table" Target="../tables/table125.xml"/><Relationship Id="rId74" Type="http://schemas.openxmlformats.org/officeDocument/2006/relationships/table" Target="../tables/table124.xml"/><Relationship Id="rId77" Type="http://schemas.openxmlformats.org/officeDocument/2006/relationships/table" Target="../tables/table127.xml"/><Relationship Id="rId76" Type="http://schemas.openxmlformats.org/officeDocument/2006/relationships/table" Target="../tables/table126.xml"/><Relationship Id="rId79" Type="http://schemas.openxmlformats.org/officeDocument/2006/relationships/table" Target="../tables/table129.xml"/><Relationship Id="rId78" Type="http://schemas.openxmlformats.org/officeDocument/2006/relationships/table" Target="../tables/table128.xml"/><Relationship Id="rId71" Type="http://schemas.openxmlformats.org/officeDocument/2006/relationships/table" Target="../tables/table121.xml"/><Relationship Id="rId70" Type="http://schemas.openxmlformats.org/officeDocument/2006/relationships/table" Target="../tables/table120.xml"/><Relationship Id="rId62" Type="http://schemas.openxmlformats.org/officeDocument/2006/relationships/table" Target="../tables/table112.xml"/><Relationship Id="rId61" Type="http://schemas.openxmlformats.org/officeDocument/2006/relationships/table" Target="../tables/table111.xml"/><Relationship Id="rId64" Type="http://schemas.openxmlformats.org/officeDocument/2006/relationships/table" Target="../tables/table114.xml"/><Relationship Id="rId63" Type="http://schemas.openxmlformats.org/officeDocument/2006/relationships/table" Target="../tables/table113.xml"/><Relationship Id="rId66" Type="http://schemas.openxmlformats.org/officeDocument/2006/relationships/table" Target="../tables/table116.xml"/><Relationship Id="rId65" Type="http://schemas.openxmlformats.org/officeDocument/2006/relationships/table" Target="../tables/table115.xml"/><Relationship Id="rId68" Type="http://schemas.openxmlformats.org/officeDocument/2006/relationships/table" Target="../tables/table118.xml"/><Relationship Id="rId67" Type="http://schemas.openxmlformats.org/officeDocument/2006/relationships/table" Target="../tables/table117.xml"/><Relationship Id="rId60" Type="http://schemas.openxmlformats.org/officeDocument/2006/relationships/table" Target="../tables/table110.xml"/><Relationship Id="rId69" Type="http://schemas.openxmlformats.org/officeDocument/2006/relationships/table" Target="../tables/table119.xml"/><Relationship Id="rId95" Type="http://schemas.openxmlformats.org/officeDocument/2006/relationships/table" Target="../tables/table145.xml"/><Relationship Id="rId94" Type="http://schemas.openxmlformats.org/officeDocument/2006/relationships/table" Target="../tables/table144.xml"/><Relationship Id="rId97" Type="http://schemas.openxmlformats.org/officeDocument/2006/relationships/table" Target="../tables/table147.xml"/><Relationship Id="rId96" Type="http://schemas.openxmlformats.org/officeDocument/2006/relationships/table" Target="../tables/table146.xml"/><Relationship Id="rId55" Type="http://schemas.openxmlformats.org/officeDocument/2006/relationships/table" Target="../tables/table105.xml"/><Relationship Id="rId99" Type="http://schemas.openxmlformats.org/officeDocument/2006/relationships/table" Target="../tables/table149.xml"/><Relationship Id="rId54" Type="http://schemas.openxmlformats.org/officeDocument/2006/relationships/table" Target="../tables/table104.xml"/><Relationship Id="rId98" Type="http://schemas.openxmlformats.org/officeDocument/2006/relationships/table" Target="../tables/table148.xml"/><Relationship Id="rId57" Type="http://schemas.openxmlformats.org/officeDocument/2006/relationships/table" Target="../tables/table107.xml"/><Relationship Id="rId56" Type="http://schemas.openxmlformats.org/officeDocument/2006/relationships/table" Target="../tables/table106.xml"/><Relationship Id="rId91" Type="http://schemas.openxmlformats.org/officeDocument/2006/relationships/table" Target="../tables/table141.xml"/><Relationship Id="rId90" Type="http://schemas.openxmlformats.org/officeDocument/2006/relationships/table" Target="../tables/table140.xml"/><Relationship Id="rId93" Type="http://schemas.openxmlformats.org/officeDocument/2006/relationships/table" Target="../tables/table143.xml"/><Relationship Id="rId92" Type="http://schemas.openxmlformats.org/officeDocument/2006/relationships/table" Target="../tables/table142.xml"/><Relationship Id="rId59" Type="http://schemas.openxmlformats.org/officeDocument/2006/relationships/table" Target="../tables/table109.xml"/><Relationship Id="rId58" Type="http://schemas.openxmlformats.org/officeDocument/2006/relationships/table" Target="../tables/table10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outlineLevelCol="1" outlineLevelRow="1"/>
  <cols>
    <col customWidth="1" min="1" max="1" width="28.71"/>
    <col customWidth="1" min="2" max="2" width="4.43"/>
    <col customWidth="1" min="3" max="9" width="7.29" outlineLevel="1"/>
    <col customWidth="1" min="10" max="10" width="4.43"/>
    <col customWidth="1" min="11" max="13" width="7.29" outlineLevel="1"/>
    <col customWidth="1" min="14" max="14" width="4.86" outlineLevel="1"/>
    <col customWidth="1" min="15" max="17" width="7.29" outlineLevel="1"/>
    <col collapsed="1" customWidth="1" min="18" max="18" width="4.43"/>
    <col customWidth="1" hidden="1" min="19" max="21" width="7.29" outlineLevel="1"/>
    <col customWidth="1" hidden="1" min="22" max="22" width="4.86" outlineLevel="1"/>
    <col customWidth="1" hidden="1" min="23" max="25" width="7.29" outlineLevel="1"/>
    <col collapsed="1" customWidth="1" min="26" max="26" width="4.43"/>
    <col customWidth="1" hidden="1" min="27" max="29" width="7.29" outlineLevel="1"/>
    <col customWidth="1" hidden="1" min="30" max="30" width="4.86" outlineLevel="1"/>
    <col customWidth="1" hidden="1" min="31" max="33" width="7.29" outlineLevel="1"/>
    <col collapsed="1" customWidth="1" min="34" max="34" width="4.43"/>
    <col customWidth="1" hidden="1" min="35" max="37" width="7.29" outlineLevel="1"/>
    <col customWidth="1" hidden="1" min="38" max="38" width="4.86" outlineLevel="1"/>
    <col customWidth="1" hidden="1" min="39" max="41" width="7.29" outlineLevel="1"/>
    <col collapsed="1" customWidth="1" min="42" max="42" width="4.43"/>
    <col customWidth="1" hidden="1" min="43" max="46" width="7.29" outlineLevel="1"/>
    <col collapsed="1" customWidth="1" min="47" max="47" width="4.43"/>
    <col customWidth="1" hidden="1" min="48" max="50" width="7.29" outlineLevel="1"/>
    <col customWidth="1" hidden="1" min="51" max="51" width="4.86" outlineLevel="1"/>
    <col customWidth="1" hidden="1" min="52" max="54" width="7.29" outlineLevel="1"/>
    <col collapsed="1" customWidth="1" min="55" max="55" width="4.43"/>
    <col customWidth="1" hidden="1" min="56" max="58" width="7.29" outlineLevel="1"/>
    <col customWidth="1" hidden="1" min="59" max="59" width="4.86" outlineLevel="1"/>
    <col customWidth="1" hidden="1" min="60" max="62" width="7.29" outlineLevel="1"/>
    <col collapsed="1" customWidth="1" min="63" max="63" width="4.43"/>
    <col customWidth="1" hidden="1" min="64" max="66" width="7.29" outlineLevel="1"/>
    <col customWidth="1" hidden="1" min="67" max="67" width="4.86" outlineLevel="1"/>
    <col customWidth="1" hidden="1" min="68" max="70" width="7.29" outlineLevel="1"/>
    <col collapsed="1" customWidth="1" min="71" max="71" width="4.43"/>
    <col customWidth="1" hidden="1" min="72" max="74" width="7.29" outlineLevel="1"/>
    <col customWidth="1" hidden="1" min="75" max="75" width="4.86" outlineLevel="1"/>
    <col customWidth="1" hidden="1" min="76" max="78" width="7.29" outlineLevel="1"/>
    <col collapsed="1" customWidth="1" min="79" max="79" width="4.43"/>
    <col customWidth="1" hidden="1" min="80" max="83" width="7.29" outlineLevel="1"/>
    <col collapsed="1" customWidth="1" min="84" max="84" width="4.43"/>
    <col customWidth="1" hidden="1" min="85" max="87" width="7.29" outlineLevel="1"/>
    <col customWidth="1" hidden="1" min="88" max="88" width="4.86" outlineLevel="1"/>
    <col customWidth="1" hidden="1" min="89" max="91" width="7.29" outlineLevel="1"/>
    <col collapsed="1" customWidth="1" min="92" max="92" width="4.43"/>
    <col customWidth="1" hidden="1" min="93" max="95" width="7.29" outlineLevel="1"/>
    <col customWidth="1" hidden="1" min="96" max="96" width="4.86" outlineLevel="1"/>
    <col customWidth="1" hidden="1" min="97" max="99" width="7.29" outlineLevel="1"/>
    <col collapsed="1" customWidth="1" min="100" max="100" width="4.43"/>
    <col customWidth="1" hidden="1" min="101" max="103" width="7.29" outlineLevel="1"/>
    <col customWidth="1" hidden="1" min="104" max="104" width="4.86" outlineLevel="1"/>
    <col customWidth="1" hidden="1" min="105" max="107" width="7.29" outlineLevel="1"/>
    <col collapsed="1" customWidth="1" min="108" max="108" width="4.43"/>
    <col customWidth="1" hidden="1" min="109" max="111" width="7.29" outlineLevel="1"/>
    <col customWidth="1" hidden="1" min="112" max="112" width="4.86" outlineLevel="1"/>
    <col customWidth="1" hidden="1" min="113" max="115" width="7.29" outlineLevel="1"/>
    <col collapsed="1" customWidth="1" min="116" max="116" width="4.43"/>
    <col customWidth="1" hidden="1" min="117" max="120" width="7.29" outlineLevel="1"/>
    <col collapsed="1" customWidth="1" min="121" max="121" width="4.43"/>
    <col customWidth="1" hidden="1" min="122" max="124" width="7.29" outlineLevel="1"/>
    <col customWidth="1" hidden="1" min="125" max="125" width="4.86" outlineLevel="1"/>
    <col customWidth="1" hidden="1" min="126" max="128" width="7.29" outlineLevel="1"/>
    <col collapsed="1" customWidth="1" min="129" max="129" width="4.43"/>
    <col customWidth="1" hidden="1" min="130" max="132" width="7.29" outlineLevel="1"/>
    <col customWidth="1" hidden="1" min="133" max="133" width="4.86" outlineLevel="1"/>
    <col customWidth="1" hidden="1" min="134" max="136" width="7.29" outlineLevel="1"/>
    <col collapsed="1" customWidth="1" min="137" max="137" width="4.43"/>
    <col customWidth="1" hidden="1" min="138" max="140" width="7.29" outlineLevel="1"/>
    <col customWidth="1" hidden="1" min="141" max="141" width="4.86" outlineLevel="1"/>
    <col customWidth="1" hidden="1" min="142" max="144" width="7.29" outlineLevel="1"/>
    <col collapsed="1" customWidth="1" min="145" max="145" width="4.43"/>
    <col customWidth="1" hidden="1" min="146" max="148" width="7.29" outlineLevel="1"/>
    <col customWidth="1" hidden="1" min="149" max="149" width="4.86" outlineLevel="1"/>
    <col customWidth="1" hidden="1" min="150" max="152" width="7.29" outlineLevel="1"/>
    <col collapsed="1" customWidth="1" min="153" max="153" width="4.43"/>
    <col customWidth="1" hidden="1" min="154" max="157" width="7.29" outlineLevel="1"/>
    <col customWidth="1" min="158" max="158" width="0.86"/>
    <col customWidth="1" min="159" max="159" width="7.29"/>
  </cols>
  <sheetData>
    <row r="1" ht="15.0" customHeight="1">
      <c r="A1" s="1" t="s">
        <v>0</v>
      </c>
      <c r="B1" s="2"/>
      <c r="C1" s="3" t="s">
        <v>1</v>
      </c>
      <c r="D1" s="4"/>
      <c r="E1" s="4"/>
      <c r="F1" s="4"/>
      <c r="G1" s="4"/>
      <c r="H1" s="4"/>
      <c r="I1" s="5"/>
      <c r="J1" s="6"/>
      <c r="K1" s="3" t="s">
        <v>2</v>
      </c>
      <c r="L1" s="4"/>
      <c r="M1" s="4"/>
      <c r="N1" s="4"/>
      <c r="O1" s="4"/>
      <c r="P1" s="4"/>
      <c r="Q1" s="5"/>
      <c r="R1" s="2"/>
      <c r="S1" s="7" t="s">
        <v>3</v>
      </c>
      <c r="T1" s="8"/>
      <c r="U1" s="8"/>
      <c r="V1" s="8"/>
      <c r="W1" s="8"/>
      <c r="X1" s="8"/>
      <c r="Y1" s="9"/>
      <c r="Z1" s="2"/>
      <c r="AA1" s="7" t="s">
        <v>4</v>
      </c>
      <c r="AB1" s="8"/>
      <c r="AC1" s="8"/>
      <c r="AD1" s="8"/>
      <c r="AE1" s="8"/>
      <c r="AF1" s="8"/>
      <c r="AG1" s="9"/>
      <c r="AH1" s="2"/>
      <c r="AI1" s="7" t="s">
        <v>5</v>
      </c>
      <c r="AJ1" s="8"/>
      <c r="AK1" s="8"/>
      <c r="AL1" s="8"/>
      <c r="AM1" s="8"/>
      <c r="AN1" s="8"/>
      <c r="AO1" s="9"/>
      <c r="AP1" s="10"/>
      <c r="AQ1" s="7" t="s">
        <v>6</v>
      </c>
      <c r="AR1" s="8"/>
      <c r="AS1" s="8"/>
      <c r="AT1" s="9"/>
      <c r="AU1" s="2"/>
      <c r="AV1" s="11" t="s">
        <v>7</v>
      </c>
      <c r="AW1" s="4"/>
      <c r="AX1" s="4"/>
      <c r="AY1" s="4"/>
      <c r="AZ1" s="4"/>
      <c r="BA1" s="4"/>
      <c r="BB1" s="5"/>
      <c r="BC1" s="2"/>
      <c r="BD1" s="7" t="s">
        <v>8</v>
      </c>
      <c r="BE1" s="8"/>
      <c r="BF1" s="8"/>
      <c r="BG1" s="8"/>
      <c r="BH1" s="8"/>
      <c r="BI1" s="8"/>
      <c r="BJ1" s="9"/>
      <c r="BK1" s="2"/>
      <c r="BL1" s="7" t="s">
        <v>9</v>
      </c>
      <c r="BM1" s="8"/>
      <c r="BN1" s="8"/>
      <c r="BO1" s="8"/>
      <c r="BP1" s="8"/>
      <c r="BQ1" s="8"/>
      <c r="BR1" s="9"/>
      <c r="BS1" s="2"/>
      <c r="BT1" s="7" t="s">
        <v>10</v>
      </c>
      <c r="BU1" s="8"/>
      <c r="BV1" s="8"/>
      <c r="BW1" s="8"/>
      <c r="BX1" s="8"/>
      <c r="BY1" s="8"/>
      <c r="BZ1" s="9"/>
      <c r="CA1" s="10"/>
      <c r="CB1" s="7" t="s">
        <v>6</v>
      </c>
      <c r="CC1" s="8"/>
      <c r="CD1" s="8"/>
      <c r="CE1" s="9"/>
      <c r="CF1" s="2"/>
      <c r="CG1" s="7" t="s">
        <v>11</v>
      </c>
      <c r="CH1" s="8"/>
      <c r="CI1" s="8"/>
      <c r="CJ1" s="8"/>
      <c r="CK1" s="8"/>
      <c r="CL1" s="8"/>
      <c r="CM1" s="9"/>
      <c r="CN1" s="2"/>
      <c r="CO1" s="7" t="s">
        <v>12</v>
      </c>
      <c r="CP1" s="8"/>
      <c r="CQ1" s="8"/>
      <c r="CR1" s="8"/>
      <c r="CS1" s="8"/>
      <c r="CT1" s="8"/>
      <c r="CU1" s="9"/>
      <c r="CV1" s="2"/>
      <c r="CW1" s="7" t="s">
        <v>13</v>
      </c>
      <c r="CX1" s="8"/>
      <c r="CY1" s="8"/>
      <c r="CZ1" s="8"/>
      <c r="DA1" s="8"/>
      <c r="DB1" s="8"/>
      <c r="DC1" s="9"/>
      <c r="DD1" s="2"/>
      <c r="DE1" s="7" t="s">
        <v>14</v>
      </c>
      <c r="DF1" s="8"/>
      <c r="DG1" s="8"/>
      <c r="DH1" s="8"/>
      <c r="DI1" s="8"/>
      <c r="DJ1" s="8"/>
      <c r="DK1" s="9"/>
      <c r="DL1" s="10"/>
      <c r="DM1" s="7" t="s">
        <v>6</v>
      </c>
      <c r="DN1" s="8"/>
      <c r="DO1" s="8"/>
      <c r="DP1" s="9"/>
      <c r="DQ1" s="2"/>
      <c r="DR1" s="7" t="s">
        <v>15</v>
      </c>
      <c r="DS1" s="8"/>
      <c r="DT1" s="8"/>
      <c r="DU1" s="8"/>
      <c r="DV1" s="8"/>
      <c r="DW1" s="8"/>
      <c r="DX1" s="9"/>
      <c r="DY1" s="2"/>
      <c r="DZ1" s="7" t="s">
        <v>16</v>
      </c>
      <c r="EA1" s="8"/>
      <c r="EB1" s="8"/>
      <c r="EC1" s="8"/>
      <c r="ED1" s="8"/>
      <c r="EE1" s="8"/>
      <c r="EF1" s="9"/>
      <c r="EG1" s="2"/>
      <c r="EH1" s="7" t="s">
        <v>17</v>
      </c>
      <c r="EI1" s="8"/>
      <c r="EJ1" s="8"/>
      <c r="EK1" s="8"/>
      <c r="EL1" s="8"/>
      <c r="EM1" s="8"/>
      <c r="EN1" s="9"/>
      <c r="EO1" s="2"/>
      <c r="EP1" s="7" t="s">
        <v>18</v>
      </c>
      <c r="EQ1" s="8"/>
      <c r="ER1" s="8"/>
      <c r="ES1" s="8"/>
      <c r="ET1" s="8"/>
      <c r="EU1" s="8"/>
      <c r="EV1" s="9"/>
      <c r="EW1" s="10"/>
      <c r="EX1" s="7" t="s">
        <v>6</v>
      </c>
      <c r="EY1" s="8"/>
      <c r="EZ1" s="8"/>
      <c r="FA1" s="9"/>
      <c r="FB1" s="12"/>
      <c r="FC1" s="13"/>
    </row>
    <row r="2" ht="33.75" customHeight="1">
      <c r="A2" s="14"/>
      <c r="B2" s="15"/>
      <c r="C2" s="16" t="s">
        <v>19</v>
      </c>
      <c r="D2" s="17" t="s">
        <v>20</v>
      </c>
      <c r="E2" s="17" t="s">
        <v>21</v>
      </c>
      <c r="F2" s="17" t="s">
        <v>22</v>
      </c>
      <c r="G2" s="17" t="s">
        <v>23</v>
      </c>
      <c r="H2" s="17" t="s">
        <v>24</v>
      </c>
      <c r="I2" s="18" t="s">
        <v>25</v>
      </c>
      <c r="J2" s="19"/>
      <c r="K2" s="16" t="s">
        <v>26</v>
      </c>
      <c r="L2" s="17" t="s">
        <v>27</v>
      </c>
      <c r="M2" s="17" t="s">
        <v>28</v>
      </c>
      <c r="N2" s="20" t="b">
        <v>0</v>
      </c>
      <c r="O2" s="17" t="s">
        <v>29</v>
      </c>
      <c r="P2" s="17" t="s">
        <v>30</v>
      </c>
      <c r="Q2" s="18" t="s">
        <v>25</v>
      </c>
      <c r="R2" s="19"/>
      <c r="S2" s="16" t="s">
        <v>26</v>
      </c>
      <c r="T2" s="17" t="s">
        <v>27</v>
      </c>
      <c r="U2" s="17" t="s">
        <v>28</v>
      </c>
      <c r="V2" s="20" t="b">
        <v>1</v>
      </c>
      <c r="W2" s="17" t="s">
        <v>29</v>
      </c>
      <c r="X2" s="17" t="s">
        <v>30</v>
      </c>
      <c r="Y2" s="18" t="s">
        <v>25</v>
      </c>
      <c r="Z2" s="19"/>
      <c r="AA2" s="16" t="s">
        <v>26</v>
      </c>
      <c r="AB2" s="17" t="s">
        <v>27</v>
      </c>
      <c r="AC2" s="17" t="s">
        <v>28</v>
      </c>
      <c r="AD2" s="20" t="b">
        <v>1</v>
      </c>
      <c r="AE2" s="17" t="s">
        <v>29</v>
      </c>
      <c r="AF2" s="17" t="s">
        <v>30</v>
      </c>
      <c r="AG2" s="18" t="s">
        <v>25</v>
      </c>
      <c r="AH2" s="19"/>
      <c r="AI2" s="16" t="s">
        <v>26</v>
      </c>
      <c r="AJ2" s="17" t="s">
        <v>27</v>
      </c>
      <c r="AK2" s="17" t="s">
        <v>28</v>
      </c>
      <c r="AL2" s="20" t="b">
        <v>1</v>
      </c>
      <c r="AM2" s="17" t="s">
        <v>29</v>
      </c>
      <c r="AN2" s="17" t="s">
        <v>30</v>
      </c>
      <c r="AO2" s="18" t="s">
        <v>25</v>
      </c>
      <c r="AP2" s="19"/>
      <c r="AQ2" s="16" t="s">
        <v>26</v>
      </c>
      <c r="AR2" s="17" t="s">
        <v>27</v>
      </c>
      <c r="AS2" s="17" t="s">
        <v>28</v>
      </c>
      <c r="AT2" s="17" t="s">
        <v>30</v>
      </c>
      <c r="AU2" s="19"/>
      <c r="AV2" s="16" t="s">
        <v>26</v>
      </c>
      <c r="AW2" s="17" t="s">
        <v>27</v>
      </c>
      <c r="AX2" s="17" t="s">
        <v>28</v>
      </c>
      <c r="AY2" s="20" t="b">
        <v>1</v>
      </c>
      <c r="AZ2" s="17" t="s">
        <v>29</v>
      </c>
      <c r="BA2" s="17" t="s">
        <v>30</v>
      </c>
      <c r="BB2" s="18" t="s">
        <v>25</v>
      </c>
      <c r="BC2" s="19"/>
      <c r="BD2" s="16" t="s">
        <v>26</v>
      </c>
      <c r="BE2" s="17" t="s">
        <v>27</v>
      </c>
      <c r="BF2" s="17" t="s">
        <v>28</v>
      </c>
      <c r="BG2" s="20" t="b">
        <v>1</v>
      </c>
      <c r="BH2" s="17" t="s">
        <v>29</v>
      </c>
      <c r="BI2" s="17" t="s">
        <v>30</v>
      </c>
      <c r="BJ2" s="18" t="s">
        <v>25</v>
      </c>
      <c r="BK2" s="19"/>
      <c r="BL2" s="16" t="s">
        <v>26</v>
      </c>
      <c r="BM2" s="17" t="s">
        <v>27</v>
      </c>
      <c r="BN2" s="17" t="s">
        <v>28</v>
      </c>
      <c r="BO2" s="20" t="b">
        <v>1</v>
      </c>
      <c r="BP2" s="17" t="s">
        <v>29</v>
      </c>
      <c r="BQ2" s="17" t="s">
        <v>30</v>
      </c>
      <c r="BR2" s="18" t="s">
        <v>25</v>
      </c>
      <c r="BS2" s="19"/>
      <c r="BT2" s="16" t="s">
        <v>26</v>
      </c>
      <c r="BU2" s="17" t="s">
        <v>27</v>
      </c>
      <c r="BV2" s="17" t="s">
        <v>28</v>
      </c>
      <c r="BW2" s="20" t="b">
        <v>1</v>
      </c>
      <c r="BX2" s="17" t="s">
        <v>29</v>
      </c>
      <c r="BY2" s="17" t="s">
        <v>30</v>
      </c>
      <c r="BZ2" s="18" t="s">
        <v>25</v>
      </c>
      <c r="CA2" s="19"/>
      <c r="CB2" s="16" t="s">
        <v>26</v>
      </c>
      <c r="CC2" s="17" t="s">
        <v>27</v>
      </c>
      <c r="CD2" s="17" t="s">
        <v>28</v>
      </c>
      <c r="CE2" s="17" t="s">
        <v>30</v>
      </c>
      <c r="CF2" s="19"/>
      <c r="CG2" s="16" t="s">
        <v>26</v>
      </c>
      <c r="CH2" s="17" t="s">
        <v>27</v>
      </c>
      <c r="CI2" s="17" t="s">
        <v>28</v>
      </c>
      <c r="CJ2" s="20" t="b">
        <v>1</v>
      </c>
      <c r="CK2" s="17" t="s">
        <v>29</v>
      </c>
      <c r="CL2" s="17" t="s">
        <v>30</v>
      </c>
      <c r="CM2" s="18" t="s">
        <v>25</v>
      </c>
      <c r="CN2" s="19"/>
      <c r="CO2" s="16" t="s">
        <v>26</v>
      </c>
      <c r="CP2" s="17" t="s">
        <v>27</v>
      </c>
      <c r="CQ2" s="17" t="s">
        <v>28</v>
      </c>
      <c r="CR2" s="20" t="b">
        <v>1</v>
      </c>
      <c r="CS2" s="17" t="s">
        <v>29</v>
      </c>
      <c r="CT2" s="17" t="s">
        <v>30</v>
      </c>
      <c r="CU2" s="18" t="s">
        <v>25</v>
      </c>
      <c r="CV2" s="19"/>
      <c r="CW2" s="16" t="s">
        <v>26</v>
      </c>
      <c r="CX2" s="17" t="s">
        <v>27</v>
      </c>
      <c r="CY2" s="17" t="s">
        <v>28</v>
      </c>
      <c r="CZ2" s="20" t="b">
        <v>1</v>
      </c>
      <c r="DA2" s="17" t="s">
        <v>29</v>
      </c>
      <c r="DB2" s="17" t="s">
        <v>30</v>
      </c>
      <c r="DC2" s="18" t="s">
        <v>25</v>
      </c>
      <c r="DD2" s="19"/>
      <c r="DE2" s="16" t="s">
        <v>26</v>
      </c>
      <c r="DF2" s="17" t="s">
        <v>27</v>
      </c>
      <c r="DG2" s="17" t="s">
        <v>28</v>
      </c>
      <c r="DH2" s="20" t="b">
        <v>1</v>
      </c>
      <c r="DI2" s="17" t="s">
        <v>29</v>
      </c>
      <c r="DJ2" s="17" t="s">
        <v>30</v>
      </c>
      <c r="DK2" s="18" t="s">
        <v>25</v>
      </c>
      <c r="DL2" s="19"/>
      <c r="DM2" s="16" t="s">
        <v>26</v>
      </c>
      <c r="DN2" s="17" t="s">
        <v>27</v>
      </c>
      <c r="DO2" s="17" t="s">
        <v>28</v>
      </c>
      <c r="DP2" s="17" t="s">
        <v>30</v>
      </c>
      <c r="DQ2" s="19"/>
      <c r="DR2" s="16" t="s">
        <v>26</v>
      </c>
      <c r="DS2" s="17" t="s">
        <v>27</v>
      </c>
      <c r="DT2" s="17" t="s">
        <v>28</v>
      </c>
      <c r="DU2" s="20" t="b">
        <v>1</v>
      </c>
      <c r="DV2" s="17" t="s">
        <v>29</v>
      </c>
      <c r="DW2" s="17" t="s">
        <v>30</v>
      </c>
      <c r="DX2" s="18" t="s">
        <v>25</v>
      </c>
      <c r="DY2" s="19"/>
      <c r="DZ2" s="16" t="s">
        <v>26</v>
      </c>
      <c r="EA2" s="17" t="s">
        <v>27</v>
      </c>
      <c r="EB2" s="17" t="s">
        <v>28</v>
      </c>
      <c r="EC2" s="20" t="b">
        <v>1</v>
      </c>
      <c r="ED2" s="17" t="s">
        <v>29</v>
      </c>
      <c r="EE2" s="17" t="s">
        <v>30</v>
      </c>
      <c r="EF2" s="18" t="s">
        <v>25</v>
      </c>
      <c r="EG2" s="19"/>
      <c r="EH2" s="16" t="s">
        <v>26</v>
      </c>
      <c r="EI2" s="17" t="s">
        <v>27</v>
      </c>
      <c r="EJ2" s="17" t="s">
        <v>28</v>
      </c>
      <c r="EK2" s="20" t="b">
        <v>1</v>
      </c>
      <c r="EL2" s="17" t="s">
        <v>29</v>
      </c>
      <c r="EM2" s="17" t="s">
        <v>30</v>
      </c>
      <c r="EN2" s="18" t="s">
        <v>25</v>
      </c>
      <c r="EO2" s="19"/>
      <c r="EP2" s="16" t="s">
        <v>26</v>
      </c>
      <c r="EQ2" s="17" t="s">
        <v>27</v>
      </c>
      <c r="ER2" s="17" t="s">
        <v>28</v>
      </c>
      <c r="ES2" s="20" t="b">
        <v>1</v>
      </c>
      <c r="ET2" s="17" t="s">
        <v>29</v>
      </c>
      <c r="EU2" s="17" t="s">
        <v>30</v>
      </c>
      <c r="EV2" s="18" t="s">
        <v>25</v>
      </c>
      <c r="EW2" s="19"/>
      <c r="EX2" s="16" t="s">
        <v>26</v>
      </c>
      <c r="EY2" s="17" t="s">
        <v>27</v>
      </c>
      <c r="EZ2" s="17" t="s">
        <v>28</v>
      </c>
      <c r="FA2" s="17" t="s">
        <v>30</v>
      </c>
      <c r="FB2" s="21"/>
      <c r="FC2" s="22"/>
    </row>
    <row r="3">
      <c r="A3" s="23" t="s">
        <v>31</v>
      </c>
      <c r="B3" s="24"/>
      <c r="C3" s="25"/>
      <c r="D3" s="25"/>
      <c r="E3" s="25"/>
      <c r="F3" s="25"/>
      <c r="G3" s="25"/>
      <c r="H3" s="25"/>
      <c r="I3" s="25"/>
      <c r="J3" s="24"/>
      <c r="K3" s="26"/>
      <c r="L3" s="26"/>
      <c r="M3" s="26"/>
      <c r="N3" s="26"/>
      <c r="O3" s="27"/>
      <c r="P3" s="27"/>
      <c r="Q3" s="27"/>
      <c r="R3" s="24"/>
      <c r="S3" s="28"/>
      <c r="T3" s="28"/>
      <c r="U3" s="28"/>
      <c r="V3" s="28"/>
      <c r="W3" s="28"/>
      <c r="X3" s="28"/>
      <c r="Y3" s="28"/>
      <c r="Z3" s="24"/>
      <c r="AA3" s="28"/>
      <c r="AB3" s="28"/>
      <c r="AC3" s="28"/>
      <c r="AD3" s="28"/>
      <c r="AE3" s="28"/>
      <c r="AF3" s="28"/>
      <c r="AG3" s="28"/>
      <c r="AH3" s="24"/>
      <c r="AI3" s="28"/>
      <c r="AJ3" s="28"/>
      <c r="AK3" s="28"/>
      <c r="AL3" s="28"/>
      <c r="AM3" s="28"/>
      <c r="AN3" s="28"/>
      <c r="AO3" s="28"/>
      <c r="AP3" s="29"/>
      <c r="AQ3" s="29"/>
      <c r="AR3" s="29"/>
      <c r="AS3" s="29"/>
      <c r="AT3" s="29"/>
      <c r="AU3" s="24"/>
      <c r="AV3" s="28"/>
      <c r="AW3" s="28"/>
      <c r="AX3" s="28"/>
      <c r="AY3" s="28"/>
      <c r="AZ3" s="28"/>
      <c r="BA3" s="28"/>
      <c r="BB3" s="28"/>
      <c r="BC3" s="24"/>
      <c r="BD3" s="28"/>
      <c r="BE3" s="28"/>
      <c r="BF3" s="28"/>
      <c r="BG3" s="28"/>
      <c r="BH3" s="28"/>
      <c r="BI3" s="28"/>
      <c r="BJ3" s="28"/>
      <c r="BK3" s="24"/>
      <c r="BL3" s="28"/>
      <c r="BM3" s="28"/>
      <c r="BN3" s="28"/>
      <c r="BO3" s="28"/>
      <c r="BP3" s="28"/>
      <c r="BQ3" s="28"/>
      <c r="BR3" s="28"/>
      <c r="BS3" s="24"/>
      <c r="BT3" s="28"/>
      <c r="BU3" s="28"/>
      <c r="BV3" s="28"/>
      <c r="BW3" s="28"/>
      <c r="BX3" s="28"/>
      <c r="BY3" s="28"/>
      <c r="BZ3" s="28"/>
      <c r="CA3" s="29"/>
      <c r="CB3" s="29"/>
      <c r="CC3" s="29"/>
      <c r="CD3" s="29"/>
      <c r="CE3" s="29"/>
      <c r="CF3" s="24"/>
      <c r="CG3" s="28"/>
      <c r="CH3" s="28"/>
      <c r="CI3" s="28"/>
      <c r="CJ3" s="28"/>
      <c r="CK3" s="28"/>
      <c r="CL3" s="28"/>
      <c r="CM3" s="28"/>
      <c r="CN3" s="24"/>
      <c r="CO3" s="28"/>
      <c r="CP3" s="28"/>
      <c r="CQ3" s="28"/>
      <c r="CR3" s="28"/>
      <c r="CS3" s="28"/>
      <c r="CT3" s="28"/>
      <c r="CU3" s="28"/>
      <c r="CV3" s="24"/>
      <c r="CW3" s="28"/>
      <c r="CX3" s="28"/>
      <c r="CY3" s="28"/>
      <c r="CZ3" s="28"/>
      <c r="DA3" s="28"/>
      <c r="DB3" s="28"/>
      <c r="DC3" s="28"/>
      <c r="DD3" s="24"/>
      <c r="DE3" s="28"/>
      <c r="DF3" s="28"/>
      <c r="DG3" s="28"/>
      <c r="DH3" s="28"/>
      <c r="DI3" s="28"/>
      <c r="DJ3" s="28"/>
      <c r="DK3" s="28"/>
      <c r="DL3" s="29"/>
      <c r="DM3" s="29"/>
      <c r="DN3" s="29"/>
      <c r="DO3" s="29"/>
      <c r="DP3" s="29"/>
      <c r="DQ3" s="24"/>
      <c r="DR3" s="28"/>
      <c r="DS3" s="28"/>
      <c r="DT3" s="28"/>
      <c r="DU3" s="28"/>
      <c r="DV3" s="28"/>
      <c r="DW3" s="28"/>
      <c r="DX3" s="28"/>
      <c r="DY3" s="24"/>
      <c r="DZ3" s="28"/>
      <c r="EA3" s="28"/>
      <c r="EB3" s="28"/>
      <c r="EC3" s="28"/>
      <c r="ED3" s="28"/>
      <c r="EE3" s="28"/>
      <c r="EF3" s="28"/>
      <c r="EG3" s="24"/>
      <c r="EH3" s="28"/>
      <c r="EI3" s="28"/>
      <c r="EJ3" s="28"/>
      <c r="EK3" s="28"/>
      <c r="EL3" s="28"/>
      <c r="EM3" s="28"/>
      <c r="EN3" s="28"/>
      <c r="EO3" s="24"/>
      <c r="EP3" s="28"/>
      <c r="EQ3" s="28"/>
      <c r="ER3" s="28"/>
      <c r="ES3" s="28"/>
      <c r="ET3" s="28"/>
      <c r="EU3" s="28"/>
      <c r="EV3" s="28"/>
      <c r="EW3" s="29"/>
      <c r="EX3" s="29"/>
      <c r="EY3" s="29"/>
      <c r="EZ3" s="29"/>
      <c r="FA3" s="29"/>
      <c r="FB3" s="30"/>
      <c r="FC3" s="31"/>
    </row>
    <row r="4" outlineLevel="1">
      <c r="A4" s="32" t="s">
        <v>32</v>
      </c>
      <c r="B4" s="33" t="s">
        <v>1</v>
      </c>
      <c r="C4" s="34">
        <v>4.0</v>
      </c>
      <c r="D4" s="35">
        <v>6.0</v>
      </c>
      <c r="E4" s="34">
        <v>6.0</v>
      </c>
      <c r="F4" s="35">
        <v>12.0</v>
      </c>
      <c r="G4" s="35">
        <v>40.0</v>
      </c>
      <c r="H4" s="36">
        <v>10.0</v>
      </c>
      <c r="I4" s="37" t="s">
        <v>33</v>
      </c>
      <c r="J4" s="38" t="s">
        <v>2</v>
      </c>
      <c r="K4" s="39">
        <f t="shared" ref="K4:K11" si="5">ifs(ISBLANK(I4), C4, I4="Novice 1", C4, I4="Novice 2", C4, I4="Novice 3", C4, I4="Intermediate 2", C4, I4="Intermediate 1", C4, I4="Advanced 2", C4, I4="Advanced 1", C4)</f>
        <v>4</v>
      </c>
      <c r="L4" s="40">
        <f t="shared" ref="L4:L11" si="6">ifs(ISBLANK(I4), E4, I4="Novice 1", E4, I4="Novice 2", E4, I4="Novice 3", E4, I4="Intermediate 2", E4, I4="Intermediate 1", F4, I4="Advanced 2", E4, I4="Advanced 1", F4)</f>
        <v>6</v>
      </c>
      <c r="M4" s="40">
        <f t="shared" ref="M4:M11" si="7">G4</f>
        <v>40</v>
      </c>
      <c r="N4" s="41" t="b">
        <v>0</v>
      </c>
      <c r="O4" s="42" t="s">
        <v>34</v>
      </c>
      <c r="P4" s="43"/>
      <c r="Q4" s="44" t="s">
        <v>33</v>
      </c>
      <c r="R4" s="45" t="s">
        <v>3</v>
      </c>
      <c r="S4" s="39">
        <f t="shared" ref="S4:S9" si="8">IFS((AND(N4=TRUE, O4="Yes")), (ifs(ISBLANK(Q4), K4, Q4="Novice 1", K4, Q4="Novice 2", K4, Q4="Novice 3", K4, Q4="Intermediate 2", K4, Q4="Intermediate 1", K4, Q4="Advanced 2", (IF((K4+(($D4-$C4)/2))&gt;$D4, $C4, (K4+(($D4-$C4)/2)))), Q4="Advanced 1", (IF((K4+(($D4-$C4)/2))&gt;$D4, $C4, (K4+(($D4-$C4)/2)))))), (NOT((AND(N4=TRUE, O4="Yes")))), K4)</f>
        <v>4</v>
      </c>
      <c r="T4" s="46">
        <f t="shared" ref="T4:T9" si="9">IFS((AND(N4=TRUE, O4="Yes")), (IFS(ISBLANK(Q4), L4, Q4="Novice 1", L4, Q4="Novice 2", L4, Q4="Novice 3", L4, Q4="Intermediate 2", (IF((L4+(($F4-$E4)/2))&gt;$F4, $E4, (L4+(($F4-$E4)/2)))), Q4="Intermediate 1", (IF((L4-(($F4-$E4)/2))&lt;$E4, $F4, (L4-(($F4-$E4)/2)))), Q4="Advanced 2", (IF((((($D4-$C4)/2))+K4)&gt;$D4, (IF((L4+(($F4-$E4)/2))&gt;$F4, $E4, (L4+(($F4-$E4)/2)))), L4)), Q4="Advanced 1", (IF((((($D4-$C4)/2))+K4)&gt;$D4, (IF((L4-(($F4-$E4)/2))&lt;$E4, $F4, (L4-(($F4-$E4)/2)))), L4)))), (NOT((AND(N4=TRUE, O4="Yes")))), L4)</f>
        <v>6</v>
      </c>
      <c r="U4" s="40">
        <f>IFERROR(__xludf.DUMMYFUNCTION("IFS((AND(N4=TRUE, O4=""Yes"")), (IFS(ISBLANK(Q4), M4, Q4=""Novice 1"", CEILING((M4*1.05), $H4), Q4=""Novice 2"", CEILING((M4*1.025), $H4), Q4=""Novice 3"", M4+$H4, Q4=""Intermediate 2"", (IF((ISBETWEEN(((((F4-E4)/2))+L4), E4, F4)), M4, M4+$H4)), Q4=""Inte"&amp;"rmediate 1"", (IF((ISBETWEEN((L4-((F4-E4)/2)), E4, F4)), M4+$H4, (FLOOR((M4*0.9875), $H4)))), Q4=""Advanced 2"", (IF(AND(((K4+((D4-C4)/2))&gt;D4), ((L4+((F4-E4)/2))&gt;F4)), M4+$H4, (M4))), Q4=""Advanced 1"", (IFS(T4&lt;L4, M4+$H4, T4=L4, (M4), T4&gt;L4, (FLOOR((M4*0"&amp;".9875), $H4)))))), (AND(F4=TRUE, G4=""No"", N4=TRUE, O4=""No"")), (FLOOR((M4*0.9), $H4)), (NOT((AND(N4=TRUE, O4=""Yes"")))), M4)"),40.0)</f>
        <v>40</v>
      </c>
      <c r="V4" s="41" t="b">
        <v>0</v>
      </c>
      <c r="W4" s="47"/>
      <c r="X4" s="47"/>
      <c r="Y4" s="47" t="str">
        <f t="shared" ref="Y4:Y9" si="10">IF((AND(N4=TRUE, O4="No", V4=TRUE, W4="No")), (IFS(ISBLANK(Q4), Q4, Q4="Novice 1", "Novice 2", Q4="Novice 2", "Novice 3", Q4="Novice 3", "Intermediate 1", Q4="Intermediate 1", "Intermediate 2", Q4="Intermediate 2", "Advanced 1", Q4="Advanced 1", "Advanced 2", Q4="Advanced 2", "Advanced 2")), Q4)</f>
        <v>Advanced 2</v>
      </c>
      <c r="Z4" s="45" t="s">
        <v>4</v>
      </c>
      <c r="AA4" s="39">
        <f t="shared" ref="AA4:AA9" si="11">IFS((AND(V4=TRUE, W4="Yes")), (ifs(ISBLANK(Y4), S4, Y4="Novice 1", S4, Y4="Novice 2", S4, Y4="Novice 3", S4, Y4="Intermediate 2", S4, Y4="Intermediate 1", S4, Y4="Advanced 2", (IF((S4+(($D4-$C4)/2))&gt;$D4, $C4, (S4+(($D4-$C4)/2)))), Y4="Advanced 1", (IF((S4+(($D4-$C4)/2))&gt;$D4, $C4, (S4+(($D4-$C4)/2)))))), (NOT((AND(V4=TRUE, W4="Yes")))), S4)</f>
        <v>4</v>
      </c>
      <c r="AB4" s="46">
        <f t="shared" ref="AB4:AB9" si="12">IFS((AND(V4=TRUE, W4="Yes")), (IFS(ISBLANK(Y4), T4, Y4="Novice 1", T4, Y4="Novice 2", T4, Y4="Novice 3", T4, Y4="Intermediate 2", (IF((T4+(($F4-$E4)/2))&gt;$F4, $E4, (T4+(($F4-$E4)/2)))), Y4="Intermediate 1", (IF((T4-(($F4-$E4)/2))&lt;$E4, $F4, (T4-(($F4-$E4)/2)))), Y4="Advanced 2", (IF((((($D4-$C4)/2))+S4)&gt;$D4, (IF((T4+(($F4-$E4)/2))&gt;$F4, $E4, (T4+(($F4-$E4)/2)))), T4)), Y4="Advanced 1", (IF((((($D4-$C4)/2))+S4)&gt;$D4, (IF((T4-(($F4-$E4)/2))&lt;$E4, $F4, (T4-(($F4-$E4)/2)))), T4)))), (NOT((AND(V4=TRUE, W4="Yes")))), T4)</f>
        <v>6</v>
      </c>
      <c r="AC4" s="40">
        <f>IFERROR(__xludf.DUMMYFUNCTION("IFS((AND(V4=TRUE, W4=""Yes"")), (IFS(ISBLANK(Y4), U4, Y4=""Novice 1"", CEILING((U4*1.05), $H4), Y4=""Novice 2"", CEILING((U4*1.025), $H4), Y4=""Novice 3"", U4+$H4, Y4=""Intermediate 2"", (IF((ISBETWEEN(((((N4-M4)/2))+T4), M4, N4)), U4, U4+$H4)), Y4=""Inte"&amp;"rmediate 1"", (IF((ISBETWEEN((T4-((N4-M4)/2)), M4, N4)), U4+$H4, (FLOOR((U4*0.9875), $H4)))), Y4=""Advanced 2"", (IF(AND(((S4+((L4-K4)/2))&gt;L4), ((T4+((N4-M4)/2))&gt;N4)), U4+$H4, (U4))), Y4=""Advanced 1"", (IFS(AB4&lt;T4, U4+$H4, AB4=T4, (U4), AB4&gt;T4, (FLOOR((U"&amp;"4*0.9875), $H4)))))), (AND(N4=TRUE, O4=""No"", V4=TRUE, W4=""No"")), (FLOOR((U4*0.9), $H4)), (NOT((AND(V4=TRUE, W4=""Yes"")))), U4)"),40.0)</f>
        <v>40</v>
      </c>
      <c r="AD4" s="41" t="b">
        <v>0</v>
      </c>
      <c r="AE4" s="47"/>
      <c r="AF4" s="47"/>
      <c r="AG4" s="47" t="str">
        <f t="shared" ref="AG4:AG9" si="13">IF((AND(V4=TRUE, W4="No", AD4=TRUE, AE4="No")), (IFS(ISBLANK(Y4), Y4, Y4="Novice 1", "Novice 2", Y4="Novice 2", "Novice 3", Y4="Novice 3", "Intermediate 1", Y4="Intermediate 1", "Intermediate 2", Y4="Intermediate 2", "Advanced 1", Y4="Advanced 1", "Advanced 2", Y4="Advanced 2", "Advanced 2")), Y4)</f>
        <v>Advanced 2</v>
      </c>
      <c r="AH4" s="45" t="s">
        <v>5</v>
      </c>
      <c r="AI4" s="48">
        <f t="shared" ref="AI4:AI9" si="14">IFS((AND(AD4=TRUE, AE4="Yes")), (ifs(ISBLANK(AG4), AA4, AG4="Novice 1", AA4, AG4="Novice 2", AA4, AG4="Novice 3", AA4, AG4="Intermediate 2", AA4, AG4="Intermediate 1", AA4, AG4="Advanced 2", (IF((AA4+(($D4-$C4)/2))&gt;$D4, $C4, (AA4+(($D4-$C4)/2)))), AG4="Advanced 1", (IF((AA4+(($D4-$C4)/2))&gt;$D4, $C4, (AA4+(($D4-$C4)/2)))))), (NOT((AND(AD4=TRUE, AE4="Yes")))), AA4)</f>
        <v>4</v>
      </c>
      <c r="AJ4" s="49">
        <f t="shared" ref="AJ4:AJ9" si="15">IFS((AND(AD4=TRUE, AE4="Yes")), (IFS(ISBLANK(AG4), AB4, AG4="Novice 1", AB4, AG4="Novice 2", AB4, AG4="Novice 3", AB4, AG4="Intermediate 2", (IF((AB4+(($F4-$E4)/2))&gt;$F4, $E4, (AB4+(($F4-$E4)/2)))), AG4="Intermediate 1", (IF((AB4-(($F4-$E4)/2))&lt;$E4, $F4, (AB4-(($F4-$E4)/2)))), AG4="Advanced 2", (IF((((($D4-$C4)/2))+AA4)&gt;$D4, (IF((AB4+(($F4-$E4)/2))&gt;$F4, $E4, (AB4+(($F4-$E4)/2)))), AB4)), AG4="Advanced 1", (IF((((($D4-$C4)/2))+AA4)&gt;$D4, (IF((AB4-(($F4-$E4)/2))&lt;$E4, $F4, (AB4-(($F4-$E4)/2)))), AB4)))), (NOT((AND(AD4=TRUE, AE4="Yes")))), AB4)</f>
        <v>6</v>
      </c>
      <c r="AK4" s="50">
        <f>IFERROR(__xludf.DUMMYFUNCTION("IFS((AND(AD4=TRUE, AE4=""Yes"")), (IFS(ISBLANK(AG4), AC4, AG4=""Novice 1"", CEILING((AC4*1.05), $H4), AG4=""Novice 2"", CEILING((AC4*1.025), $H4), AG4=""Novice 3"", AC4+$H4, AG4=""Intermediate 2"", (IF((ISBETWEEN(((((V4-U4)/2))+AB4), U4, V4)), AC4, AC4+$H"&amp;"4)), AG4=""Intermediate 1"", (IF((ISBETWEEN((AB4-((V4-U4)/2)), U4, V4)), AC4+$H4, (FLOOR((AC4*0.9875), $H4)))), AG4=""Advanced 2"", (IF(AND(((AA4+((T4-S4)/2))&gt;T4), ((AB4+((V4-U4)/2))&gt;V4)), AC4+$H4, (AC4))), AG4=""Advanced 1"", (IFS(AJ4&lt;AB4, AC4+$H4, AJ4=A"&amp;"B4, (AC4), AJ4&gt;AB4, (FLOOR((AC4*0.9875), $H4)))))), (AND(V4=TRUE, W4=""No"", AD4=TRUE, AE4=""No"")), (FLOOR((AC4*0.9), $H4)), (NOT((AND(AD4=TRUE, AE4=""Yes"")))), AC4)"),40.0)</f>
        <v>40</v>
      </c>
      <c r="AL4" s="51" t="b">
        <v>0</v>
      </c>
      <c r="AM4" s="52"/>
      <c r="AN4" s="52"/>
      <c r="AO4" s="52" t="str">
        <f t="shared" ref="AO4:AO9" si="16">IF((AND(AD4=TRUE, AE4="No", AL4=TRUE, AM4="No")), (IFS(ISBLANK(AG4), AG4, AG4="Novice 1", "Novice 2", AG4="Novice 2", "Novice 3", AG4="Novice 3", "Intermediate 1", AG4="Intermediate 1", "Intermediate 2", AG4="Intermediate 2", "Advanced 1", AG4="Advanced 1", "Advanced 2", AG4="Advanced 2", "Advanced 2")), AG4)</f>
        <v>Advanced 2</v>
      </c>
      <c r="AP4" s="45" t="s">
        <v>6</v>
      </c>
      <c r="AQ4" s="53">
        <f t="shared" ref="AQ4:AR4" si="1">IFERROR(AI4/2,AI4)</f>
        <v>2</v>
      </c>
      <c r="AR4" s="53">
        <f t="shared" si="1"/>
        <v>3</v>
      </c>
      <c r="AS4" s="53">
        <f t="shared" ref="AS4:AS9" si="18">AK4</f>
        <v>40</v>
      </c>
      <c r="AT4" s="54"/>
      <c r="AU4" s="38" t="s">
        <v>7</v>
      </c>
      <c r="AV4" s="39">
        <f t="shared" ref="AV4:AV9" si="19">IFS((AND(AL4=TRUE, AM4="Yes")), (ifs(ISBLANK(AO4), AI4, AO4="Novice 1", AI4, AO4="Novice 2", AI4, AO4="Novice 3", AI4, AO4="Intermediate 2", AI4, AO4="Intermediate 1", AI4, AO4="Advanced 2", (IF((AI4+(($D4-$C4)/2))&gt;$D4, $C4, (AI4+(($D4-$C4)/2)))), AO4="Advanced 1", (IF((AI4+(($D4-$C4)/2))&gt;$D4, $C4, (AI4+(($D4-$C4)/2)))))), (NOT((AND(AL4=TRUE, AM4="Yes")))), AI4)</f>
        <v>4</v>
      </c>
      <c r="AW4" s="46">
        <f t="shared" ref="AW4:AW9" si="20">IFS((AND(AL4=TRUE, AM4="Yes")), (IFS(ISBLANK(AO4), AJ4, AO4="Novice 1", AJ4, AO4="Novice 2", AJ4, AO4="Novice 3", AJ4, AO4="Intermediate 2", (IF((AJ4+(($F4-$E4)/2))&gt;$F4, $E4, (AJ4+(($F4-$E4)/2)))), AO4="Intermediate 1", (IF((AJ4-(($F4-$E4)/2))&lt;$E4, $F4, (AJ4-(($F4-$E4)/2)))), AO4="Advanced 2", (IF((((($D4-$C4)/2))+AI4)&gt;$D4, (IF((AJ4+(($F4-$E4)/2))&gt;$F4, $E4, (AJ4+(($F4-$E4)/2)))), AJ4)), AO4="Advanced 1", (IF((((($D4-$C4)/2))+AI4)&gt;$D4, (IF((AJ4-(($F4-$E4)/2))&lt;$E4, $F4, (AJ4-(($F4-$E4)/2)))), AJ4)))), (NOT((AND(AL4=TRUE, AM4="Yes")))), AJ4)</f>
        <v>6</v>
      </c>
      <c r="AX4" s="40">
        <f>IFERROR(__xludf.DUMMYFUNCTION("IFS((AND(AL4=TRUE, AM4=""Yes"")), (IFS(ISBLANK(AO4), AK4, AO4=""Novice 1"", CEILING((AK4*1.05), $H4), AO4=""Novice 2"", CEILING((AK4*1.025), $H4), AO4=""Novice 3"", AK4+$H4, AO4=""Intermediate 2"", (IF((ISBETWEEN(((((AD4-AC4)/2))+AJ4), AC4, AD4)), AK4, AK"&amp;"4+$H4)), AO4=""Intermediate 1"", (IF((ISBETWEEN((AJ4-((AD4-AC4)/2)), AC4, AD4)), AK4+$H4, (FLOOR((AK4*0.9875), $H4)))), AO4=""Advanced 2"", (IF(AND(((AI4+((AB4-AA4)/2))&gt;AB4), ((AJ4+((AD4-AC4)/2))&gt;AD4)), AK4+$H4, (AK4))), AO4=""Advanced 1"", (IFS(AW4&lt;AJ4, "&amp;"AK4+$H4, AW4=AJ4, (AK4), AW4&gt;AJ4, (FLOOR((AK4*0.9875), $H4)))))), (AND(AD4=TRUE, AE4=""No"", AL4=TRUE, AM4=""No"")), (FLOOR((AK4*0.9), $H4)), (NOT((AND(AL4=TRUE, AM4=""Yes"")))), AK4)"),40.0)</f>
        <v>40</v>
      </c>
      <c r="AY4" s="41" t="b">
        <v>0</v>
      </c>
      <c r="AZ4" s="47"/>
      <c r="BA4" s="47"/>
      <c r="BB4" s="47" t="str">
        <f t="shared" ref="BB4:BB9" si="21">IF((AND(AL4=TRUE, AM4="No", AY4=TRUE, AZ4="No")), (IFS(ISBLANK(AO4), AO4, AO4="Novice 1", "Novice 2", AO4="Novice 2", "Novice 3", AO4="Novice 3", "Intermediate 1", AO4="Intermediate 1", "Intermediate 2", AO4="Intermediate 2", "Advanced 1", AO4="Advanced 1", "Advanced 2", AO4="Advanced 2", "Advanced 2")), AO4)</f>
        <v>Advanced 2</v>
      </c>
      <c r="BC4" s="45" t="s">
        <v>8</v>
      </c>
      <c r="BD4" s="39">
        <f t="shared" ref="BD4:BD9" si="22">IFS((AND(AY4=TRUE, AZ4="Yes")), (ifs(ISBLANK(BB4), AV4, BB4="Novice 1", AV4, BB4="Novice 2", AV4, BB4="Novice 3", AV4, BB4="Intermediate 2", AV4, BB4="Intermediate 1", AV4, BB4="Advanced 2", (IF((AV4+(($D4-$C4)/2))&gt;$D4, $C4, (AV4+(($D4-$C4)/2)))), BB4="Advanced 1", (IF((AV4+(($D4-$C4)/2))&gt;$D4, $C4, (AV4+(($D4-$C4)/2)))))), (NOT((AND(AY4=TRUE, AZ4="Yes")))), AV4)</f>
        <v>4</v>
      </c>
      <c r="BE4" s="46">
        <f t="shared" ref="BE4:BE9" si="23">IFS((AND(AY4=TRUE, AZ4="Yes")), (IFS(ISBLANK(BB4), AW4, BB4="Novice 1", AW4, BB4="Novice 2", AW4, BB4="Novice 3", AW4, BB4="Intermediate 2", (IF((AW4+(($F4-$E4)/2))&gt;$F4, $E4, (AW4+(($F4-$E4)/2)))), BB4="Intermediate 1", (IF((AW4-(($F4-$E4)/2))&lt;$E4, $F4, (AW4-(($F4-$E4)/2)))), BB4="Advanced 2", (IF((((($D4-$C4)/2))+AV4)&gt;$D4, (IF((AW4+(($F4-$E4)/2))&gt;$F4, $E4, (AW4+(($F4-$E4)/2)))), AW4)), BB4="Advanced 1", (IF((((($D4-$C4)/2))+AV4)&gt;$D4, (IF((AW4-(($F4-$E4)/2))&lt;$E4, $F4, (AW4-(($F4-$E4)/2)))), AW4)))), (NOT((AND(AY4=TRUE, AZ4="Yes")))), AW4)</f>
        <v>6</v>
      </c>
      <c r="BF4" s="40">
        <f>IFERROR(__xludf.DUMMYFUNCTION("IFS((AND(AY4=TRUE, AZ4=""Yes"")), (IFS(ISBLANK(BB4), AX4, BB4=""Novice 1"", CEILING((AX4*1.05), $H4), BB4=""Novice 2"", CEILING((AX4*1.025), $H4), BB4=""Novice 3"", AX4+$H4, BB4=""Intermediate 2"", (IF((ISBETWEEN(((((AL4-AK4)/2))+AW4), AK4, AL4)), AX4, AX"&amp;"4+$H4)), BB4=""Intermediate 1"", (IF((ISBETWEEN((AW4-((AL4-AK4)/2)), AK4, AL4)), AX4+$H4, (FLOOR((AX4*0.9875), $H4)))), BB4=""Advanced 2"", (IF(AND(((AV4+((AJ4-AI4)/2))&gt;AJ4), ((AW4+((AL4-AK4)/2))&gt;AL4)), AX4+$H4, (AX4))), BB4=""Advanced 1"", (IFS(BE4&lt;AW4, "&amp;"AX4+$H4, BE4=AW4, (AX4), BE4&gt;AW4, (FLOOR((AX4*0.9875), $H4)))))), (AND(AL4=TRUE, AM4=""No"", AY4=TRUE, AZ4=""No"")), (FLOOR((AX4*0.9), $H4)), (NOT((AND(AY4=TRUE, AZ4=""Yes"")))), AX4)"),40.0)</f>
        <v>40</v>
      </c>
      <c r="BG4" s="41" t="b">
        <v>0</v>
      </c>
      <c r="BH4" s="47"/>
      <c r="BI4" s="47"/>
      <c r="BJ4" s="47" t="str">
        <f t="shared" ref="BJ4:BJ9" si="24">IF((AND(AY4=TRUE, AZ4="No", BG4=TRUE, BH4="No")), (IFS(ISBLANK(BB4), BB4, BB4="Novice 1", "Novice 2", BB4="Novice 2", "Novice 3", BB4="Novice 3", "Intermediate 1", BB4="Intermediate 1", "Intermediate 2", BB4="Intermediate 2", "Advanced 1", BB4="Advanced 1", "Advanced 2", BB4="Advanced 2", "Advanced 2")), BB4)</f>
        <v>Advanced 2</v>
      </c>
      <c r="BK4" s="45" t="s">
        <v>9</v>
      </c>
      <c r="BL4" s="39">
        <f t="shared" ref="BL4:BL9" si="25">IFS((AND(BG4=TRUE, BH4="Yes")), (ifs(ISBLANK(BJ4), BD4, BJ4="Novice 1", BD4, BJ4="Novice 2", BD4, BJ4="Novice 3", BD4, BJ4="Intermediate 2", BD4, BJ4="Intermediate 1", BD4, BJ4="Advanced 2", (IF((BD4+(($D4-$C4)/2))&gt;$D4, $C4, (BD4+(($D4-$C4)/2)))), BJ4="Advanced 1", (IF((BD4+(($D4-$C4)/2))&gt;$D4, $C4, (BD4+(($D4-$C4)/2)))))), (NOT((AND(BG4=TRUE, BH4="Yes")))), BD4)</f>
        <v>4</v>
      </c>
      <c r="BM4" s="46">
        <f t="shared" ref="BM4:BM9" si="26">IFS((AND(BG4=TRUE, BH4="Yes")), (IFS(ISBLANK(BJ4), BE4, BJ4="Novice 1", BE4, BJ4="Novice 2", BE4, BJ4="Novice 3", BE4, BJ4="Intermediate 2", (IF((BE4+(($F4-$E4)/2))&gt;$F4, $E4, (BE4+(($F4-$E4)/2)))), BJ4="Intermediate 1", (IF((BE4-(($F4-$E4)/2))&lt;$E4, $F4, (BE4-(($F4-$E4)/2)))), BJ4="Advanced 2", (IF((((($D4-$C4)/2))+BD4)&gt;$D4, (IF((BE4+(($F4-$E4)/2))&gt;$F4, $E4, (BE4+(($F4-$E4)/2)))), BE4)), BJ4="Advanced 1", (IF((((($D4-$C4)/2))+BD4)&gt;$D4, (IF((BE4-(($F4-$E4)/2))&lt;$E4, $F4, (BE4-(($F4-$E4)/2)))), BE4)))), (NOT((AND(BG4=TRUE, BH4="Yes")))), BE4)</f>
        <v>6</v>
      </c>
      <c r="BN4" s="40">
        <f>IFERROR(__xludf.DUMMYFUNCTION("IFS((AND(BG4=TRUE, BH4=""Yes"")), (IFS(ISBLANK(BJ4), BF4, BJ4=""Novice 1"", CEILING((BF4*1.05), $H4), BJ4=""Novice 2"", CEILING((BF4*1.025), $H4), BJ4=""Novice 3"", BF4+$H4, BJ4=""Intermediate 2"", (IF((ISBETWEEN(((((AY4-AX4)/2))+BE4), AX4, AY4)), BF4, BF"&amp;"4+$H4)), BJ4=""Intermediate 1"", (IF((ISBETWEEN((BE4-((AY4-AX4)/2)), AX4, AY4)), BF4+$H4, (FLOOR((BF4*0.9875), $H4)))), BJ4=""Advanced 2"", (IF(AND(((BD4+((AW4-AV4)/2))&gt;AW4), ((BE4+((AY4-AX4)/2))&gt;AY4)), BF4+$H4, (BF4))), BJ4=""Advanced 1"", (IFS(BM4&lt;BE4, "&amp;"BF4+$H4, BM4=BE4, (BF4), BM4&gt;BE4, (FLOOR((BF4*0.9875), $H4)))))), (AND(AY4=TRUE, AZ4=""No"", BG4=TRUE, BH4=""No"")), (FLOOR((BF4*0.9), $H4)), (NOT((AND(BG4=TRUE, BH4=""Yes"")))), BF4)"),40.0)</f>
        <v>40</v>
      </c>
      <c r="BO4" s="41" t="b">
        <v>0</v>
      </c>
      <c r="BP4" s="47"/>
      <c r="BQ4" s="47"/>
      <c r="BR4" s="47" t="str">
        <f t="shared" ref="BR4:BR9" si="27">IF((AND(BG4=TRUE, BH4="No", BO4=TRUE, BP4="No")), (IFS(ISBLANK(BJ4), BJ4, BJ4="Novice 1", "Novice 2", BJ4="Novice 2", "Novice 3", BJ4="Novice 3", "Intermediate 1", BJ4="Intermediate 1", "Intermediate 2", BJ4="Intermediate 2", "Advanced 1", BJ4="Advanced 1", "Advanced 2", BJ4="Advanced 2", "Advanced 2")), BJ4)</f>
        <v>Advanced 2</v>
      </c>
      <c r="BS4" s="45" t="s">
        <v>10</v>
      </c>
      <c r="BT4" s="48">
        <f t="shared" ref="BT4:BT9" si="28">IFS((AND(BO4=TRUE, BP4="Yes")), (ifs(ISBLANK(BR4), BL4, BR4="Novice 1", BL4, BR4="Novice 2", BL4, BR4="Novice 3", BL4, BR4="Intermediate 2", BL4, BR4="Intermediate 1", BL4, BR4="Advanced 2", (IF((BL4+(($D4-$C4)/2))&gt;$D4, $C4, (BL4+(($D4-$C4)/2)))), BR4="Advanced 1", (IF((BL4+(($D4-$C4)/2))&gt;$D4, $C4, (BL4+(($D4-$C4)/2)))))), (NOT((AND(BO4=TRUE, BP4="Yes")))), BL4)</f>
        <v>4</v>
      </c>
      <c r="BU4" s="49">
        <f t="shared" ref="BU4:BU9" si="29">IFS((AND(BO4=TRUE, BP4="Yes")), (IFS(ISBLANK(BR4), BM4, BR4="Novice 1", BM4, BR4="Novice 2", BM4, BR4="Novice 3", BM4, BR4="Intermediate 2", (IF((BM4+(($F4-$E4)/2))&gt;$F4, $E4, (BM4+(($F4-$E4)/2)))), BR4="Intermediate 1", (IF((BM4-(($F4-$E4)/2))&lt;$E4, $F4, (BM4-(($F4-$E4)/2)))), BR4="Advanced 2", (IF((((($D4-$C4)/2))+BL4)&gt;$D4, (IF((BM4+(($F4-$E4)/2))&gt;$F4, $E4, (BM4+(($F4-$E4)/2)))), BM4)), BR4="Advanced 1", (IF((((($D4-$C4)/2))+BL4)&gt;$D4, (IF((BM4-(($F4-$E4)/2))&lt;$E4, $F4, (BM4-(($F4-$E4)/2)))), BM4)))), (NOT((AND(BO4=TRUE, BP4="Yes")))), BM4)</f>
        <v>6</v>
      </c>
      <c r="BV4" s="50">
        <f>IFERROR(__xludf.DUMMYFUNCTION("IFS((AND(BO4=TRUE, BP4=""Yes"")), (IFS(ISBLANK(BR4), BN4, BR4=""Novice 1"", CEILING((BN4*1.05), $H4), BR4=""Novice 2"", CEILING((BN4*1.025), $H4), BR4=""Novice 3"", BN4+$H4, BR4=""Intermediate 2"", (IF((ISBETWEEN(((((BG4-BF4)/2))+BM4), BF4, BG4)), BN4, BN"&amp;"4+$H4)), BR4=""Intermediate 1"", (IF((ISBETWEEN((BM4-((BG4-BF4)/2)), BF4, BG4)), BN4+$H4, (FLOOR((BN4*0.9875), $H4)))), BR4=""Advanced 2"", (IF(AND(((BL4+((BE4-BD4)/2))&gt;BE4), ((BM4+((BG4-BF4)/2))&gt;BG4)), BN4+$H4, (BN4))), BR4=""Advanced 1"", (IFS(BU4&lt;BM4, "&amp;"BN4+$H4, BU4=BM4, (BN4), BU4&gt;BM4, (FLOOR((BN4*0.9875), $H4)))))), (AND(BG4=TRUE, BH4=""No"", BO4=TRUE, BP4=""No"")), (FLOOR((BN4*0.9), $H4)), (NOT((AND(BO4=TRUE, BP4=""Yes"")))), BN4)"),40.0)</f>
        <v>40</v>
      </c>
      <c r="BW4" s="51" t="b">
        <v>0</v>
      </c>
      <c r="BX4" s="52"/>
      <c r="BY4" s="52"/>
      <c r="BZ4" s="52" t="str">
        <f t="shared" ref="BZ4:BZ9" si="30">IF((AND(BO4=TRUE, BP4="No", BW4=TRUE, BX4="No")), (IFS(ISBLANK(BR4), BR4, BR4="Novice 1", "Novice 2", BR4="Novice 2", "Novice 3", BR4="Novice 3", "Intermediate 1", BR4="Intermediate 1", "Intermediate 2", BR4="Intermediate 2", "Advanced 1", BR4="Advanced 1", "Advanced 2", BR4="Advanced 2", "Advanced 2")), BR4)</f>
        <v>Advanced 2</v>
      </c>
      <c r="CA4" s="45" t="s">
        <v>6</v>
      </c>
      <c r="CB4" s="53">
        <f t="shared" ref="CB4:CC4" si="2">IFERROR(BT4/2,BT4)</f>
        <v>2</v>
      </c>
      <c r="CC4" s="53">
        <f t="shared" si="2"/>
        <v>3</v>
      </c>
      <c r="CD4" s="53">
        <f t="shared" ref="CD4:CD9" si="32">BV4</f>
        <v>40</v>
      </c>
      <c r="CE4" s="54"/>
      <c r="CF4" s="45" t="s">
        <v>11</v>
      </c>
      <c r="CG4" s="39">
        <f t="shared" ref="CG4:CG9" si="33">IFS((AND(BW4=TRUE, BX4="Yes")), (ifs(ISBLANK(BZ4), BT4, BZ4="Novice 1", BT4, BZ4="Novice 2", BT4, BZ4="Novice 3", BT4, BZ4="Intermediate 2", BT4, BZ4="Intermediate 1", BT4, BZ4="Advanced 2", (IF((BT4+(($D4-$C4)/2))&gt;$D4, $C4, (BT4+(($D4-$C4)/2)))), BZ4="Advanced 1", (IF((BT4+(($D4-$C4)/2))&gt;$D4, $C4, (BT4+(($D4-$C4)/2)))))), (NOT((AND(BW4=TRUE, BX4="Yes")))), BT4)</f>
        <v>4</v>
      </c>
      <c r="CH4" s="46">
        <f t="shared" ref="CH4:CH9" si="34">IFS((AND(BW4=TRUE, BX4="Yes")), (IFS(ISBLANK(BZ4), BU4, BZ4="Novice 1", BU4, BZ4="Novice 2", BU4, BZ4="Novice 3", BU4, BZ4="Intermediate 2", (IF((BU4+(($F4-$E4)/2))&gt;$F4, $E4, (BU4+(($F4-$E4)/2)))), BZ4="Intermediate 1", (IF((BU4-(($F4-$E4)/2))&lt;$E4, $F4, (BU4-(($F4-$E4)/2)))), BZ4="Advanced 2", (IF((((($D4-$C4)/2))+BT4)&gt;$D4, (IF((BU4+(($F4-$E4)/2))&gt;$F4, $E4, (BU4+(($F4-$E4)/2)))), BU4)), BZ4="Advanced 1", (IF((((($D4-$C4)/2))+BT4)&gt;$D4, (IF((BU4-(($F4-$E4)/2))&lt;$E4, $F4, (BU4-(($F4-$E4)/2)))), BU4)))), (NOT((AND(BW4=TRUE, BX4="Yes")))), BU4)</f>
        <v>6</v>
      </c>
      <c r="CI4" s="40">
        <f>IFERROR(__xludf.DUMMYFUNCTION("IFS((AND(BW4=TRUE, BX4=""Yes"")), (IFS(ISBLANK(BZ4), BV4, BZ4=""Novice 1"", CEILING((BV4*1.05), $H4), BZ4=""Novice 2"", CEILING((BV4*1.025), $H4), BZ4=""Novice 3"", BV4+$H4, BZ4=""Intermediate 2"", (IF((ISBETWEEN(((((BO4-BN4)/2))+BU4), BN4, BO4)), BV4, BV"&amp;"4+$H4)), BZ4=""Intermediate 1"", (IF((ISBETWEEN((BU4-((BO4-BN4)/2)), BN4, BO4)), BV4+$H4, (FLOOR((BV4*0.9875), $H4)))), BZ4=""Advanced 2"", (IF(AND(((BT4+((BM4-BL4)/2))&gt;BM4), ((BU4+((BO4-BN4)/2))&gt;BO4)), BV4+$H4, (BV4))), BZ4=""Advanced 1"", (IFS(CH4&lt;BU4, "&amp;"BV4+$H4, CH4=BU4, (BV4), CH4&gt;BU4, (FLOOR((BV4*0.9875), $H4)))))), (AND(BO4=TRUE, BP4=""No"", BW4=TRUE, BX4=""No"")), (FLOOR((BV4*0.9), $H4)), (NOT((AND(BW4=TRUE, BX4=""Yes"")))), BV4)"),40.0)</f>
        <v>40</v>
      </c>
      <c r="CJ4" s="41" t="b">
        <v>0</v>
      </c>
      <c r="CK4" s="47"/>
      <c r="CL4" s="47"/>
      <c r="CM4" s="47" t="str">
        <f t="shared" ref="CM4:CM9" si="35">IF((AND(BW4=TRUE, BX4="No", CJ4=TRUE, CK4="No")), (IFS(ISBLANK(BZ4), BZ4, BZ4="Novice 1", "Novice 2", BZ4="Novice 2", "Novice 3", BZ4="Novice 3", "Intermediate 1", BZ4="Intermediate 1", "Intermediate 2", BZ4="Intermediate 2", "Advanced 1", BZ4="Advanced 1", "Advanced 2", BZ4="Advanced 2", "Advanced 2")), BZ4)</f>
        <v>Advanced 2</v>
      </c>
      <c r="CN4" s="45" t="s">
        <v>12</v>
      </c>
      <c r="CO4" s="39">
        <f t="shared" ref="CO4:CO9" si="36">IFS((AND(CJ4=TRUE, CK4="Yes")), (ifs(ISBLANK(CM4), CG4, CM4="Novice 1", CG4, CM4="Novice 2", CG4, CM4="Novice 3", CG4, CM4="Intermediate 2", CG4, CM4="Intermediate 1", CG4, CM4="Advanced 2", (IF((CG4+(($D4-$C4)/2))&gt;$D4, $C4, (CG4+(($D4-$C4)/2)))), CM4="Advanced 1", (IF((CG4+(($D4-$C4)/2))&gt;$D4, $C4, (CG4+(($D4-$C4)/2)))))), (NOT((AND(CJ4=TRUE, CK4="Yes")))), CG4)</f>
        <v>4</v>
      </c>
      <c r="CP4" s="46">
        <f t="shared" ref="CP4:CP9" si="37">IFS((AND(CJ4=TRUE, CK4="Yes")), (IFS(ISBLANK(CM4), CH4, CM4="Novice 1", CH4, CM4="Novice 2", CH4, CM4="Novice 3", CH4, CM4="Intermediate 2", (IF((CH4+(($F4-$E4)/2))&gt;$F4, $E4, (CH4+(($F4-$E4)/2)))), CM4="Intermediate 1", (IF((CH4-(($F4-$E4)/2))&lt;$E4, $F4, (CH4-(($F4-$E4)/2)))), CM4="Advanced 2", (IF((((($D4-$C4)/2))+CG4)&gt;$D4, (IF((CH4+(($F4-$E4)/2))&gt;$F4, $E4, (CH4+(($F4-$E4)/2)))), CH4)), CM4="Advanced 1", (IF((((($D4-$C4)/2))+CG4)&gt;$D4, (IF((CH4-(($F4-$E4)/2))&lt;$E4, $F4, (CH4-(($F4-$E4)/2)))), CH4)))), (NOT((AND(CJ4=TRUE, CK4="Yes")))), CH4)</f>
        <v>6</v>
      </c>
      <c r="CQ4" s="40">
        <f>IFERROR(__xludf.DUMMYFUNCTION("IFS((AND(CJ4=TRUE, CK4=""Yes"")), (IFS(ISBLANK(CM4), CI4, CM4=""Novice 1"", CEILING((CI4*1.05), $H4), CM4=""Novice 2"", CEILING((CI4*1.025), $H4), CM4=""Novice 3"", CI4+$H4, CM4=""Intermediate 2"", (IF((ISBETWEEN(((((BW4-BV4)/2))+CH4), BV4, BW4)), CI4, CI"&amp;"4+$H4)), CM4=""Intermediate 1"", (IF((ISBETWEEN((CH4-((BW4-BV4)/2)), BV4, BW4)), CI4+$H4, (FLOOR((CI4*0.9875), $H4)))), CM4=""Advanced 2"", (IF(AND(((CG4+((BU4-BT4)/2))&gt;BU4), ((CH4+((BW4-BV4)/2))&gt;BW4)), CI4+$H4, (CI4))), CM4=""Advanced 1"", (IFS(CP4&lt;CH4, "&amp;"CI4+$H4, CP4=CH4, (CI4), CP4&gt;CH4, (FLOOR((CI4*0.9875), $H4)))))), (AND(BW4=TRUE, BX4=""No"", CJ4=TRUE, CK4=""No"")), (FLOOR((CI4*0.9), $H4)), (NOT((AND(CJ4=TRUE, CK4=""Yes"")))), CI4)"),40.0)</f>
        <v>40</v>
      </c>
      <c r="CR4" s="41" t="b">
        <v>0</v>
      </c>
      <c r="CS4" s="47"/>
      <c r="CT4" s="47"/>
      <c r="CU4" s="47" t="str">
        <f t="shared" ref="CU4:CU9" si="38">IF((AND(CJ4=TRUE, CK4="No", CR4=TRUE, CS4="No")), (IFS(ISBLANK(CM4), CM4, CM4="Novice 1", "Novice 2", CM4="Novice 2", "Novice 3", CM4="Novice 3", "Intermediate 1", CM4="Intermediate 1", "Intermediate 2", CM4="Intermediate 2", "Advanced 1", CM4="Advanced 1", "Advanced 2", CM4="Advanced 2", "Advanced 2")), CM4)</f>
        <v>Advanced 2</v>
      </c>
      <c r="CV4" s="45" t="s">
        <v>13</v>
      </c>
      <c r="CW4" s="39">
        <f t="shared" ref="CW4:CW9" si="39">IFS((AND(CR4=TRUE, CS4="Yes")), (ifs(ISBLANK(CU4), CO4, CU4="Novice 1", CO4, CU4="Novice 2", CO4, CU4="Novice 3", CO4, CU4="Intermediate 2", CO4, CU4="Intermediate 1", CO4, CU4="Advanced 2", (IF((CO4+(($D4-$C4)/2))&gt;$D4, $C4, (CO4+(($D4-$C4)/2)))), CU4="Advanced 1", (IF((CO4+(($D4-$C4)/2))&gt;$D4, $C4, (CO4+(($D4-$C4)/2)))))), (NOT((AND(CR4=TRUE, CS4="Yes")))), CO4)</f>
        <v>4</v>
      </c>
      <c r="CX4" s="46">
        <f t="shared" ref="CX4:CX9" si="40">IFS((AND(CR4=TRUE, CS4="Yes")), (IFS(ISBLANK(CU4), CP4, CU4="Novice 1", CP4, CU4="Novice 2", CP4, CU4="Novice 3", CP4, CU4="Intermediate 2", (IF((CP4+(($F4-$E4)/2))&gt;$F4, $E4, (CP4+(($F4-$E4)/2)))), CU4="Intermediate 1", (IF((CP4-(($F4-$E4)/2))&lt;$E4, $F4, (CP4-(($F4-$E4)/2)))), CU4="Advanced 2", (IF((((($D4-$C4)/2))+CO4)&gt;$D4, (IF((CP4+(($F4-$E4)/2))&gt;$F4, $E4, (CP4+(($F4-$E4)/2)))), CP4)), CU4="Advanced 1", (IF((((($D4-$C4)/2))+CO4)&gt;$D4, (IF((CP4-(($F4-$E4)/2))&lt;$E4, $F4, (CP4-(($F4-$E4)/2)))), CP4)))), (NOT((AND(CR4=TRUE, CS4="Yes")))), CP4)</f>
        <v>6</v>
      </c>
      <c r="CY4" s="40">
        <f>IFERROR(__xludf.DUMMYFUNCTION("IFS((AND(CR4=TRUE, CS4=""Yes"")), (IFS(ISBLANK(CU4), CQ4, CU4=""Novice 1"", CEILING((CQ4*1.05), $H4), CU4=""Novice 2"", CEILING((CQ4*1.025), $H4), CU4=""Novice 3"", CQ4+$H4, CU4=""Intermediate 2"", (IF((ISBETWEEN(((((CJ4-CI4)/2))+CP4), CI4, CJ4)), CQ4, CQ"&amp;"4+$H4)), CU4=""Intermediate 1"", (IF((ISBETWEEN((CP4-((CJ4-CI4)/2)), CI4, CJ4)), CQ4+$H4, (FLOOR((CQ4*0.9875), $H4)))), CU4=""Advanced 2"", (IF(AND(((CO4+((CH4-CG4)/2))&gt;CH4), ((CP4+((CJ4-CI4)/2))&gt;CJ4)), CQ4+$H4, (CQ4))), CU4=""Advanced 1"", (IFS(CX4&lt;CP4, "&amp;"CQ4+$H4, CX4=CP4, (CQ4), CX4&gt;CP4, (FLOOR((CQ4*0.9875), $H4)))))), (AND(CJ4=TRUE, CK4=""No"", CR4=TRUE, CS4=""No"")), (FLOOR((CQ4*0.9), $H4)), (NOT((AND(CR4=TRUE, CS4=""Yes"")))), CQ4)"),40.0)</f>
        <v>40</v>
      </c>
      <c r="CZ4" s="41" t="b">
        <v>0</v>
      </c>
      <c r="DA4" s="47"/>
      <c r="DB4" s="47"/>
      <c r="DC4" s="47" t="str">
        <f t="shared" ref="DC4:DC9" si="41">IF((AND(CR4=TRUE, CS4="No", CZ4=TRUE, DA4="No")), (IFS(ISBLANK(CU4), CU4, CU4="Novice 1", "Novice 2", CU4="Novice 2", "Novice 3", CU4="Novice 3", "Intermediate 1", CU4="Intermediate 1", "Intermediate 2", CU4="Intermediate 2", "Advanced 1", CU4="Advanced 1", "Advanced 2", CU4="Advanced 2", "Advanced 2")), CU4)</f>
        <v>Advanced 2</v>
      </c>
      <c r="DD4" s="45" t="s">
        <v>14</v>
      </c>
      <c r="DE4" s="48">
        <f t="shared" ref="DE4:DE9" si="42">IFS((AND(CZ4=TRUE, DA4="Yes")), (ifs(ISBLANK(DC4), CW4, DC4="Novice 1", CW4, DC4="Novice 2", CW4, DC4="Novice 3", CW4, DC4="Intermediate 2", CW4, DC4="Intermediate 1", CW4, DC4="Advanced 2", (IF((CW4+(($D4-$C4)/2))&gt;$D4, $C4, (CW4+(($D4-$C4)/2)))), DC4="Advanced 1", (IF((CW4+(($D4-$C4)/2))&gt;$D4, $C4, (CW4+(($D4-$C4)/2)))))), (NOT((AND(CZ4=TRUE, DA4="Yes")))), CW4)</f>
        <v>4</v>
      </c>
      <c r="DF4" s="49">
        <f t="shared" ref="DF4:DF9" si="43">IFS((AND(CZ4=TRUE, DA4="Yes")), (IFS(ISBLANK(DC4), CX4, DC4="Novice 1", CX4, DC4="Novice 2", CX4, DC4="Novice 3", CX4, DC4="Intermediate 2", (IF((CX4+(($F4-$E4)/2))&gt;$F4, $E4, (CX4+(($F4-$E4)/2)))), DC4="Intermediate 1", (IF((CX4-(($F4-$E4)/2))&lt;$E4, $F4, (CX4-(($F4-$E4)/2)))), DC4="Advanced 2", (IF((((($D4-$C4)/2))+CW4)&gt;$D4, (IF((CX4+(($F4-$E4)/2))&gt;$F4, $E4, (CX4+(($F4-$E4)/2)))), CX4)), DC4="Advanced 1", (IF((((($D4-$C4)/2))+CW4)&gt;$D4, (IF((CX4-(($F4-$E4)/2))&lt;$E4, $F4, (CX4-(($F4-$E4)/2)))), CX4)))), (NOT((AND(CZ4=TRUE, DA4="Yes")))), CX4)</f>
        <v>6</v>
      </c>
      <c r="DG4" s="50">
        <f>IFERROR(__xludf.DUMMYFUNCTION("IFS((AND(CZ4=TRUE, DA4=""Yes"")), (IFS(ISBLANK(DC4), CY4, DC4=""Novice 1"", CEILING((CY4*1.05), $H4), DC4=""Novice 2"", CEILING((CY4*1.025), $H4), DC4=""Novice 3"", CY4+$H4, DC4=""Intermediate 2"", (IF((ISBETWEEN(((((CR4-CQ4)/2))+CX4), CQ4, CR4)), CY4, CY"&amp;"4+$H4)), DC4=""Intermediate 1"", (IF((ISBETWEEN((CX4-((CR4-CQ4)/2)), CQ4, CR4)), CY4+$H4, (FLOOR((CY4*0.9875), $H4)))), DC4=""Advanced 2"", (IF(AND(((CW4+((CP4-CO4)/2))&gt;CP4), ((CX4+((CR4-CQ4)/2))&gt;CR4)), CY4+$H4, (CY4))), DC4=""Advanced 1"", (IFS(DF4&lt;CX4, "&amp;"CY4+$H4, DF4=CX4, (CY4), DF4&gt;CX4, (FLOOR((CY4*0.9875), $H4)))))), (AND(CR4=TRUE, CS4=""No"", CZ4=TRUE, DA4=""No"")), (FLOOR((CY4*0.9), $H4)), (NOT((AND(CZ4=TRUE, DA4=""Yes"")))), CY4)"),40.0)</f>
        <v>40</v>
      </c>
      <c r="DH4" s="51" t="b">
        <v>0</v>
      </c>
      <c r="DI4" s="52"/>
      <c r="DJ4" s="52"/>
      <c r="DK4" s="52" t="str">
        <f t="shared" ref="DK4:DK9" si="44">IF((AND(CZ4=TRUE, DA4="No", DH4=TRUE, DI4="No")), (IFS(ISBLANK(DC4), DC4, DC4="Novice 1", "Novice 2", DC4="Novice 2", "Novice 3", DC4="Novice 3", "Intermediate 1", DC4="Intermediate 1", "Intermediate 2", DC4="Intermediate 2", "Advanced 1", DC4="Advanced 1", "Advanced 2", DC4="Advanced 2", "Advanced 2")), DC4)</f>
        <v>Advanced 2</v>
      </c>
      <c r="DL4" s="45" t="s">
        <v>6</v>
      </c>
      <c r="DM4" s="53">
        <f t="shared" ref="DM4:DN4" si="3">IFERROR(DE4/2,DE4)</f>
        <v>2</v>
      </c>
      <c r="DN4" s="53">
        <f t="shared" si="3"/>
        <v>3</v>
      </c>
      <c r="DO4" s="53">
        <f t="shared" ref="DO4:DO9" si="46">DG4</f>
        <v>40</v>
      </c>
      <c r="DP4" s="54"/>
      <c r="DQ4" s="45" t="s">
        <v>15</v>
      </c>
      <c r="DR4" s="39">
        <f t="shared" ref="DR4:DR9" si="47">IFS((AND(DH4=TRUE, DI4="Yes")), (ifs(ISBLANK(DK4), DE4, DK4="Novice 1", DE4, DK4="Novice 2", DE4, DK4="Novice 3", DE4, DK4="Intermediate 2", DE4, DK4="Intermediate 1", DE4, DK4="Advanced 2", (IF((DE4+(($D4-$C4)/2))&gt;$D4, $C4, (DE4+(($D4-$C4)/2)))), DK4="Advanced 1", (IF((DE4+(($D4-$C4)/2))&gt;$D4, $C4, (DE4+(($D4-$C4)/2)))))), (NOT((AND(DH4=TRUE, DI4="Yes")))), DE4)</f>
        <v>4</v>
      </c>
      <c r="DS4" s="46">
        <f t="shared" ref="DS4:DS9" si="48">IFS((AND(DH4=TRUE, DI4="Yes")), (IFS(ISBLANK(DK4), DF4, DK4="Novice 1", DF4, DK4="Novice 2", DF4, DK4="Novice 3", DF4, DK4="Intermediate 2", (IF((DF4+(($F4-$E4)/2))&gt;$F4, $E4, (DF4+(($F4-$E4)/2)))), DK4="Intermediate 1", (IF((DF4-(($F4-$E4)/2))&lt;$E4, $F4, (DF4-(($F4-$E4)/2)))), DK4="Advanced 2", (IF((((($D4-$C4)/2))+DE4)&gt;$D4, (IF((DF4+(($F4-$E4)/2))&gt;$F4, $E4, (DF4+(($F4-$E4)/2)))), DF4)), DK4="Advanced 1", (IF((((($D4-$C4)/2))+DE4)&gt;$D4, (IF((DF4-(($F4-$E4)/2))&lt;$E4, $F4, (DF4-(($F4-$E4)/2)))), DF4)))), (NOT((AND(DH4=TRUE, DI4="Yes")))), DF4)</f>
        <v>6</v>
      </c>
      <c r="DT4" s="40">
        <f>IFERROR(__xludf.DUMMYFUNCTION("IFS((AND(DH4=TRUE, DI4=""Yes"")), (IFS(ISBLANK(DK4), DG4, DK4=""Novice 1"", CEILING((DG4*1.05), $H4), DK4=""Novice 2"", CEILING((DG4*1.025), $H4), DK4=""Novice 3"", DG4+$H4, DK4=""Intermediate 2"", (IF((ISBETWEEN(((((CZ4-CY4)/2))+DF4), CY4, CZ4)), DG4, DG"&amp;"4+$H4)), DK4=""Intermediate 1"", (IF((ISBETWEEN((DF4-((CZ4-CY4)/2)), CY4, CZ4)), DG4+$H4, (FLOOR((DG4*0.9875), $H4)))), DK4=""Advanced 2"", (IF(AND(((DE4+((CX4-CW4)/2))&gt;CX4), ((DF4+((CZ4-CY4)/2))&gt;CZ4)), DG4+$H4, (DG4))), DK4=""Advanced 1"", (IFS(DS4&lt;DF4, "&amp;"DG4+$H4, DS4=DF4, (DG4), DS4&gt;DF4, (FLOOR((DG4*0.9875), $H4)))))), (AND(CZ4=TRUE, DA4=""No"", DH4=TRUE, DI4=""No"")), (FLOOR((DG4*0.9), $H4)), (NOT((AND(DH4=TRUE, DI4=""Yes"")))), DG4)"),40.0)</f>
        <v>40</v>
      </c>
      <c r="DU4" s="41" t="b">
        <v>0</v>
      </c>
      <c r="DV4" s="47"/>
      <c r="DW4" s="47"/>
      <c r="DX4" s="47" t="str">
        <f t="shared" ref="DX4:DX9" si="49">IF((AND(DH4=TRUE, DI4="No", DU4=TRUE, DV4="No")), (IFS(ISBLANK(DK4), DK4, DK4="Novice 1", "Novice 2", DK4="Novice 2", "Novice 3", DK4="Novice 3", "Intermediate 1", DK4="Intermediate 1", "Intermediate 2", DK4="Intermediate 2", "Advanced 1", DK4="Advanced 1", "Advanced 2", DK4="Advanced 2", "Advanced 2")), DK4)</f>
        <v>Advanced 2</v>
      </c>
      <c r="DY4" s="45" t="s">
        <v>16</v>
      </c>
      <c r="DZ4" s="39">
        <f t="shared" ref="DZ4:DZ9" si="50">IFS((AND(DU4=TRUE, DV4="Yes")), (ifs(ISBLANK(DX4), DR4, DX4="Novice 1", DR4, DX4="Novice 2", DR4, DX4="Novice 3", DR4, DX4="Intermediate 2", DR4, DX4="Intermediate 1", DR4, DX4="Advanced 2", (IF((DR4+(($D4-$C4)/2))&gt;$D4, $C4, (DR4+(($D4-$C4)/2)))), DX4="Advanced 1", (IF((DR4+(($D4-$C4)/2))&gt;$D4, $C4, (DR4+(($D4-$C4)/2)))))), (NOT((AND(DU4=TRUE, DV4="Yes")))), DR4)</f>
        <v>4</v>
      </c>
      <c r="EA4" s="46">
        <f t="shared" ref="EA4:EA9" si="51">IFS((AND(DU4=TRUE, DV4="Yes")), (IFS(ISBLANK(DX4), DS4, DX4="Novice 1", DS4, DX4="Novice 2", DS4, DX4="Novice 3", DS4, DX4="Intermediate 2", (IF((DS4+(($F4-$E4)/2))&gt;$F4, $E4, (DS4+(($F4-$E4)/2)))), DX4="Intermediate 1", (IF((DS4-(($F4-$E4)/2))&lt;$E4, $F4, (DS4-(($F4-$E4)/2)))), DX4="Advanced 2", (IF((((($D4-$C4)/2))+DR4)&gt;$D4, (IF((DS4+(($F4-$E4)/2))&gt;$F4, $E4, (DS4+(($F4-$E4)/2)))), DS4)), DX4="Advanced 1", (IF((((($D4-$C4)/2))+DR4)&gt;$D4, (IF((DS4-(($F4-$E4)/2))&lt;$E4, $F4, (DS4-(($F4-$E4)/2)))), DS4)))), (NOT((AND(DU4=TRUE, DV4="Yes")))), DS4)</f>
        <v>6</v>
      </c>
      <c r="EB4" s="40">
        <f>IFERROR(__xludf.DUMMYFUNCTION("IFS((AND(DU4=TRUE, DV4=""Yes"")), (IFS(ISBLANK(DX4), DT4, DX4=""Novice 1"", CEILING((DT4*1.05), $H4), DX4=""Novice 2"", CEILING((DT4*1.025), $H4), DX4=""Novice 3"", DT4+$H4, DX4=""Intermediate 2"", (IF((ISBETWEEN(((((DH4-DG4)/2))+DS4), DG4, DH4)), DT4, DT"&amp;"4+$H4)), DX4=""Intermediate 1"", (IF((ISBETWEEN((DS4-((DH4-DG4)/2)), DG4, DH4)), DT4+$H4, (FLOOR((DT4*0.9875), $H4)))), DX4=""Advanced 2"", (IF(AND(((DR4+((DF4-DE4)/2))&gt;DF4), ((DS4+((DH4-DG4)/2))&gt;DH4)), DT4+$H4, (DT4))), DX4=""Advanced 1"", (IFS(EA4&lt;DS4, "&amp;"DT4+$H4, EA4=DS4, (DT4), EA4&gt;DS4, (FLOOR((DT4*0.9875), $H4)))))), (AND(DH4=TRUE, DI4=""No"", DU4=TRUE, DV4=""No"")), (FLOOR((DT4*0.9), $H4)), (NOT((AND(DU4=TRUE, DV4=""Yes"")))), DT4)"),40.0)</f>
        <v>40</v>
      </c>
      <c r="EC4" s="41" t="b">
        <v>0</v>
      </c>
      <c r="ED4" s="47"/>
      <c r="EE4" s="47"/>
      <c r="EF4" s="47" t="str">
        <f t="shared" ref="EF4:EF9" si="52">IF((AND(DU4=TRUE, DV4="No", EC4=TRUE, ED4="No")), (IFS(ISBLANK(DX4), DX4, DX4="Novice 1", "Novice 2", DX4="Novice 2", "Novice 3", DX4="Novice 3", "Intermediate 1", DX4="Intermediate 1", "Intermediate 2", DX4="Intermediate 2", "Advanced 1", DX4="Advanced 1", "Advanced 2", DX4="Advanced 2", "Advanced 2")), DX4)</f>
        <v>Advanced 2</v>
      </c>
      <c r="EG4" s="45" t="s">
        <v>17</v>
      </c>
      <c r="EH4" s="39">
        <f t="shared" ref="EH4:EH9" si="53">IFS((AND(EC4=TRUE, ED4="Yes")), (ifs(ISBLANK(EF4), DZ4, EF4="Novice 1", DZ4, EF4="Novice 2", DZ4, EF4="Novice 3", DZ4, EF4="Intermediate 2", DZ4, EF4="Intermediate 1", DZ4, EF4="Advanced 2", (IF((DZ4+(($D4-$C4)/2))&gt;$D4, $C4, (DZ4+(($D4-$C4)/2)))), EF4="Advanced 1", (IF((DZ4+(($D4-$C4)/2))&gt;$D4, $C4, (DZ4+(($D4-$C4)/2)))))), (NOT((AND(EC4=TRUE, ED4="Yes")))), DZ4)</f>
        <v>4</v>
      </c>
      <c r="EI4" s="46">
        <f t="shared" ref="EI4:EI9" si="54">IFS((AND(EC4=TRUE, ED4="Yes")), (IFS(ISBLANK(EF4), EA4, EF4="Novice 1", EA4, EF4="Novice 2", EA4, EF4="Novice 3", EA4, EF4="Intermediate 2", (IF((EA4+(($F4-$E4)/2))&gt;$F4, $E4, (EA4+(($F4-$E4)/2)))), EF4="Intermediate 1", (IF((EA4-(($F4-$E4)/2))&lt;$E4, $F4, (EA4-(($F4-$E4)/2)))), EF4="Advanced 2", (IF((((($D4-$C4)/2))+DZ4)&gt;$D4, (IF((EA4+(($F4-$E4)/2))&gt;$F4, $E4, (EA4+(($F4-$E4)/2)))), EA4)), EF4="Advanced 1", (IF((((($D4-$C4)/2))+DZ4)&gt;$D4, (IF((EA4-(($F4-$E4)/2))&lt;$E4, $F4, (EA4-(($F4-$E4)/2)))), EA4)))), (NOT((AND(EC4=TRUE, ED4="Yes")))), EA4)</f>
        <v>6</v>
      </c>
      <c r="EJ4" s="40">
        <f>IFERROR(__xludf.DUMMYFUNCTION("IFS((AND(EC4=TRUE, ED4=""Yes"")), (IFS(ISBLANK(EF4), EB4, EF4=""Novice 1"", CEILING((EB4*1.05), $H4), EF4=""Novice 2"", CEILING((EB4*1.025), $H4), EF4=""Novice 3"", EB4+$H4, EF4=""Intermediate 2"", (IF((ISBETWEEN(((((DU4-DT4)/2))+EA4), DT4, DU4)), EB4, EB"&amp;"4+$H4)), EF4=""Intermediate 1"", (IF((ISBETWEEN((EA4-((DU4-DT4)/2)), DT4, DU4)), EB4+$H4, (FLOOR((EB4*0.9875), $H4)))), EF4=""Advanced 2"", (IF(AND(((DZ4+((DS4-DR4)/2))&gt;DS4), ((EA4+((DU4-DT4)/2))&gt;DU4)), EB4+$H4, (EB4))), EF4=""Advanced 1"", (IFS(EI4&lt;EA4, "&amp;"EB4+$H4, EI4=EA4, (EB4), EI4&gt;EA4, (FLOOR((EB4*0.9875), $H4)))))), (AND(DU4=TRUE, DV4=""No"", EC4=TRUE, ED4=""No"")), (FLOOR((EB4*0.9), $H4)), (NOT((AND(EC4=TRUE, ED4=""Yes"")))), EB4)"),40.0)</f>
        <v>40</v>
      </c>
      <c r="EK4" s="41" t="b">
        <v>0</v>
      </c>
      <c r="EL4" s="47"/>
      <c r="EM4" s="47"/>
      <c r="EN4" s="47" t="str">
        <f t="shared" ref="EN4:EN9" si="55">IF((AND(EC4=TRUE, ED4="No", EK4=TRUE, EL4="No")), (IFS(ISBLANK(EF4), EF4, EF4="Novice 1", "Novice 2", EF4="Novice 2", "Novice 3", EF4="Novice 3", "Intermediate 1", EF4="Intermediate 1", "Intermediate 2", EF4="Intermediate 2", "Advanced 1", EF4="Advanced 1", "Advanced 2", EF4="Advanced 2", "Advanced 2")), EF4)</f>
        <v>Advanced 2</v>
      </c>
      <c r="EO4" s="45" t="s">
        <v>18</v>
      </c>
      <c r="EP4" s="48">
        <f t="shared" ref="EP4:EP9" si="56">IFS((AND(EK4=TRUE, EL4="Yes")), (ifs(ISBLANK(EN4), EH4, EN4="Novice 1", EH4, EN4="Novice 2", EH4, EN4="Novice 3", EH4, EN4="Intermediate 2", EH4, EN4="Intermediate 1", EH4, EN4="Advanced 2", (IF((EH4+(($D4-$C4)/2))&gt;$D4, $C4, (EH4+(($D4-$C4)/2)))), EN4="Advanced 1", (IF((EH4+(($D4-$C4)/2))&gt;$D4, $C4, (EH4+(($D4-$C4)/2)))))), (NOT((AND(EK4=TRUE, EL4="Yes")))), EH4)</f>
        <v>4</v>
      </c>
      <c r="EQ4" s="49">
        <f t="shared" ref="EQ4:EQ9" si="57">IFS((AND(EK4=TRUE, EL4="Yes")), (IFS(ISBLANK(EN4), EI4, EN4="Novice 1", EI4, EN4="Novice 2", EI4, EN4="Novice 3", EI4, EN4="Intermediate 2", (IF((EI4+(($F4-$E4)/2))&gt;$F4, $E4, (EI4+(($F4-$E4)/2)))), EN4="Intermediate 1", (IF((EI4-(($F4-$E4)/2))&lt;$E4, $F4, (EI4-(($F4-$E4)/2)))), EN4="Advanced 2", (IF((((($D4-$C4)/2))+EH4)&gt;$D4, (IF((EI4+(($F4-$E4)/2))&gt;$F4, $E4, (EI4+(($F4-$E4)/2)))), EI4)), EN4="Advanced 1", (IF((((($D4-$C4)/2))+EH4)&gt;$D4, (IF((EI4-(($F4-$E4)/2))&lt;$E4, $F4, (EI4-(($F4-$E4)/2)))), EI4)))), (NOT((AND(EK4=TRUE, EL4="Yes")))), EI4)</f>
        <v>6</v>
      </c>
      <c r="ER4" s="50">
        <f>IFERROR(__xludf.DUMMYFUNCTION("IFS((AND(EK4=TRUE, EL4=""Yes"")), (IFS(ISBLANK(EN4), EJ4, EN4=""Novice 1"", CEILING((EJ4*1.05), $H4), EN4=""Novice 2"", CEILING((EJ4*1.025), $H4), EN4=""Novice 3"", EJ4+$H4, EN4=""Intermediate 2"", (IF((ISBETWEEN(((((EC4-EB4)/2))+EI4), EB4, EC4)), EJ4, EJ"&amp;"4+$H4)), EN4=""Intermediate 1"", (IF((ISBETWEEN((EI4-((EC4-EB4)/2)), EB4, EC4)), EJ4+$H4, (FLOOR((EJ4*0.9875), $H4)))), EN4=""Advanced 2"", (IF(AND(((EH4+((EA4-DZ4)/2))&gt;EA4), ((EI4+((EC4-EB4)/2))&gt;EC4)), EJ4+$H4, (EJ4))), EN4=""Advanced 1"", (IFS(EQ4&lt;EI4, "&amp;"EJ4+$H4, EQ4=EI4, (EJ4), EQ4&gt;EI4, (FLOOR((EJ4*0.9875), $H4)))))), (AND(EC4=TRUE, ED4=""No"", EK4=TRUE, EL4=""No"")), (FLOOR((EJ4*0.9), $H4)), (NOT((AND(EK4=TRUE, EL4=""Yes"")))), EJ4)"),40.0)</f>
        <v>40</v>
      </c>
      <c r="ES4" s="51" t="b">
        <v>0</v>
      </c>
      <c r="ET4" s="52"/>
      <c r="EU4" s="52"/>
      <c r="EV4" s="52" t="str">
        <f t="shared" ref="EV4:EV9" si="58">IF((AND(EK4=TRUE, EL4="No", ES4=TRUE, ET4="No")), (IFS(ISBLANK(EN4), EN4, EN4="Novice 1", "Novice 2", EN4="Novice 2", "Novice 3", EN4="Novice 3", "Intermediate 1", EN4="Intermediate 1", "Intermediate 2", EN4="Intermediate 2", "Advanced 1", EN4="Advanced 1", "Advanced 2", EN4="Advanced 2", "Advanced 2")), EN4)</f>
        <v>Advanced 2</v>
      </c>
      <c r="EW4" s="45" t="s">
        <v>6</v>
      </c>
      <c r="EX4" s="55">
        <f t="shared" ref="EX4:EY4" si="4">IFERROR(EP4/2,EP4)</f>
        <v>2</v>
      </c>
      <c r="EY4" s="55">
        <f t="shared" si="4"/>
        <v>3</v>
      </c>
      <c r="EZ4" s="55">
        <f t="shared" ref="EZ4:EZ9" si="60">ER4</f>
        <v>40</v>
      </c>
      <c r="FA4" s="56"/>
      <c r="FB4" s="30"/>
      <c r="FC4" s="57"/>
    </row>
    <row r="5" outlineLevel="1">
      <c r="A5" s="32" t="s">
        <v>35</v>
      </c>
      <c r="B5" s="58"/>
      <c r="C5" s="34">
        <v>4.0</v>
      </c>
      <c r="D5" s="35">
        <v>4.0</v>
      </c>
      <c r="E5" s="34">
        <v>10.0</v>
      </c>
      <c r="F5" s="35">
        <v>10.0</v>
      </c>
      <c r="G5" s="35">
        <v>10.0</v>
      </c>
      <c r="H5" s="36">
        <v>10.0</v>
      </c>
      <c r="I5" s="37" t="s">
        <v>33</v>
      </c>
      <c r="J5" s="59"/>
      <c r="K5" s="39">
        <f t="shared" si="5"/>
        <v>4</v>
      </c>
      <c r="L5" s="40">
        <f t="shared" si="6"/>
        <v>10</v>
      </c>
      <c r="M5" s="40">
        <f t="shared" si="7"/>
        <v>10</v>
      </c>
      <c r="N5" s="41" t="b">
        <v>0</v>
      </c>
      <c r="O5" s="42"/>
      <c r="P5" s="43"/>
      <c r="Q5" s="44" t="str">
        <f t="shared" ref="Q5:Q9" si="61">I5</f>
        <v>Advanced 2</v>
      </c>
      <c r="R5" s="60"/>
      <c r="S5" s="39">
        <f t="shared" si="8"/>
        <v>4</v>
      </c>
      <c r="T5" s="46">
        <f t="shared" si="9"/>
        <v>10</v>
      </c>
      <c r="U5" s="40">
        <f>IFERROR(__xludf.DUMMYFUNCTION("IFS((AND(N5=TRUE, O5=""Yes"")), (IFS(ISBLANK(Q5), M5, Q5=""Novice 1"", CEILING((M5*1.05), $H5), Q5=""Novice 2"", CEILING((M5*1.025), $H5), Q5=""Novice 3"", M5+$H5, Q5=""Intermediate 2"", (IF((ISBETWEEN(((((F5-E5)/2))+L5), E5, F5)), M5, M5+$H5)), Q5=""Inte"&amp;"rmediate 1"", (IF((ISBETWEEN((L5-((F5-E5)/2)), E5, F5)), M5+$H5, (FLOOR((M5*0.9875), $H5)))), Q5=""Advanced 2"", (IF(AND(((K5+((D5-C5)/2))&gt;D5), ((L5+((F5-E5)/2))&gt;F5)), M5+$H5, (M5))), Q5=""Advanced 1"", (IFS(T5&lt;L5, M5+$H5, T5=L5, (M5), T5&gt;L5, (FLOOR((M5*0"&amp;".9875), $H5)))))), (AND(F5=TRUE, G5=""No"", N5=TRUE, O5=""No"")), (FLOOR((M5*0.9), $H5)), (NOT((AND(N5=TRUE, O5=""Yes"")))), M5)"),10.0)</f>
        <v>10</v>
      </c>
      <c r="V5" s="41" t="b">
        <v>0</v>
      </c>
      <c r="W5" s="47"/>
      <c r="X5" s="47"/>
      <c r="Y5" s="47" t="str">
        <f t="shared" si="10"/>
        <v>Advanced 2</v>
      </c>
      <c r="Z5" s="60"/>
      <c r="AA5" s="39">
        <f t="shared" si="11"/>
        <v>4</v>
      </c>
      <c r="AB5" s="46">
        <f t="shared" si="12"/>
        <v>10</v>
      </c>
      <c r="AC5" s="40">
        <f>IFERROR(__xludf.DUMMYFUNCTION("IFS((AND(V5=TRUE, W5=""Yes"")), (IFS(ISBLANK(Y5), U5, Y5=""Novice 1"", CEILING((U5*1.05), $H5), Y5=""Novice 2"", CEILING((U5*1.025), $H5), Y5=""Novice 3"", U5+$H5, Y5=""Intermediate 2"", (IF((ISBETWEEN(((((N5-M5)/2))+T5), M5, N5)), U5, U5+$H5)), Y5=""Inte"&amp;"rmediate 1"", (IF((ISBETWEEN((T5-((N5-M5)/2)), M5, N5)), U5+$H5, (FLOOR((U5*0.9875), $H5)))), Y5=""Advanced 2"", (IF(AND(((S5+((L5-K5)/2))&gt;L5), ((T5+((N5-M5)/2))&gt;N5)), U5+$H5, (U5))), Y5=""Advanced 1"", (IFS(AB5&lt;T5, U5+$H5, AB5=T5, (U5), AB5&gt;T5, (FLOOR((U"&amp;"5*0.9875), $H5)))))), (AND(N5=TRUE, O5=""No"", V5=TRUE, W5=""No"")), (FLOOR((U5*0.9), $H5)), (NOT((AND(V5=TRUE, W5=""Yes"")))), U5)"),10.0)</f>
        <v>10</v>
      </c>
      <c r="AD5" s="41" t="b">
        <v>0</v>
      </c>
      <c r="AE5" s="47"/>
      <c r="AF5" s="47"/>
      <c r="AG5" s="47" t="str">
        <f t="shared" si="13"/>
        <v>Advanced 2</v>
      </c>
      <c r="AH5" s="60"/>
      <c r="AI5" s="61">
        <f t="shared" si="14"/>
        <v>4</v>
      </c>
      <c r="AJ5" s="62">
        <f t="shared" si="15"/>
        <v>10</v>
      </c>
      <c r="AK5" s="63">
        <f>IFERROR(__xludf.DUMMYFUNCTION("IFS((AND(AD5=TRUE, AE5=""Yes"")), (IFS(ISBLANK(AG5), AC5, AG5=""Novice 1"", CEILING((AC5*1.05), $H5), AG5=""Novice 2"", CEILING((AC5*1.025), $H5), AG5=""Novice 3"", AC5+$H5, AG5=""Intermediate 2"", (IF((ISBETWEEN(((((V5-U5)/2))+AB5), U5, V5)), AC5, AC5+$H"&amp;"5)), AG5=""Intermediate 1"", (IF((ISBETWEEN((AB5-((V5-U5)/2)), U5, V5)), AC5+$H5, (FLOOR((AC5*0.9875), $H5)))), AG5=""Advanced 2"", (IF(AND(((AA5+((T5-S5)/2))&gt;T5), ((AB5+((V5-U5)/2))&gt;V5)), AC5+$H5, (AC5))), AG5=""Advanced 1"", (IFS(AJ5&lt;AB5, AC5+$H5, AJ5=A"&amp;"B5, (AC5), AJ5&gt;AB5, (FLOOR((AC5*0.9875), $H5)))))), (AND(V5=TRUE, W5=""No"", AD5=TRUE, AE5=""No"")), (FLOOR((AC5*0.9), $H5)), (NOT((AND(AD5=TRUE, AE5=""Yes"")))), AC5)"),10.0)</f>
        <v>10</v>
      </c>
      <c r="AL5" s="64" t="b">
        <v>0</v>
      </c>
      <c r="AM5" s="65"/>
      <c r="AN5" s="65"/>
      <c r="AO5" s="65" t="str">
        <f t="shared" si="16"/>
        <v>Advanced 2</v>
      </c>
      <c r="AP5" s="66"/>
      <c r="AQ5" s="53">
        <f t="shared" ref="AQ5:AR5" si="17">IFERROR(AI5/2,AI5)</f>
        <v>2</v>
      </c>
      <c r="AR5" s="53">
        <f t="shared" si="17"/>
        <v>5</v>
      </c>
      <c r="AS5" s="53">
        <f t="shared" si="18"/>
        <v>10</v>
      </c>
      <c r="AT5" s="67"/>
      <c r="AU5" s="59"/>
      <c r="AV5" s="39">
        <f t="shared" si="19"/>
        <v>4</v>
      </c>
      <c r="AW5" s="46">
        <f t="shared" si="20"/>
        <v>10</v>
      </c>
      <c r="AX5" s="40">
        <f>IFERROR(__xludf.DUMMYFUNCTION("IFS((AND(AL5=TRUE, AM5=""Yes"")), (IFS(ISBLANK(AO5), AK5, AO5=""Novice 1"", CEILING((AK5*1.05), $H5), AO5=""Novice 2"", CEILING((AK5*1.025), $H5), AO5=""Novice 3"", AK5+$H5, AO5=""Intermediate 2"", (IF((ISBETWEEN(((((AD5-AC5)/2))+AJ5), AC5, AD5)), AK5, AK"&amp;"5+$H5)), AO5=""Intermediate 1"", (IF((ISBETWEEN((AJ5-((AD5-AC5)/2)), AC5, AD5)), AK5+$H5, (FLOOR((AK5*0.9875), $H5)))), AO5=""Advanced 2"", (IF(AND(((AI5+((AB5-AA5)/2))&gt;AB5), ((AJ5+((AD5-AC5)/2))&gt;AD5)), AK5+$H5, (AK5))), AO5=""Advanced 1"", (IFS(AW5&lt;AJ5, "&amp;"AK5+$H5, AW5=AJ5, (AK5), AW5&gt;AJ5, (FLOOR((AK5*0.9875), $H5)))))), (AND(AD5=TRUE, AE5=""No"", AL5=TRUE, AM5=""No"")), (FLOOR((AK5*0.9), $H5)), (NOT((AND(AL5=TRUE, AM5=""Yes"")))), AK5)"),10.0)</f>
        <v>10</v>
      </c>
      <c r="AY5" s="41" t="b">
        <v>0</v>
      </c>
      <c r="AZ5" s="47"/>
      <c r="BA5" s="47"/>
      <c r="BB5" s="47" t="str">
        <f t="shared" si="21"/>
        <v>Advanced 2</v>
      </c>
      <c r="BC5" s="60"/>
      <c r="BD5" s="39">
        <f t="shared" si="22"/>
        <v>4</v>
      </c>
      <c r="BE5" s="46">
        <f t="shared" si="23"/>
        <v>10</v>
      </c>
      <c r="BF5" s="40">
        <f>IFERROR(__xludf.DUMMYFUNCTION("IFS((AND(AY5=TRUE, AZ5=""Yes"")), (IFS(ISBLANK(BB5), AX5, BB5=""Novice 1"", CEILING((AX5*1.05), $H5), BB5=""Novice 2"", CEILING((AX5*1.025), $H5), BB5=""Novice 3"", AX5+$H5, BB5=""Intermediate 2"", (IF((ISBETWEEN(((((AL5-AK5)/2))+AW5), AK5, AL5)), AX5, AX"&amp;"5+$H5)), BB5=""Intermediate 1"", (IF((ISBETWEEN((AW5-((AL5-AK5)/2)), AK5, AL5)), AX5+$H5, (FLOOR((AX5*0.9875), $H5)))), BB5=""Advanced 2"", (IF(AND(((AV5+((AJ5-AI5)/2))&gt;AJ5), ((AW5+((AL5-AK5)/2))&gt;AL5)), AX5+$H5, (AX5))), BB5=""Advanced 1"", (IFS(BE5&lt;AW5, "&amp;"AX5+$H5, BE5=AW5, (AX5), BE5&gt;AW5, (FLOOR((AX5*0.9875), $H5)))))), (AND(AL5=TRUE, AM5=""No"", AY5=TRUE, AZ5=""No"")), (FLOOR((AX5*0.9), $H5)), (NOT((AND(AY5=TRUE, AZ5=""Yes"")))), AX5)"),10.0)</f>
        <v>10</v>
      </c>
      <c r="BG5" s="41" t="b">
        <v>0</v>
      </c>
      <c r="BH5" s="47"/>
      <c r="BI5" s="47"/>
      <c r="BJ5" s="47" t="str">
        <f t="shared" si="24"/>
        <v>Advanced 2</v>
      </c>
      <c r="BK5" s="60"/>
      <c r="BL5" s="39">
        <f t="shared" si="25"/>
        <v>4</v>
      </c>
      <c r="BM5" s="46">
        <f t="shared" si="26"/>
        <v>10</v>
      </c>
      <c r="BN5" s="40">
        <f>IFERROR(__xludf.DUMMYFUNCTION("IFS((AND(BG5=TRUE, BH5=""Yes"")), (IFS(ISBLANK(BJ5), BF5, BJ5=""Novice 1"", CEILING((BF5*1.05), $H5), BJ5=""Novice 2"", CEILING((BF5*1.025), $H5), BJ5=""Novice 3"", BF5+$H5, BJ5=""Intermediate 2"", (IF((ISBETWEEN(((((AY5-AX5)/2))+BE5), AX5, AY5)), BF5, BF"&amp;"5+$H5)), BJ5=""Intermediate 1"", (IF((ISBETWEEN((BE5-((AY5-AX5)/2)), AX5, AY5)), BF5+$H5, (FLOOR((BF5*0.9875), $H5)))), BJ5=""Advanced 2"", (IF(AND(((BD5+((AW5-AV5)/2))&gt;AW5), ((BE5+((AY5-AX5)/2))&gt;AY5)), BF5+$H5, (BF5))), BJ5=""Advanced 1"", (IFS(BM5&lt;BE5, "&amp;"BF5+$H5, BM5=BE5, (BF5), BM5&gt;BE5, (FLOOR((BF5*0.9875), $H5)))))), (AND(AY5=TRUE, AZ5=""No"", BG5=TRUE, BH5=""No"")), (FLOOR((BF5*0.9), $H5)), (NOT((AND(BG5=TRUE, BH5=""Yes"")))), BF5)"),10.0)</f>
        <v>10</v>
      </c>
      <c r="BO5" s="41" t="b">
        <v>0</v>
      </c>
      <c r="BP5" s="47"/>
      <c r="BQ5" s="47"/>
      <c r="BR5" s="47" t="str">
        <f t="shared" si="27"/>
        <v>Advanced 2</v>
      </c>
      <c r="BS5" s="60"/>
      <c r="BT5" s="61">
        <f t="shared" si="28"/>
        <v>4</v>
      </c>
      <c r="BU5" s="62">
        <f t="shared" si="29"/>
        <v>10</v>
      </c>
      <c r="BV5" s="63">
        <f>IFERROR(__xludf.DUMMYFUNCTION("IFS((AND(BO5=TRUE, BP5=""Yes"")), (IFS(ISBLANK(BR5), BN5, BR5=""Novice 1"", CEILING((BN5*1.05), $H5), BR5=""Novice 2"", CEILING((BN5*1.025), $H5), BR5=""Novice 3"", BN5+$H5, BR5=""Intermediate 2"", (IF((ISBETWEEN(((((BG5-BF5)/2))+BM5), BF5, BG5)), BN5, BN"&amp;"5+$H5)), BR5=""Intermediate 1"", (IF((ISBETWEEN((BM5-((BG5-BF5)/2)), BF5, BG5)), BN5+$H5, (FLOOR((BN5*0.9875), $H5)))), BR5=""Advanced 2"", (IF(AND(((BL5+((BE5-BD5)/2))&gt;BE5), ((BM5+((BG5-BF5)/2))&gt;BG5)), BN5+$H5, (BN5))), BR5=""Advanced 1"", (IFS(BU5&lt;BM5, "&amp;"BN5+$H5, BU5=BM5, (BN5), BU5&gt;BM5, (FLOOR((BN5*0.9875), $H5)))))), (AND(BG5=TRUE, BH5=""No"", BO5=TRUE, BP5=""No"")), (FLOOR((BN5*0.9), $H5)), (NOT((AND(BO5=TRUE, BP5=""Yes"")))), BN5)"),10.0)</f>
        <v>10</v>
      </c>
      <c r="BW5" s="64" t="b">
        <v>0</v>
      </c>
      <c r="BX5" s="65"/>
      <c r="BY5" s="65"/>
      <c r="BZ5" s="65" t="str">
        <f t="shared" si="30"/>
        <v>Advanced 2</v>
      </c>
      <c r="CA5" s="66"/>
      <c r="CB5" s="53">
        <f t="shared" ref="CB5:CC5" si="31">IFERROR(BT5/2,BT5)</f>
        <v>2</v>
      </c>
      <c r="CC5" s="53">
        <f t="shared" si="31"/>
        <v>5</v>
      </c>
      <c r="CD5" s="53">
        <f t="shared" si="32"/>
        <v>10</v>
      </c>
      <c r="CE5" s="67"/>
      <c r="CF5" s="60"/>
      <c r="CG5" s="39">
        <f t="shared" si="33"/>
        <v>4</v>
      </c>
      <c r="CH5" s="46">
        <f t="shared" si="34"/>
        <v>10</v>
      </c>
      <c r="CI5" s="40">
        <f>IFERROR(__xludf.DUMMYFUNCTION("IFS((AND(BW5=TRUE, BX5=""Yes"")), (IFS(ISBLANK(BZ5), BV5, BZ5=""Novice 1"", CEILING((BV5*1.05), $H5), BZ5=""Novice 2"", CEILING((BV5*1.025), $H5), BZ5=""Novice 3"", BV5+$H5, BZ5=""Intermediate 2"", (IF((ISBETWEEN(((((BO5-BN5)/2))+BU5), BN5, BO5)), BV5, BV"&amp;"5+$H5)), BZ5=""Intermediate 1"", (IF((ISBETWEEN((BU5-((BO5-BN5)/2)), BN5, BO5)), BV5+$H5, (FLOOR((BV5*0.9875), $H5)))), BZ5=""Advanced 2"", (IF(AND(((BT5+((BM5-BL5)/2))&gt;BM5), ((BU5+((BO5-BN5)/2))&gt;BO5)), BV5+$H5, (BV5))), BZ5=""Advanced 1"", (IFS(CH5&lt;BU5, "&amp;"BV5+$H5, CH5=BU5, (BV5), CH5&gt;BU5, (FLOOR((BV5*0.9875), $H5)))))), (AND(BO5=TRUE, BP5=""No"", BW5=TRUE, BX5=""No"")), (FLOOR((BV5*0.9), $H5)), (NOT((AND(BW5=TRUE, BX5=""Yes"")))), BV5)"),10.0)</f>
        <v>10</v>
      </c>
      <c r="CJ5" s="41" t="b">
        <v>0</v>
      </c>
      <c r="CK5" s="47"/>
      <c r="CL5" s="47"/>
      <c r="CM5" s="47" t="str">
        <f t="shared" si="35"/>
        <v>Advanced 2</v>
      </c>
      <c r="CN5" s="60"/>
      <c r="CO5" s="39">
        <f t="shared" si="36"/>
        <v>4</v>
      </c>
      <c r="CP5" s="46">
        <f t="shared" si="37"/>
        <v>10</v>
      </c>
      <c r="CQ5" s="40">
        <f>IFERROR(__xludf.DUMMYFUNCTION("IFS((AND(CJ5=TRUE, CK5=""Yes"")), (IFS(ISBLANK(CM5), CI5, CM5=""Novice 1"", CEILING((CI5*1.05), $H5), CM5=""Novice 2"", CEILING((CI5*1.025), $H5), CM5=""Novice 3"", CI5+$H5, CM5=""Intermediate 2"", (IF((ISBETWEEN(((((BW5-BV5)/2))+CH5), BV5, BW5)), CI5, CI"&amp;"5+$H5)), CM5=""Intermediate 1"", (IF((ISBETWEEN((CH5-((BW5-BV5)/2)), BV5, BW5)), CI5+$H5, (FLOOR((CI5*0.9875), $H5)))), CM5=""Advanced 2"", (IF(AND(((CG5+((BU5-BT5)/2))&gt;BU5), ((CH5+((BW5-BV5)/2))&gt;BW5)), CI5+$H5, (CI5))), CM5=""Advanced 1"", (IFS(CP5&lt;CH5, "&amp;"CI5+$H5, CP5=CH5, (CI5), CP5&gt;CH5, (FLOOR((CI5*0.9875), $H5)))))), (AND(BW5=TRUE, BX5=""No"", CJ5=TRUE, CK5=""No"")), (FLOOR((CI5*0.9), $H5)), (NOT((AND(CJ5=TRUE, CK5=""Yes"")))), CI5)"),10.0)</f>
        <v>10</v>
      </c>
      <c r="CR5" s="41" t="b">
        <v>0</v>
      </c>
      <c r="CS5" s="47"/>
      <c r="CT5" s="47"/>
      <c r="CU5" s="47" t="str">
        <f t="shared" si="38"/>
        <v>Advanced 2</v>
      </c>
      <c r="CV5" s="60"/>
      <c r="CW5" s="39">
        <f t="shared" si="39"/>
        <v>4</v>
      </c>
      <c r="CX5" s="46">
        <f t="shared" si="40"/>
        <v>10</v>
      </c>
      <c r="CY5" s="40">
        <f>IFERROR(__xludf.DUMMYFUNCTION("IFS((AND(CR5=TRUE, CS5=""Yes"")), (IFS(ISBLANK(CU5), CQ5, CU5=""Novice 1"", CEILING((CQ5*1.05), $H5), CU5=""Novice 2"", CEILING((CQ5*1.025), $H5), CU5=""Novice 3"", CQ5+$H5, CU5=""Intermediate 2"", (IF((ISBETWEEN(((((CJ5-CI5)/2))+CP5), CI5, CJ5)), CQ5, CQ"&amp;"5+$H5)), CU5=""Intermediate 1"", (IF((ISBETWEEN((CP5-((CJ5-CI5)/2)), CI5, CJ5)), CQ5+$H5, (FLOOR((CQ5*0.9875), $H5)))), CU5=""Advanced 2"", (IF(AND(((CO5+((CH5-CG5)/2))&gt;CH5), ((CP5+((CJ5-CI5)/2))&gt;CJ5)), CQ5+$H5, (CQ5))), CU5=""Advanced 1"", (IFS(CX5&lt;CP5, "&amp;"CQ5+$H5, CX5=CP5, (CQ5), CX5&gt;CP5, (FLOOR((CQ5*0.9875), $H5)))))), (AND(CJ5=TRUE, CK5=""No"", CR5=TRUE, CS5=""No"")), (FLOOR((CQ5*0.9), $H5)), (NOT((AND(CR5=TRUE, CS5=""Yes"")))), CQ5)"),10.0)</f>
        <v>10</v>
      </c>
      <c r="CZ5" s="41" t="b">
        <v>0</v>
      </c>
      <c r="DA5" s="47"/>
      <c r="DB5" s="47"/>
      <c r="DC5" s="47" t="str">
        <f t="shared" si="41"/>
        <v>Advanced 2</v>
      </c>
      <c r="DD5" s="60"/>
      <c r="DE5" s="61">
        <f t="shared" si="42"/>
        <v>4</v>
      </c>
      <c r="DF5" s="62">
        <f t="shared" si="43"/>
        <v>10</v>
      </c>
      <c r="DG5" s="63">
        <f>IFERROR(__xludf.DUMMYFUNCTION("IFS((AND(CZ5=TRUE, DA5=""Yes"")), (IFS(ISBLANK(DC5), CY5, DC5=""Novice 1"", CEILING((CY5*1.05), $H5), DC5=""Novice 2"", CEILING((CY5*1.025), $H5), DC5=""Novice 3"", CY5+$H5, DC5=""Intermediate 2"", (IF((ISBETWEEN(((((CR5-CQ5)/2))+CX5), CQ5, CR5)), CY5, CY"&amp;"5+$H5)), DC5=""Intermediate 1"", (IF((ISBETWEEN((CX5-((CR5-CQ5)/2)), CQ5, CR5)), CY5+$H5, (FLOOR((CY5*0.9875), $H5)))), DC5=""Advanced 2"", (IF(AND(((CW5+((CP5-CO5)/2))&gt;CP5), ((CX5+((CR5-CQ5)/2))&gt;CR5)), CY5+$H5, (CY5))), DC5=""Advanced 1"", (IFS(DF5&lt;CX5, "&amp;"CY5+$H5, DF5=CX5, (CY5), DF5&gt;CX5, (FLOOR((CY5*0.9875), $H5)))))), (AND(CR5=TRUE, CS5=""No"", CZ5=TRUE, DA5=""No"")), (FLOOR((CY5*0.9), $H5)), (NOT((AND(CZ5=TRUE, DA5=""Yes"")))), CY5)"),10.0)</f>
        <v>10</v>
      </c>
      <c r="DH5" s="64" t="b">
        <v>0</v>
      </c>
      <c r="DI5" s="65"/>
      <c r="DJ5" s="65"/>
      <c r="DK5" s="65" t="str">
        <f t="shared" si="44"/>
        <v>Advanced 2</v>
      </c>
      <c r="DL5" s="66"/>
      <c r="DM5" s="53">
        <f t="shared" ref="DM5:DN5" si="45">IFERROR(DE5/2,DE5)</f>
        <v>2</v>
      </c>
      <c r="DN5" s="53">
        <f t="shared" si="45"/>
        <v>5</v>
      </c>
      <c r="DO5" s="53">
        <f t="shared" si="46"/>
        <v>10</v>
      </c>
      <c r="DP5" s="67"/>
      <c r="DQ5" s="60"/>
      <c r="DR5" s="39">
        <f t="shared" si="47"/>
        <v>4</v>
      </c>
      <c r="DS5" s="46">
        <f t="shared" si="48"/>
        <v>10</v>
      </c>
      <c r="DT5" s="40">
        <f>IFERROR(__xludf.DUMMYFUNCTION("IFS((AND(DH5=TRUE, DI5=""Yes"")), (IFS(ISBLANK(DK5), DG5, DK5=""Novice 1"", CEILING((DG5*1.05), $H5), DK5=""Novice 2"", CEILING((DG5*1.025), $H5), DK5=""Novice 3"", DG5+$H5, DK5=""Intermediate 2"", (IF((ISBETWEEN(((((CZ5-CY5)/2))+DF5), CY5, CZ5)), DG5, DG"&amp;"5+$H5)), DK5=""Intermediate 1"", (IF((ISBETWEEN((DF5-((CZ5-CY5)/2)), CY5, CZ5)), DG5+$H5, (FLOOR((DG5*0.9875), $H5)))), DK5=""Advanced 2"", (IF(AND(((DE5+((CX5-CW5)/2))&gt;CX5), ((DF5+((CZ5-CY5)/2))&gt;CZ5)), DG5+$H5, (DG5))), DK5=""Advanced 1"", (IFS(DS5&lt;DF5, "&amp;"DG5+$H5, DS5=DF5, (DG5), DS5&gt;DF5, (FLOOR((DG5*0.9875), $H5)))))), (AND(CZ5=TRUE, DA5=""No"", DH5=TRUE, DI5=""No"")), (FLOOR((DG5*0.9), $H5)), (NOT((AND(DH5=TRUE, DI5=""Yes"")))), DG5)"),10.0)</f>
        <v>10</v>
      </c>
      <c r="DU5" s="41" t="b">
        <v>0</v>
      </c>
      <c r="DV5" s="47"/>
      <c r="DW5" s="47"/>
      <c r="DX5" s="47" t="str">
        <f t="shared" si="49"/>
        <v>Advanced 2</v>
      </c>
      <c r="DY5" s="60"/>
      <c r="DZ5" s="39">
        <f t="shared" si="50"/>
        <v>4</v>
      </c>
      <c r="EA5" s="46">
        <f t="shared" si="51"/>
        <v>10</v>
      </c>
      <c r="EB5" s="40">
        <f>IFERROR(__xludf.DUMMYFUNCTION("IFS((AND(DU5=TRUE, DV5=""Yes"")), (IFS(ISBLANK(DX5), DT5, DX5=""Novice 1"", CEILING((DT5*1.05), $H5), DX5=""Novice 2"", CEILING((DT5*1.025), $H5), DX5=""Novice 3"", DT5+$H5, DX5=""Intermediate 2"", (IF((ISBETWEEN(((((DH5-DG5)/2))+DS5), DG5, DH5)), DT5, DT"&amp;"5+$H5)), DX5=""Intermediate 1"", (IF((ISBETWEEN((DS5-((DH5-DG5)/2)), DG5, DH5)), DT5+$H5, (FLOOR((DT5*0.9875), $H5)))), DX5=""Advanced 2"", (IF(AND(((DR5+((DF5-DE5)/2))&gt;DF5), ((DS5+((DH5-DG5)/2))&gt;DH5)), DT5+$H5, (DT5))), DX5=""Advanced 1"", (IFS(EA5&lt;DS5, "&amp;"DT5+$H5, EA5=DS5, (DT5), EA5&gt;DS5, (FLOOR((DT5*0.9875), $H5)))))), (AND(DH5=TRUE, DI5=""No"", DU5=TRUE, DV5=""No"")), (FLOOR((DT5*0.9), $H5)), (NOT((AND(DU5=TRUE, DV5=""Yes"")))), DT5)"),10.0)</f>
        <v>10</v>
      </c>
      <c r="EC5" s="41" t="b">
        <v>0</v>
      </c>
      <c r="ED5" s="47"/>
      <c r="EE5" s="47"/>
      <c r="EF5" s="47" t="str">
        <f t="shared" si="52"/>
        <v>Advanced 2</v>
      </c>
      <c r="EG5" s="60"/>
      <c r="EH5" s="39">
        <f t="shared" si="53"/>
        <v>4</v>
      </c>
      <c r="EI5" s="46">
        <f t="shared" si="54"/>
        <v>10</v>
      </c>
      <c r="EJ5" s="40">
        <f>IFERROR(__xludf.DUMMYFUNCTION("IFS((AND(EC5=TRUE, ED5=""Yes"")), (IFS(ISBLANK(EF5), EB5, EF5=""Novice 1"", CEILING((EB5*1.05), $H5), EF5=""Novice 2"", CEILING((EB5*1.025), $H5), EF5=""Novice 3"", EB5+$H5, EF5=""Intermediate 2"", (IF((ISBETWEEN(((((DU5-DT5)/2))+EA5), DT5, DU5)), EB5, EB"&amp;"5+$H5)), EF5=""Intermediate 1"", (IF((ISBETWEEN((EA5-((DU5-DT5)/2)), DT5, DU5)), EB5+$H5, (FLOOR((EB5*0.9875), $H5)))), EF5=""Advanced 2"", (IF(AND(((DZ5+((DS5-DR5)/2))&gt;DS5), ((EA5+((DU5-DT5)/2))&gt;DU5)), EB5+$H5, (EB5))), EF5=""Advanced 1"", (IFS(EI5&lt;EA5, "&amp;"EB5+$H5, EI5=EA5, (EB5), EI5&gt;EA5, (FLOOR((EB5*0.9875), $H5)))))), (AND(DU5=TRUE, DV5=""No"", EC5=TRUE, ED5=""No"")), (FLOOR((EB5*0.9), $H5)), (NOT((AND(EC5=TRUE, ED5=""Yes"")))), EB5)"),10.0)</f>
        <v>10</v>
      </c>
      <c r="EK5" s="41" t="b">
        <v>0</v>
      </c>
      <c r="EL5" s="47"/>
      <c r="EM5" s="47"/>
      <c r="EN5" s="47" t="str">
        <f t="shared" si="55"/>
        <v>Advanced 2</v>
      </c>
      <c r="EO5" s="60"/>
      <c r="EP5" s="61">
        <f t="shared" si="56"/>
        <v>4</v>
      </c>
      <c r="EQ5" s="62">
        <f t="shared" si="57"/>
        <v>10</v>
      </c>
      <c r="ER5" s="63">
        <f>IFERROR(__xludf.DUMMYFUNCTION("IFS((AND(EK5=TRUE, EL5=""Yes"")), (IFS(ISBLANK(EN5), EJ5, EN5=""Novice 1"", CEILING((EJ5*1.05), $H5), EN5=""Novice 2"", CEILING((EJ5*1.025), $H5), EN5=""Novice 3"", EJ5+$H5, EN5=""Intermediate 2"", (IF((ISBETWEEN(((((EC5-EB5)/2))+EI5), EB5, EC5)), EJ5, EJ"&amp;"5+$H5)), EN5=""Intermediate 1"", (IF((ISBETWEEN((EI5-((EC5-EB5)/2)), EB5, EC5)), EJ5+$H5, (FLOOR((EJ5*0.9875), $H5)))), EN5=""Advanced 2"", (IF(AND(((EH5+((EA5-DZ5)/2))&gt;EA5), ((EI5+((EC5-EB5)/2))&gt;EC5)), EJ5+$H5, (EJ5))), EN5=""Advanced 1"", (IFS(EQ5&lt;EI5, "&amp;"EJ5+$H5, EQ5=EI5, (EJ5), EQ5&gt;EI5, (FLOOR((EJ5*0.9875), $H5)))))), (AND(EC5=TRUE, ED5=""No"", EK5=TRUE, EL5=""No"")), (FLOOR((EJ5*0.9), $H5)), (NOT((AND(EK5=TRUE, EL5=""Yes"")))), EJ5)"),10.0)</f>
        <v>10</v>
      </c>
      <c r="ES5" s="64" t="b">
        <v>0</v>
      </c>
      <c r="ET5" s="65"/>
      <c r="EU5" s="65"/>
      <c r="EV5" s="65" t="str">
        <f t="shared" si="58"/>
        <v>Advanced 2</v>
      </c>
      <c r="EW5" s="66"/>
      <c r="EX5" s="55">
        <f t="shared" ref="EX5:EY5" si="59">IFERROR(EP5/2,EP5)</f>
        <v>2</v>
      </c>
      <c r="EY5" s="55">
        <f t="shared" si="59"/>
        <v>5</v>
      </c>
      <c r="EZ5" s="55">
        <f t="shared" si="60"/>
        <v>10</v>
      </c>
      <c r="FA5" s="68"/>
      <c r="FB5" s="30"/>
      <c r="FC5" s="57"/>
    </row>
    <row r="6" outlineLevel="1">
      <c r="A6" s="32" t="s">
        <v>36</v>
      </c>
      <c r="B6" s="58"/>
      <c r="C6" s="34">
        <v>4.0</v>
      </c>
      <c r="D6" s="35">
        <v>6.0</v>
      </c>
      <c r="E6" s="34">
        <v>8.0</v>
      </c>
      <c r="F6" s="35">
        <v>12.0</v>
      </c>
      <c r="G6" s="35">
        <v>120.0</v>
      </c>
      <c r="H6" s="36"/>
      <c r="I6" s="37" t="s">
        <v>33</v>
      </c>
      <c r="J6" s="59"/>
      <c r="K6" s="39">
        <f t="shared" si="5"/>
        <v>4</v>
      </c>
      <c r="L6" s="40">
        <f t="shared" si="6"/>
        <v>8</v>
      </c>
      <c r="M6" s="40">
        <f t="shared" si="7"/>
        <v>120</v>
      </c>
      <c r="N6" s="41" t="b">
        <v>0</v>
      </c>
      <c r="O6" s="42"/>
      <c r="P6" s="43"/>
      <c r="Q6" s="44" t="str">
        <f t="shared" si="61"/>
        <v>Advanced 2</v>
      </c>
      <c r="R6" s="60"/>
      <c r="S6" s="39">
        <f t="shared" si="8"/>
        <v>4</v>
      </c>
      <c r="T6" s="46">
        <f t="shared" si="9"/>
        <v>8</v>
      </c>
      <c r="U6" s="40">
        <f>IFERROR(__xludf.DUMMYFUNCTION("IFS((AND(N6=TRUE, O6=""Yes"")), (IFS(ISBLANK(Q6), M6, Q6=""Novice 1"", CEILING((M6*1.05), $H6), Q6=""Novice 2"", CEILING((M6*1.025), $H6), Q6=""Novice 3"", M6+$H6, Q6=""Intermediate 2"", (IF((ISBETWEEN(((((F6-E6)/2))+L6), E6, F6)), M6, M6+$H6)), Q6=""Inte"&amp;"rmediate 1"", (IF((ISBETWEEN((L6-((F6-E6)/2)), E6, F6)), M6+$H6, (FLOOR((M6*0.9875), $H6)))), Q6=""Advanced 2"", (IF(AND(((K6+((D6-C6)/2))&gt;D6), ((L6+((F6-E6)/2))&gt;F6)), M6+$H6, (M6))), Q6=""Advanced 1"", (IFS(T6&lt;L6, M6+$H6, T6=L6, (M6), T6&gt;L6, (FLOOR((M6*0"&amp;".9875), $H6)))))), (AND(F6=TRUE, G6=""No"", N6=TRUE, O6=""No"")), (FLOOR((M6*0.9), $H6)), (NOT((AND(N6=TRUE, O6=""Yes"")))), M6)"),120.0)</f>
        <v>120</v>
      </c>
      <c r="V6" s="41" t="b">
        <v>0</v>
      </c>
      <c r="W6" s="47"/>
      <c r="X6" s="47"/>
      <c r="Y6" s="47" t="str">
        <f t="shared" si="10"/>
        <v>Advanced 2</v>
      </c>
      <c r="Z6" s="60"/>
      <c r="AA6" s="39">
        <f t="shared" si="11"/>
        <v>4</v>
      </c>
      <c r="AB6" s="46">
        <f t="shared" si="12"/>
        <v>8</v>
      </c>
      <c r="AC6" s="40">
        <f>IFERROR(__xludf.DUMMYFUNCTION("IFS((AND(V6=TRUE, W6=""Yes"")), (IFS(ISBLANK(Y6), U6, Y6=""Novice 1"", CEILING((U6*1.05), $H6), Y6=""Novice 2"", CEILING((U6*1.025), $H6), Y6=""Novice 3"", U6+$H6, Y6=""Intermediate 2"", (IF((ISBETWEEN(((((N6-M6)/2))+T6), M6, N6)), U6, U6+$H6)), Y6=""Inte"&amp;"rmediate 1"", (IF((ISBETWEEN((T6-((N6-M6)/2)), M6, N6)), U6+$H6, (FLOOR((U6*0.9875), $H6)))), Y6=""Advanced 2"", (IF(AND(((S6+((L6-K6)/2))&gt;L6), ((T6+((N6-M6)/2))&gt;N6)), U6+$H6, (U6))), Y6=""Advanced 1"", (IFS(AB6&lt;T6, U6+$H6, AB6=T6, (U6), AB6&gt;T6, (FLOOR((U"&amp;"6*0.9875), $H6)))))), (AND(N6=TRUE, O6=""No"", V6=TRUE, W6=""No"")), (FLOOR((U6*0.9), $H6)), (NOT((AND(V6=TRUE, W6=""Yes"")))), U6)"),120.0)</f>
        <v>120</v>
      </c>
      <c r="AD6" s="41" t="b">
        <v>0</v>
      </c>
      <c r="AE6" s="47"/>
      <c r="AF6" s="47"/>
      <c r="AG6" s="47" t="str">
        <f t="shared" si="13"/>
        <v>Advanced 2</v>
      </c>
      <c r="AH6" s="60"/>
      <c r="AI6" s="48">
        <f t="shared" si="14"/>
        <v>4</v>
      </c>
      <c r="AJ6" s="49">
        <f t="shared" si="15"/>
        <v>8</v>
      </c>
      <c r="AK6" s="50">
        <f>IFERROR(__xludf.DUMMYFUNCTION("IFS((AND(AD6=TRUE, AE6=""Yes"")), (IFS(ISBLANK(AG6), AC6, AG6=""Novice 1"", CEILING((AC6*1.05), $H6), AG6=""Novice 2"", CEILING((AC6*1.025), $H6), AG6=""Novice 3"", AC6+$H6, AG6=""Intermediate 2"", (IF((ISBETWEEN(((((V6-U6)/2))+AB6), U6, V6)), AC6, AC6+$H"&amp;"6)), AG6=""Intermediate 1"", (IF((ISBETWEEN((AB6-((V6-U6)/2)), U6, V6)), AC6+$H6, (FLOOR((AC6*0.9875), $H6)))), AG6=""Advanced 2"", (IF(AND(((AA6+((T6-S6)/2))&gt;T6), ((AB6+((V6-U6)/2))&gt;V6)), AC6+$H6, (AC6))), AG6=""Advanced 1"", (IFS(AJ6&lt;AB6, AC6+$H6, AJ6=A"&amp;"B6, (AC6), AJ6&gt;AB6, (FLOOR((AC6*0.9875), $H6)))))), (AND(V6=TRUE, W6=""No"", AD6=TRUE, AE6=""No"")), (FLOOR((AC6*0.9), $H6)), (NOT((AND(AD6=TRUE, AE6=""Yes"")))), AC6)"),120.0)</f>
        <v>120</v>
      </c>
      <c r="AL6" s="51" t="b">
        <v>0</v>
      </c>
      <c r="AM6" s="52"/>
      <c r="AN6" s="52"/>
      <c r="AO6" s="52" t="str">
        <f t="shared" si="16"/>
        <v>Advanced 2</v>
      </c>
      <c r="AP6" s="69"/>
      <c r="AQ6" s="53">
        <f t="shared" ref="AQ6:AR6" si="62">IFERROR(AI6/2,AI6)</f>
        <v>2</v>
      </c>
      <c r="AR6" s="53">
        <f t="shared" si="62"/>
        <v>4</v>
      </c>
      <c r="AS6" s="53">
        <f t="shared" si="18"/>
        <v>120</v>
      </c>
      <c r="AT6" s="67"/>
      <c r="AU6" s="59"/>
      <c r="AV6" s="39">
        <f t="shared" si="19"/>
        <v>4</v>
      </c>
      <c r="AW6" s="46">
        <f t="shared" si="20"/>
        <v>8</v>
      </c>
      <c r="AX6" s="40">
        <f>IFERROR(__xludf.DUMMYFUNCTION("IFS((AND(AL6=TRUE, AM6=""Yes"")), (IFS(ISBLANK(AO6), AK6, AO6=""Novice 1"", CEILING((AK6*1.05), $H6), AO6=""Novice 2"", CEILING((AK6*1.025), $H6), AO6=""Novice 3"", AK6+$H6, AO6=""Intermediate 2"", (IF((ISBETWEEN(((((AD6-AC6)/2))+AJ6), AC6, AD6)), AK6, AK"&amp;"6+$H6)), AO6=""Intermediate 1"", (IF((ISBETWEEN((AJ6-((AD6-AC6)/2)), AC6, AD6)), AK6+$H6, (FLOOR((AK6*0.9875), $H6)))), AO6=""Advanced 2"", (IF(AND(((AI6+((AB6-AA6)/2))&gt;AB6), ((AJ6+((AD6-AC6)/2))&gt;AD6)), AK6+$H6, (AK6))), AO6=""Advanced 1"", (IFS(AW6&lt;AJ6, "&amp;"AK6+$H6, AW6=AJ6, (AK6), AW6&gt;AJ6, (FLOOR((AK6*0.9875), $H6)))))), (AND(AD6=TRUE, AE6=""No"", AL6=TRUE, AM6=""No"")), (FLOOR((AK6*0.9), $H6)), (NOT((AND(AL6=TRUE, AM6=""Yes"")))), AK6)"),120.0)</f>
        <v>120</v>
      </c>
      <c r="AY6" s="41" t="b">
        <v>0</v>
      </c>
      <c r="AZ6" s="47"/>
      <c r="BA6" s="47"/>
      <c r="BB6" s="47" t="str">
        <f t="shared" si="21"/>
        <v>Advanced 2</v>
      </c>
      <c r="BC6" s="60"/>
      <c r="BD6" s="39">
        <f t="shared" si="22"/>
        <v>4</v>
      </c>
      <c r="BE6" s="46">
        <f t="shared" si="23"/>
        <v>8</v>
      </c>
      <c r="BF6" s="40">
        <f>IFERROR(__xludf.DUMMYFUNCTION("IFS((AND(AY6=TRUE, AZ6=""Yes"")), (IFS(ISBLANK(BB6), AX6, BB6=""Novice 1"", CEILING((AX6*1.05), $H6), BB6=""Novice 2"", CEILING((AX6*1.025), $H6), BB6=""Novice 3"", AX6+$H6, BB6=""Intermediate 2"", (IF((ISBETWEEN(((((AL6-AK6)/2))+AW6), AK6, AL6)), AX6, AX"&amp;"6+$H6)), BB6=""Intermediate 1"", (IF((ISBETWEEN((AW6-((AL6-AK6)/2)), AK6, AL6)), AX6+$H6, (FLOOR((AX6*0.9875), $H6)))), BB6=""Advanced 2"", (IF(AND(((AV6+((AJ6-AI6)/2))&gt;AJ6), ((AW6+((AL6-AK6)/2))&gt;AL6)), AX6+$H6, (AX6))), BB6=""Advanced 1"", (IFS(BE6&lt;AW6, "&amp;"AX6+$H6, BE6=AW6, (AX6), BE6&gt;AW6, (FLOOR((AX6*0.9875), $H6)))))), (AND(AL6=TRUE, AM6=""No"", AY6=TRUE, AZ6=""No"")), (FLOOR((AX6*0.9), $H6)), (NOT((AND(AY6=TRUE, AZ6=""Yes"")))), AX6)"),120.0)</f>
        <v>120</v>
      </c>
      <c r="BG6" s="41" t="b">
        <v>0</v>
      </c>
      <c r="BH6" s="47"/>
      <c r="BI6" s="47"/>
      <c r="BJ6" s="47" t="str">
        <f t="shared" si="24"/>
        <v>Advanced 2</v>
      </c>
      <c r="BK6" s="60"/>
      <c r="BL6" s="39">
        <f t="shared" si="25"/>
        <v>4</v>
      </c>
      <c r="BM6" s="46">
        <f t="shared" si="26"/>
        <v>8</v>
      </c>
      <c r="BN6" s="40">
        <f>IFERROR(__xludf.DUMMYFUNCTION("IFS((AND(BG6=TRUE, BH6=""Yes"")), (IFS(ISBLANK(BJ6), BF6, BJ6=""Novice 1"", CEILING((BF6*1.05), $H6), BJ6=""Novice 2"", CEILING((BF6*1.025), $H6), BJ6=""Novice 3"", BF6+$H6, BJ6=""Intermediate 2"", (IF((ISBETWEEN(((((AY6-AX6)/2))+BE6), AX6, AY6)), BF6, BF"&amp;"6+$H6)), BJ6=""Intermediate 1"", (IF((ISBETWEEN((BE6-((AY6-AX6)/2)), AX6, AY6)), BF6+$H6, (FLOOR((BF6*0.9875), $H6)))), BJ6=""Advanced 2"", (IF(AND(((BD6+((AW6-AV6)/2))&gt;AW6), ((BE6+((AY6-AX6)/2))&gt;AY6)), BF6+$H6, (BF6))), BJ6=""Advanced 1"", (IFS(BM6&lt;BE6, "&amp;"BF6+$H6, BM6=BE6, (BF6), BM6&gt;BE6, (FLOOR((BF6*0.9875), $H6)))))), (AND(AY6=TRUE, AZ6=""No"", BG6=TRUE, BH6=""No"")), (FLOOR((BF6*0.9), $H6)), (NOT((AND(BG6=TRUE, BH6=""Yes"")))), BF6)"),120.0)</f>
        <v>120</v>
      </c>
      <c r="BO6" s="41" t="b">
        <v>0</v>
      </c>
      <c r="BP6" s="47"/>
      <c r="BQ6" s="47"/>
      <c r="BR6" s="47" t="str">
        <f t="shared" si="27"/>
        <v>Advanced 2</v>
      </c>
      <c r="BS6" s="60"/>
      <c r="BT6" s="48">
        <f t="shared" si="28"/>
        <v>4</v>
      </c>
      <c r="BU6" s="49">
        <f t="shared" si="29"/>
        <v>8</v>
      </c>
      <c r="BV6" s="50">
        <f>IFERROR(__xludf.DUMMYFUNCTION("IFS((AND(BO6=TRUE, BP6=""Yes"")), (IFS(ISBLANK(BR6), BN6, BR6=""Novice 1"", CEILING((BN6*1.05), $H6), BR6=""Novice 2"", CEILING((BN6*1.025), $H6), BR6=""Novice 3"", BN6+$H6, BR6=""Intermediate 2"", (IF((ISBETWEEN(((((BG6-BF6)/2))+BM6), BF6, BG6)), BN6, BN"&amp;"6+$H6)), BR6=""Intermediate 1"", (IF((ISBETWEEN((BM6-((BG6-BF6)/2)), BF6, BG6)), BN6+$H6, (FLOOR((BN6*0.9875), $H6)))), BR6=""Advanced 2"", (IF(AND(((BL6+((BE6-BD6)/2))&gt;BE6), ((BM6+((BG6-BF6)/2))&gt;BG6)), BN6+$H6, (BN6))), BR6=""Advanced 1"", (IFS(BU6&lt;BM6, "&amp;"BN6+$H6, BU6=BM6, (BN6), BU6&gt;BM6, (FLOOR((BN6*0.9875), $H6)))))), (AND(BG6=TRUE, BH6=""No"", BO6=TRUE, BP6=""No"")), (FLOOR((BN6*0.9), $H6)), (NOT((AND(BO6=TRUE, BP6=""Yes"")))), BN6)"),120.0)</f>
        <v>120</v>
      </c>
      <c r="BW6" s="51" t="b">
        <v>0</v>
      </c>
      <c r="BX6" s="52"/>
      <c r="BY6" s="52"/>
      <c r="BZ6" s="52" t="str">
        <f t="shared" si="30"/>
        <v>Advanced 2</v>
      </c>
      <c r="CA6" s="69"/>
      <c r="CB6" s="53">
        <f t="shared" ref="CB6:CC6" si="63">IFERROR(BT6/2,BT6)</f>
        <v>2</v>
      </c>
      <c r="CC6" s="53">
        <f t="shared" si="63"/>
        <v>4</v>
      </c>
      <c r="CD6" s="53">
        <f t="shared" si="32"/>
        <v>120</v>
      </c>
      <c r="CE6" s="67"/>
      <c r="CF6" s="60"/>
      <c r="CG6" s="39">
        <f t="shared" si="33"/>
        <v>4</v>
      </c>
      <c r="CH6" s="46">
        <f t="shared" si="34"/>
        <v>8</v>
      </c>
      <c r="CI6" s="40">
        <f>IFERROR(__xludf.DUMMYFUNCTION("IFS((AND(BW6=TRUE, BX6=""Yes"")), (IFS(ISBLANK(BZ6), BV6, BZ6=""Novice 1"", CEILING((BV6*1.05), $H6), BZ6=""Novice 2"", CEILING((BV6*1.025), $H6), BZ6=""Novice 3"", BV6+$H6, BZ6=""Intermediate 2"", (IF((ISBETWEEN(((((BO6-BN6)/2))+BU6), BN6, BO6)), BV6, BV"&amp;"6+$H6)), BZ6=""Intermediate 1"", (IF((ISBETWEEN((BU6-((BO6-BN6)/2)), BN6, BO6)), BV6+$H6, (FLOOR((BV6*0.9875), $H6)))), BZ6=""Advanced 2"", (IF(AND(((BT6+((BM6-BL6)/2))&gt;BM6), ((BU6+((BO6-BN6)/2))&gt;BO6)), BV6+$H6, (BV6))), BZ6=""Advanced 1"", (IFS(CH6&lt;BU6, "&amp;"BV6+$H6, CH6=BU6, (BV6), CH6&gt;BU6, (FLOOR((BV6*0.9875), $H6)))))), (AND(BO6=TRUE, BP6=""No"", BW6=TRUE, BX6=""No"")), (FLOOR((BV6*0.9), $H6)), (NOT((AND(BW6=TRUE, BX6=""Yes"")))), BV6)"),120.0)</f>
        <v>120</v>
      </c>
      <c r="CJ6" s="41" t="b">
        <v>0</v>
      </c>
      <c r="CK6" s="47"/>
      <c r="CL6" s="47"/>
      <c r="CM6" s="47" t="str">
        <f t="shared" si="35"/>
        <v>Advanced 2</v>
      </c>
      <c r="CN6" s="60"/>
      <c r="CO6" s="39">
        <f t="shared" si="36"/>
        <v>4</v>
      </c>
      <c r="CP6" s="46">
        <f t="shared" si="37"/>
        <v>8</v>
      </c>
      <c r="CQ6" s="40">
        <f>IFERROR(__xludf.DUMMYFUNCTION("IFS((AND(CJ6=TRUE, CK6=""Yes"")), (IFS(ISBLANK(CM6), CI6, CM6=""Novice 1"", CEILING((CI6*1.05), $H6), CM6=""Novice 2"", CEILING((CI6*1.025), $H6), CM6=""Novice 3"", CI6+$H6, CM6=""Intermediate 2"", (IF((ISBETWEEN(((((BW6-BV6)/2))+CH6), BV6, BW6)), CI6, CI"&amp;"6+$H6)), CM6=""Intermediate 1"", (IF((ISBETWEEN((CH6-((BW6-BV6)/2)), BV6, BW6)), CI6+$H6, (FLOOR((CI6*0.9875), $H6)))), CM6=""Advanced 2"", (IF(AND(((CG6+((BU6-BT6)/2))&gt;BU6), ((CH6+((BW6-BV6)/2))&gt;BW6)), CI6+$H6, (CI6))), CM6=""Advanced 1"", (IFS(CP6&lt;CH6, "&amp;"CI6+$H6, CP6=CH6, (CI6), CP6&gt;CH6, (FLOOR((CI6*0.9875), $H6)))))), (AND(BW6=TRUE, BX6=""No"", CJ6=TRUE, CK6=""No"")), (FLOOR((CI6*0.9), $H6)), (NOT((AND(CJ6=TRUE, CK6=""Yes"")))), CI6)"),120.0)</f>
        <v>120</v>
      </c>
      <c r="CR6" s="41" t="b">
        <v>0</v>
      </c>
      <c r="CS6" s="47"/>
      <c r="CT6" s="47"/>
      <c r="CU6" s="47" t="str">
        <f t="shared" si="38"/>
        <v>Advanced 2</v>
      </c>
      <c r="CV6" s="60"/>
      <c r="CW6" s="39">
        <f t="shared" si="39"/>
        <v>4</v>
      </c>
      <c r="CX6" s="46">
        <f t="shared" si="40"/>
        <v>8</v>
      </c>
      <c r="CY6" s="40">
        <f>IFERROR(__xludf.DUMMYFUNCTION("IFS((AND(CR6=TRUE, CS6=""Yes"")), (IFS(ISBLANK(CU6), CQ6, CU6=""Novice 1"", CEILING((CQ6*1.05), $H6), CU6=""Novice 2"", CEILING((CQ6*1.025), $H6), CU6=""Novice 3"", CQ6+$H6, CU6=""Intermediate 2"", (IF((ISBETWEEN(((((CJ6-CI6)/2))+CP6), CI6, CJ6)), CQ6, CQ"&amp;"6+$H6)), CU6=""Intermediate 1"", (IF((ISBETWEEN((CP6-((CJ6-CI6)/2)), CI6, CJ6)), CQ6+$H6, (FLOOR((CQ6*0.9875), $H6)))), CU6=""Advanced 2"", (IF(AND(((CO6+((CH6-CG6)/2))&gt;CH6), ((CP6+((CJ6-CI6)/2))&gt;CJ6)), CQ6+$H6, (CQ6))), CU6=""Advanced 1"", (IFS(CX6&lt;CP6, "&amp;"CQ6+$H6, CX6=CP6, (CQ6), CX6&gt;CP6, (FLOOR((CQ6*0.9875), $H6)))))), (AND(CJ6=TRUE, CK6=""No"", CR6=TRUE, CS6=""No"")), (FLOOR((CQ6*0.9), $H6)), (NOT((AND(CR6=TRUE, CS6=""Yes"")))), CQ6)"),120.0)</f>
        <v>120</v>
      </c>
      <c r="CZ6" s="41" t="b">
        <v>0</v>
      </c>
      <c r="DA6" s="47"/>
      <c r="DB6" s="47"/>
      <c r="DC6" s="47" t="str">
        <f t="shared" si="41"/>
        <v>Advanced 2</v>
      </c>
      <c r="DD6" s="60"/>
      <c r="DE6" s="48">
        <f t="shared" si="42"/>
        <v>4</v>
      </c>
      <c r="DF6" s="49">
        <f t="shared" si="43"/>
        <v>8</v>
      </c>
      <c r="DG6" s="50">
        <f>IFERROR(__xludf.DUMMYFUNCTION("IFS((AND(CZ6=TRUE, DA6=""Yes"")), (IFS(ISBLANK(DC6), CY6, DC6=""Novice 1"", CEILING((CY6*1.05), $H6), DC6=""Novice 2"", CEILING((CY6*1.025), $H6), DC6=""Novice 3"", CY6+$H6, DC6=""Intermediate 2"", (IF((ISBETWEEN(((((CR6-CQ6)/2))+CX6), CQ6, CR6)), CY6, CY"&amp;"6+$H6)), DC6=""Intermediate 1"", (IF((ISBETWEEN((CX6-((CR6-CQ6)/2)), CQ6, CR6)), CY6+$H6, (FLOOR((CY6*0.9875), $H6)))), DC6=""Advanced 2"", (IF(AND(((CW6+((CP6-CO6)/2))&gt;CP6), ((CX6+((CR6-CQ6)/2))&gt;CR6)), CY6+$H6, (CY6))), DC6=""Advanced 1"", (IFS(DF6&lt;CX6, "&amp;"CY6+$H6, DF6=CX6, (CY6), DF6&gt;CX6, (FLOOR((CY6*0.9875), $H6)))))), (AND(CR6=TRUE, CS6=""No"", CZ6=TRUE, DA6=""No"")), (FLOOR((CY6*0.9), $H6)), (NOT((AND(CZ6=TRUE, DA6=""Yes"")))), CY6)"),120.0)</f>
        <v>120</v>
      </c>
      <c r="DH6" s="51" t="b">
        <v>0</v>
      </c>
      <c r="DI6" s="52"/>
      <c r="DJ6" s="52"/>
      <c r="DK6" s="52" t="str">
        <f t="shared" si="44"/>
        <v>Advanced 2</v>
      </c>
      <c r="DL6" s="69"/>
      <c r="DM6" s="53">
        <f t="shared" ref="DM6:DN6" si="64">IFERROR(DE6/2,DE6)</f>
        <v>2</v>
      </c>
      <c r="DN6" s="53">
        <f t="shared" si="64"/>
        <v>4</v>
      </c>
      <c r="DO6" s="53">
        <f t="shared" si="46"/>
        <v>120</v>
      </c>
      <c r="DP6" s="67"/>
      <c r="DQ6" s="60"/>
      <c r="DR6" s="39">
        <f t="shared" si="47"/>
        <v>4</v>
      </c>
      <c r="DS6" s="46">
        <f t="shared" si="48"/>
        <v>8</v>
      </c>
      <c r="DT6" s="40">
        <f>IFERROR(__xludf.DUMMYFUNCTION("IFS((AND(DH6=TRUE, DI6=""Yes"")), (IFS(ISBLANK(DK6), DG6, DK6=""Novice 1"", CEILING((DG6*1.05), $H6), DK6=""Novice 2"", CEILING((DG6*1.025), $H6), DK6=""Novice 3"", DG6+$H6, DK6=""Intermediate 2"", (IF((ISBETWEEN(((((CZ6-CY6)/2))+DF6), CY6, CZ6)), DG6, DG"&amp;"6+$H6)), DK6=""Intermediate 1"", (IF((ISBETWEEN((DF6-((CZ6-CY6)/2)), CY6, CZ6)), DG6+$H6, (FLOOR((DG6*0.9875), $H6)))), DK6=""Advanced 2"", (IF(AND(((DE6+((CX6-CW6)/2))&gt;CX6), ((DF6+((CZ6-CY6)/2))&gt;CZ6)), DG6+$H6, (DG6))), DK6=""Advanced 1"", (IFS(DS6&lt;DF6, "&amp;"DG6+$H6, DS6=DF6, (DG6), DS6&gt;DF6, (FLOOR((DG6*0.9875), $H6)))))), (AND(CZ6=TRUE, DA6=""No"", DH6=TRUE, DI6=""No"")), (FLOOR((DG6*0.9), $H6)), (NOT((AND(DH6=TRUE, DI6=""Yes"")))), DG6)"),120.0)</f>
        <v>120</v>
      </c>
      <c r="DU6" s="41" t="b">
        <v>0</v>
      </c>
      <c r="DV6" s="47"/>
      <c r="DW6" s="47"/>
      <c r="DX6" s="47" t="str">
        <f t="shared" si="49"/>
        <v>Advanced 2</v>
      </c>
      <c r="DY6" s="60"/>
      <c r="DZ6" s="39">
        <f t="shared" si="50"/>
        <v>4</v>
      </c>
      <c r="EA6" s="46">
        <f t="shared" si="51"/>
        <v>8</v>
      </c>
      <c r="EB6" s="40">
        <f>IFERROR(__xludf.DUMMYFUNCTION("IFS((AND(DU6=TRUE, DV6=""Yes"")), (IFS(ISBLANK(DX6), DT6, DX6=""Novice 1"", CEILING((DT6*1.05), $H6), DX6=""Novice 2"", CEILING((DT6*1.025), $H6), DX6=""Novice 3"", DT6+$H6, DX6=""Intermediate 2"", (IF((ISBETWEEN(((((DH6-DG6)/2))+DS6), DG6, DH6)), DT6, DT"&amp;"6+$H6)), DX6=""Intermediate 1"", (IF((ISBETWEEN((DS6-((DH6-DG6)/2)), DG6, DH6)), DT6+$H6, (FLOOR((DT6*0.9875), $H6)))), DX6=""Advanced 2"", (IF(AND(((DR6+((DF6-DE6)/2))&gt;DF6), ((DS6+((DH6-DG6)/2))&gt;DH6)), DT6+$H6, (DT6))), DX6=""Advanced 1"", (IFS(EA6&lt;DS6, "&amp;"DT6+$H6, EA6=DS6, (DT6), EA6&gt;DS6, (FLOOR((DT6*0.9875), $H6)))))), (AND(DH6=TRUE, DI6=""No"", DU6=TRUE, DV6=""No"")), (FLOOR((DT6*0.9), $H6)), (NOT((AND(DU6=TRUE, DV6=""Yes"")))), DT6)"),120.0)</f>
        <v>120</v>
      </c>
      <c r="EC6" s="41" t="b">
        <v>0</v>
      </c>
      <c r="ED6" s="47"/>
      <c r="EE6" s="47"/>
      <c r="EF6" s="47" t="str">
        <f t="shared" si="52"/>
        <v>Advanced 2</v>
      </c>
      <c r="EG6" s="60"/>
      <c r="EH6" s="39">
        <f t="shared" si="53"/>
        <v>4</v>
      </c>
      <c r="EI6" s="46">
        <f t="shared" si="54"/>
        <v>8</v>
      </c>
      <c r="EJ6" s="40">
        <f>IFERROR(__xludf.DUMMYFUNCTION("IFS((AND(EC6=TRUE, ED6=""Yes"")), (IFS(ISBLANK(EF6), EB6, EF6=""Novice 1"", CEILING((EB6*1.05), $H6), EF6=""Novice 2"", CEILING((EB6*1.025), $H6), EF6=""Novice 3"", EB6+$H6, EF6=""Intermediate 2"", (IF((ISBETWEEN(((((DU6-DT6)/2))+EA6), DT6, DU6)), EB6, EB"&amp;"6+$H6)), EF6=""Intermediate 1"", (IF((ISBETWEEN((EA6-((DU6-DT6)/2)), DT6, DU6)), EB6+$H6, (FLOOR((EB6*0.9875), $H6)))), EF6=""Advanced 2"", (IF(AND(((DZ6+((DS6-DR6)/2))&gt;DS6), ((EA6+((DU6-DT6)/2))&gt;DU6)), EB6+$H6, (EB6))), EF6=""Advanced 1"", (IFS(EI6&lt;EA6, "&amp;"EB6+$H6, EI6=EA6, (EB6), EI6&gt;EA6, (FLOOR((EB6*0.9875), $H6)))))), (AND(DU6=TRUE, DV6=""No"", EC6=TRUE, ED6=""No"")), (FLOOR((EB6*0.9), $H6)), (NOT((AND(EC6=TRUE, ED6=""Yes"")))), EB6)"),120.0)</f>
        <v>120</v>
      </c>
      <c r="EK6" s="41" t="b">
        <v>0</v>
      </c>
      <c r="EL6" s="47"/>
      <c r="EM6" s="47"/>
      <c r="EN6" s="47" t="str">
        <f t="shared" si="55"/>
        <v>Advanced 2</v>
      </c>
      <c r="EO6" s="60"/>
      <c r="EP6" s="48">
        <f t="shared" si="56"/>
        <v>4</v>
      </c>
      <c r="EQ6" s="49">
        <f t="shared" si="57"/>
        <v>8</v>
      </c>
      <c r="ER6" s="50">
        <f>IFERROR(__xludf.DUMMYFUNCTION("IFS((AND(EK6=TRUE, EL6=""Yes"")), (IFS(ISBLANK(EN6), EJ6, EN6=""Novice 1"", CEILING((EJ6*1.05), $H6), EN6=""Novice 2"", CEILING((EJ6*1.025), $H6), EN6=""Novice 3"", EJ6+$H6, EN6=""Intermediate 2"", (IF((ISBETWEEN(((((EC6-EB6)/2))+EI6), EB6, EC6)), EJ6, EJ"&amp;"6+$H6)), EN6=""Intermediate 1"", (IF((ISBETWEEN((EI6-((EC6-EB6)/2)), EB6, EC6)), EJ6+$H6, (FLOOR((EJ6*0.9875), $H6)))), EN6=""Advanced 2"", (IF(AND(((EH6+((EA6-DZ6)/2))&gt;EA6), ((EI6+((EC6-EB6)/2))&gt;EC6)), EJ6+$H6, (EJ6))), EN6=""Advanced 1"", (IFS(EQ6&lt;EI6, "&amp;"EJ6+$H6, EQ6=EI6, (EJ6), EQ6&gt;EI6, (FLOOR((EJ6*0.9875), $H6)))))), (AND(EC6=TRUE, ED6=""No"", EK6=TRUE, EL6=""No"")), (FLOOR((EJ6*0.9), $H6)), (NOT((AND(EK6=TRUE, EL6=""Yes"")))), EJ6)"),120.0)</f>
        <v>120</v>
      </c>
      <c r="ES6" s="51" t="b">
        <v>0</v>
      </c>
      <c r="ET6" s="52"/>
      <c r="EU6" s="52"/>
      <c r="EV6" s="52" t="str">
        <f t="shared" si="58"/>
        <v>Advanced 2</v>
      </c>
      <c r="EW6" s="69"/>
      <c r="EX6" s="55">
        <f t="shared" ref="EX6:EY6" si="65">IFERROR(EP6/2,EP6)</f>
        <v>2</v>
      </c>
      <c r="EY6" s="55">
        <f t="shared" si="65"/>
        <v>4</v>
      </c>
      <c r="EZ6" s="55">
        <f t="shared" si="60"/>
        <v>120</v>
      </c>
      <c r="FA6" s="68"/>
      <c r="FB6" s="30"/>
      <c r="FC6" s="57"/>
    </row>
    <row r="7" outlineLevel="1">
      <c r="A7" s="32" t="s">
        <v>37</v>
      </c>
      <c r="B7" s="58"/>
      <c r="C7" s="34">
        <v>4.0</v>
      </c>
      <c r="D7" s="35">
        <v>6.0</v>
      </c>
      <c r="E7" s="34">
        <v>12.0</v>
      </c>
      <c r="F7" s="35">
        <v>20.0</v>
      </c>
      <c r="G7" s="35">
        <v>60.0</v>
      </c>
      <c r="H7" s="36"/>
      <c r="I7" s="37" t="s">
        <v>33</v>
      </c>
      <c r="J7" s="59"/>
      <c r="K7" s="39">
        <f t="shared" si="5"/>
        <v>4</v>
      </c>
      <c r="L7" s="40">
        <f t="shared" si="6"/>
        <v>12</v>
      </c>
      <c r="M7" s="40">
        <f t="shared" si="7"/>
        <v>60</v>
      </c>
      <c r="N7" s="41" t="b">
        <v>0</v>
      </c>
      <c r="O7" s="42"/>
      <c r="P7" s="43"/>
      <c r="Q7" s="44" t="str">
        <f t="shared" si="61"/>
        <v>Advanced 2</v>
      </c>
      <c r="R7" s="60"/>
      <c r="S7" s="39">
        <f t="shared" si="8"/>
        <v>4</v>
      </c>
      <c r="T7" s="46">
        <f t="shared" si="9"/>
        <v>12</v>
      </c>
      <c r="U7" s="40">
        <f>IFERROR(__xludf.DUMMYFUNCTION("IFS((AND(N7=TRUE, O7=""Yes"")), (IFS(ISBLANK(Q7), M7, Q7=""Novice 1"", CEILING((M7*1.05), $H7), Q7=""Novice 2"", CEILING((M7*1.025), $H7), Q7=""Novice 3"", M7+$H7, Q7=""Intermediate 2"", (IF((ISBETWEEN(((((F7-E7)/2))+L7), E7, F7)), M7, M7+$H7)), Q7=""Inte"&amp;"rmediate 1"", (IF((ISBETWEEN((L7-((F7-E7)/2)), E7, F7)), M7+$H7, (FLOOR((M7*0.9875), $H7)))), Q7=""Advanced 2"", (IF(AND(((K7+((D7-C7)/2))&gt;D7), ((L7+((F7-E7)/2))&gt;F7)), M7+$H7, (M7))), Q7=""Advanced 1"", (IFS(T7&lt;L7, M7+$H7, T7=L7, (M7), T7&gt;L7, (FLOOR((M7*0"&amp;".9875), $H7)))))), (AND(F7=TRUE, G7=""No"", N7=TRUE, O7=""No"")), (FLOOR((M7*0.9), $H7)), (NOT((AND(N7=TRUE, O7=""Yes"")))), M7)"),60.0)</f>
        <v>60</v>
      </c>
      <c r="V7" s="41" t="b">
        <v>0</v>
      </c>
      <c r="W7" s="47"/>
      <c r="X7" s="47"/>
      <c r="Y7" s="47" t="str">
        <f t="shared" si="10"/>
        <v>Advanced 2</v>
      </c>
      <c r="Z7" s="60"/>
      <c r="AA7" s="39">
        <f t="shared" si="11"/>
        <v>4</v>
      </c>
      <c r="AB7" s="46">
        <f t="shared" si="12"/>
        <v>12</v>
      </c>
      <c r="AC7" s="40">
        <f>IFERROR(__xludf.DUMMYFUNCTION("IFS((AND(V7=TRUE, W7=""Yes"")), (IFS(ISBLANK(Y7), U7, Y7=""Novice 1"", CEILING((U7*1.05), $H7), Y7=""Novice 2"", CEILING((U7*1.025), $H7), Y7=""Novice 3"", U7+$H7, Y7=""Intermediate 2"", (IF((ISBETWEEN(((((N7-M7)/2))+T7), M7, N7)), U7, U7+$H7)), Y7=""Inte"&amp;"rmediate 1"", (IF((ISBETWEEN((T7-((N7-M7)/2)), M7, N7)), U7+$H7, (FLOOR((U7*0.9875), $H7)))), Y7=""Advanced 2"", (IF(AND(((S7+((L7-K7)/2))&gt;L7), ((T7+((N7-M7)/2))&gt;N7)), U7+$H7, (U7))), Y7=""Advanced 1"", (IFS(AB7&lt;T7, U7+$H7, AB7=T7, (U7), AB7&gt;T7, (FLOOR((U"&amp;"7*0.9875), $H7)))))), (AND(N7=TRUE, O7=""No"", V7=TRUE, W7=""No"")), (FLOOR((U7*0.9), $H7)), (NOT((AND(V7=TRUE, W7=""Yes"")))), U7)"),60.0)</f>
        <v>60</v>
      </c>
      <c r="AD7" s="41" t="b">
        <v>0</v>
      </c>
      <c r="AE7" s="47"/>
      <c r="AF7" s="47"/>
      <c r="AG7" s="47" t="str">
        <f t="shared" si="13"/>
        <v>Advanced 2</v>
      </c>
      <c r="AH7" s="60"/>
      <c r="AI7" s="61">
        <f t="shared" si="14"/>
        <v>4</v>
      </c>
      <c r="AJ7" s="62">
        <f t="shared" si="15"/>
        <v>12</v>
      </c>
      <c r="AK7" s="63">
        <f>IFERROR(__xludf.DUMMYFUNCTION("IFS((AND(AD7=TRUE, AE7=""Yes"")), (IFS(ISBLANK(AG7), AC7, AG7=""Novice 1"", CEILING((AC7*1.05), $H7), AG7=""Novice 2"", CEILING((AC7*1.025), $H7), AG7=""Novice 3"", AC7+$H7, AG7=""Intermediate 2"", (IF((ISBETWEEN(((((V7-U7)/2))+AB7), U7, V7)), AC7, AC7+$H"&amp;"7)), AG7=""Intermediate 1"", (IF((ISBETWEEN((AB7-((V7-U7)/2)), U7, V7)), AC7+$H7, (FLOOR((AC7*0.9875), $H7)))), AG7=""Advanced 2"", (IF(AND(((AA7+((T7-S7)/2))&gt;T7), ((AB7+((V7-U7)/2))&gt;V7)), AC7+$H7, (AC7))), AG7=""Advanced 1"", (IFS(AJ7&lt;AB7, AC7+$H7, AJ7=A"&amp;"B7, (AC7), AJ7&gt;AB7, (FLOOR((AC7*0.9875), $H7)))))), (AND(V7=TRUE, W7=""No"", AD7=TRUE, AE7=""No"")), (FLOOR((AC7*0.9), $H7)), (NOT((AND(AD7=TRUE, AE7=""Yes"")))), AC7)"),60.0)</f>
        <v>60</v>
      </c>
      <c r="AL7" s="64" t="b">
        <v>0</v>
      </c>
      <c r="AM7" s="65"/>
      <c r="AN7" s="65"/>
      <c r="AO7" s="65" t="str">
        <f t="shared" si="16"/>
        <v>Advanced 2</v>
      </c>
      <c r="AP7" s="66"/>
      <c r="AQ7" s="53">
        <f t="shared" ref="AQ7:AR7" si="66">IFERROR(AI7/2,AI7)</f>
        <v>2</v>
      </c>
      <c r="AR7" s="53">
        <f t="shared" si="66"/>
        <v>6</v>
      </c>
      <c r="AS7" s="53">
        <f t="shared" si="18"/>
        <v>60</v>
      </c>
      <c r="AT7" s="67"/>
      <c r="AU7" s="59"/>
      <c r="AV7" s="39">
        <f t="shared" si="19"/>
        <v>4</v>
      </c>
      <c r="AW7" s="46">
        <f t="shared" si="20"/>
        <v>12</v>
      </c>
      <c r="AX7" s="40">
        <f>IFERROR(__xludf.DUMMYFUNCTION("IFS((AND(AL7=TRUE, AM7=""Yes"")), (IFS(ISBLANK(AO7), AK7, AO7=""Novice 1"", CEILING((AK7*1.05), $H7), AO7=""Novice 2"", CEILING((AK7*1.025), $H7), AO7=""Novice 3"", AK7+$H7, AO7=""Intermediate 2"", (IF((ISBETWEEN(((((AD7-AC7)/2))+AJ7), AC7, AD7)), AK7, AK"&amp;"7+$H7)), AO7=""Intermediate 1"", (IF((ISBETWEEN((AJ7-((AD7-AC7)/2)), AC7, AD7)), AK7+$H7, (FLOOR((AK7*0.9875), $H7)))), AO7=""Advanced 2"", (IF(AND(((AI7+((AB7-AA7)/2))&gt;AB7), ((AJ7+((AD7-AC7)/2))&gt;AD7)), AK7+$H7, (AK7))), AO7=""Advanced 1"", (IFS(AW7&lt;AJ7, "&amp;"AK7+$H7, AW7=AJ7, (AK7), AW7&gt;AJ7, (FLOOR((AK7*0.9875), $H7)))))), (AND(AD7=TRUE, AE7=""No"", AL7=TRUE, AM7=""No"")), (FLOOR((AK7*0.9), $H7)), (NOT((AND(AL7=TRUE, AM7=""Yes"")))), AK7)"),60.0)</f>
        <v>60</v>
      </c>
      <c r="AY7" s="41" t="b">
        <v>0</v>
      </c>
      <c r="AZ7" s="47"/>
      <c r="BA7" s="47"/>
      <c r="BB7" s="47" t="str">
        <f t="shared" si="21"/>
        <v>Advanced 2</v>
      </c>
      <c r="BC7" s="60"/>
      <c r="BD7" s="39">
        <f t="shared" si="22"/>
        <v>4</v>
      </c>
      <c r="BE7" s="46">
        <f t="shared" si="23"/>
        <v>12</v>
      </c>
      <c r="BF7" s="40">
        <f>IFERROR(__xludf.DUMMYFUNCTION("IFS((AND(AY7=TRUE, AZ7=""Yes"")), (IFS(ISBLANK(BB7), AX7, BB7=""Novice 1"", CEILING((AX7*1.05), $H7), BB7=""Novice 2"", CEILING((AX7*1.025), $H7), BB7=""Novice 3"", AX7+$H7, BB7=""Intermediate 2"", (IF((ISBETWEEN(((((AL7-AK7)/2))+AW7), AK7, AL7)), AX7, AX"&amp;"7+$H7)), BB7=""Intermediate 1"", (IF((ISBETWEEN((AW7-((AL7-AK7)/2)), AK7, AL7)), AX7+$H7, (FLOOR((AX7*0.9875), $H7)))), BB7=""Advanced 2"", (IF(AND(((AV7+((AJ7-AI7)/2))&gt;AJ7), ((AW7+((AL7-AK7)/2))&gt;AL7)), AX7+$H7, (AX7))), BB7=""Advanced 1"", (IFS(BE7&lt;AW7, "&amp;"AX7+$H7, BE7=AW7, (AX7), BE7&gt;AW7, (FLOOR((AX7*0.9875), $H7)))))), (AND(AL7=TRUE, AM7=""No"", AY7=TRUE, AZ7=""No"")), (FLOOR((AX7*0.9), $H7)), (NOT((AND(AY7=TRUE, AZ7=""Yes"")))), AX7)"),60.0)</f>
        <v>60</v>
      </c>
      <c r="BG7" s="41" t="b">
        <v>0</v>
      </c>
      <c r="BH7" s="47"/>
      <c r="BI7" s="47"/>
      <c r="BJ7" s="47" t="str">
        <f t="shared" si="24"/>
        <v>Advanced 2</v>
      </c>
      <c r="BK7" s="60"/>
      <c r="BL7" s="39">
        <f t="shared" si="25"/>
        <v>4</v>
      </c>
      <c r="BM7" s="46">
        <f t="shared" si="26"/>
        <v>12</v>
      </c>
      <c r="BN7" s="40">
        <f>IFERROR(__xludf.DUMMYFUNCTION("IFS((AND(BG7=TRUE, BH7=""Yes"")), (IFS(ISBLANK(BJ7), BF7, BJ7=""Novice 1"", CEILING((BF7*1.05), $H7), BJ7=""Novice 2"", CEILING((BF7*1.025), $H7), BJ7=""Novice 3"", BF7+$H7, BJ7=""Intermediate 2"", (IF((ISBETWEEN(((((AY7-AX7)/2))+BE7), AX7, AY7)), BF7, BF"&amp;"7+$H7)), BJ7=""Intermediate 1"", (IF((ISBETWEEN((BE7-((AY7-AX7)/2)), AX7, AY7)), BF7+$H7, (FLOOR((BF7*0.9875), $H7)))), BJ7=""Advanced 2"", (IF(AND(((BD7+((AW7-AV7)/2))&gt;AW7), ((BE7+((AY7-AX7)/2))&gt;AY7)), BF7+$H7, (BF7))), BJ7=""Advanced 1"", (IFS(BM7&lt;BE7, "&amp;"BF7+$H7, BM7=BE7, (BF7), BM7&gt;BE7, (FLOOR((BF7*0.9875), $H7)))))), (AND(AY7=TRUE, AZ7=""No"", BG7=TRUE, BH7=""No"")), (FLOOR((BF7*0.9), $H7)), (NOT((AND(BG7=TRUE, BH7=""Yes"")))), BF7)"),60.0)</f>
        <v>60</v>
      </c>
      <c r="BO7" s="41" t="b">
        <v>0</v>
      </c>
      <c r="BP7" s="47"/>
      <c r="BQ7" s="47"/>
      <c r="BR7" s="47" t="str">
        <f t="shared" si="27"/>
        <v>Advanced 2</v>
      </c>
      <c r="BS7" s="60"/>
      <c r="BT7" s="61">
        <f t="shared" si="28"/>
        <v>4</v>
      </c>
      <c r="BU7" s="62">
        <f t="shared" si="29"/>
        <v>12</v>
      </c>
      <c r="BV7" s="63">
        <f>IFERROR(__xludf.DUMMYFUNCTION("IFS((AND(BO7=TRUE, BP7=""Yes"")), (IFS(ISBLANK(BR7), BN7, BR7=""Novice 1"", CEILING((BN7*1.05), $H7), BR7=""Novice 2"", CEILING((BN7*1.025), $H7), BR7=""Novice 3"", BN7+$H7, BR7=""Intermediate 2"", (IF((ISBETWEEN(((((BG7-BF7)/2))+BM7), BF7, BG7)), BN7, BN"&amp;"7+$H7)), BR7=""Intermediate 1"", (IF((ISBETWEEN((BM7-((BG7-BF7)/2)), BF7, BG7)), BN7+$H7, (FLOOR((BN7*0.9875), $H7)))), BR7=""Advanced 2"", (IF(AND(((BL7+((BE7-BD7)/2))&gt;BE7), ((BM7+((BG7-BF7)/2))&gt;BG7)), BN7+$H7, (BN7))), BR7=""Advanced 1"", (IFS(BU7&lt;BM7, "&amp;"BN7+$H7, BU7=BM7, (BN7), BU7&gt;BM7, (FLOOR((BN7*0.9875), $H7)))))), (AND(BG7=TRUE, BH7=""No"", BO7=TRUE, BP7=""No"")), (FLOOR((BN7*0.9), $H7)), (NOT((AND(BO7=TRUE, BP7=""Yes"")))), BN7)"),60.0)</f>
        <v>60</v>
      </c>
      <c r="BW7" s="64" t="b">
        <v>0</v>
      </c>
      <c r="BX7" s="65"/>
      <c r="BY7" s="65"/>
      <c r="BZ7" s="65" t="str">
        <f t="shared" si="30"/>
        <v>Advanced 2</v>
      </c>
      <c r="CA7" s="66"/>
      <c r="CB7" s="53">
        <f t="shared" ref="CB7:CC7" si="67">IFERROR(BT7/2,BT7)</f>
        <v>2</v>
      </c>
      <c r="CC7" s="53">
        <f t="shared" si="67"/>
        <v>6</v>
      </c>
      <c r="CD7" s="53">
        <f t="shared" si="32"/>
        <v>60</v>
      </c>
      <c r="CE7" s="67"/>
      <c r="CF7" s="60"/>
      <c r="CG7" s="39">
        <f t="shared" si="33"/>
        <v>4</v>
      </c>
      <c r="CH7" s="46">
        <f t="shared" si="34"/>
        <v>12</v>
      </c>
      <c r="CI7" s="40">
        <f>IFERROR(__xludf.DUMMYFUNCTION("IFS((AND(BW7=TRUE, BX7=""Yes"")), (IFS(ISBLANK(BZ7), BV7, BZ7=""Novice 1"", CEILING((BV7*1.05), $H7), BZ7=""Novice 2"", CEILING((BV7*1.025), $H7), BZ7=""Novice 3"", BV7+$H7, BZ7=""Intermediate 2"", (IF((ISBETWEEN(((((BO7-BN7)/2))+BU7), BN7, BO7)), BV7, BV"&amp;"7+$H7)), BZ7=""Intermediate 1"", (IF((ISBETWEEN((BU7-((BO7-BN7)/2)), BN7, BO7)), BV7+$H7, (FLOOR((BV7*0.9875), $H7)))), BZ7=""Advanced 2"", (IF(AND(((BT7+((BM7-BL7)/2))&gt;BM7), ((BU7+((BO7-BN7)/2))&gt;BO7)), BV7+$H7, (BV7))), BZ7=""Advanced 1"", (IFS(CH7&lt;BU7, "&amp;"BV7+$H7, CH7=BU7, (BV7), CH7&gt;BU7, (FLOOR((BV7*0.9875), $H7)))))), (AND(BO7=TRUE, BP7=""No"", BW7=TRUE, BX7=""No"")), (FLOOR((BV7*0.9), $H7)), (NOT((AND(BW7=TRUE, BX7=""Yes"")))), BV7)"),60.0)</f>
        <v>60</v>
      </c>
      <c r="CJ7" s="41" t="b">
        <v>0</v>
      </c>
      <c r="CK7" s="47"/>
      <c r="CL7" s="47"/>
      <c r="CM7" s="47" t="str">
        <f t="shared" si="35"/>
        <v>Advanced 2</v>
      </c>
      <c r="CN7" s="60"/>
      <c r="CO7" s="39">
        <f t="shared" si="36"/>
        <v>4</v>
      </c>
      <c r="CP7" s="46">
        <f t="shared" si="37"/>
        <v>12</v>
      </c>
      <c r="CQ7" s="40">
        <f>IFERROR(__xludf.DUMMYFUNCTION("IFS((AND(CJ7=TRUE, CK7=""Yes"")), (IFS(ISBLANK(CM7), CI7, CM7=""Novice 1"", CEILING((CI7*1.05), $H7), CM7=""Novice 2"", CEILING((CI7*1.025), $H7), CM7=""Novice 3"", CI7+$H7, CM7=""Intermediate 2"", (IF((ISBETWEEN(((((BW7-BV7)/2))+CH7), BV7, BW7)), CI7, CI"&amp;"7+$H7)), CM7=""Intermediate 1"", (IF((ISBETWEEN((CH7-((BW7-BV7)/2)), BV7, BW7)), CI7+$H7, (FLOOR((CI7*0.9875), $H7)))), CM7=""Advanced 2"", (IF(AND(((CG7+((BU7-BT7)/2))&gt;BU7), ((CH7+((BW7-BV7)/2))&gt;BW7)), CI7+$H7, (CI7))), CM7=""Advanced 1"", (IFS(CP7&lt;CH7, "&amp;"CI7+$H7, CP7=CH7, (CI7), CP7&gt;CH7, (FLOOR((CI7*0.9875), $H7)))))), (AND(BW7=TRUE, BX7=""No"", CJ7=TRUE, CK7=""No"")), (FLOOR((CI7*0.9), $H7)), (NOT((AND(CJ7=TRUE, CK7=""Yes"")))), CI7)"),60.0)</f>
        <v>60</v>
      </c>
      <c r="CR7" s="41" t="b">
        <v>0</v>
      </c>
      <c r="CS7" s="47"/>
      <c r="CT7" s="47"/>
      <c r="CU7" s="47" t="str">
        <f t="shared" si="38"/>
        <v>Advanced 2</v>
      </c>
      <c r="CV7" s="60"/>
      <c r="CW7" s="39">
        <f t="shared" si="39"/>
        <v>4</v>
      </c>
      <c r="CX7" s="46">
        <f t="shared" si="40"/>
        <v>12</v>
      </c>
      <c r="CY7" s="40">
        <f>IFERROR(__xludf.DUMMYFUNCTION("IFS((AND(CR7=TRUE, CS7=""Yes"")), (IFS(ISBLANK(CU7), CQ7, CU7=""Novice 1"", CEILING((CQ7*1.05), $H7), CU7=""Novice 2"", CEILING((CQ7*1.025), $H7), CU7=""Novice 3"", CQ7+$H7, CU7=""Intermediate 2"", (IF((ISBETWEEN(((((CJ7-CI7)/2))+CP7), CI7, CJ7)), CQ7, CQ"&amp;"7+$H7)), CU7=""Intermediate 1"", (IF((ISBETWEEN((CP7-((CJ7-CI7)/2)), CI7, CJ7)), CQ7+$H7, (FLOOR((CQ7*0.9875), $H7)))), CU7=""Advanced 2"", (IF(AND(((CO7+((CH7-CG7)/2))&gt;CH7), ((CP7+((CJ7-CI7)/2))&gt;CJ7)), CQ7+$H7, (CQ7))), CU7=""Advanced 1"", (IFS(CX7&lt;CP7, "&amp;"CQ7+$H7, CX7=CP7, (CQ7), CX7&gt;CP7, (FLOOR((CQ7*0.9875), $H7)))))), (AND(CJ7=TRUE, CK7=""No"", CR7=TRUE, CS7=""No"")), (FLOOR((CQ7*0.9), $H7)), (NOT((AND(CR7=TRUE, CS7=""Yes"")))), CQ7)"),60.0)</f>
        <v>60</v>
      </c>
      <c r="CZ7" s="41" t="b">
        <v>0</v>
      </c>
      <c r="DA7" s="47"/>
      <c r="DB7" s="47"/>
      <c r="DC7" s="47" t="str">
        <f t="shared" si="41"/>
        <v>Advanced 2</v>
      </c>
      <c r="DD7" s="60"/>
      <c r="DE7" s="61">
        <f t="shared" si="42"/>
        <v>4</v>
      </c>
      <c r="DF7" s="62">
        <f t="shared" si="43"/>
        <v>12</v>
      </c>
      <c r="DG7" s="63">
        <f>IFERROR(__xludf.DUMMYFUNCTION("IFS((AND(CZ7=TRUE, DA7=""Yes"")), (IFS(ISBLANK(DC7), CY7, DC7=""Novice 1"", CEILING((CY7*1.05), $H7), DC7=""Novice 2"", CEILING((CY7*1.025), $H7), DC7=""Novice 3"", CY7+$H7, DC7=""Intermediate 2"", (IF((ISBETWEEN(((((CR7-CQ7)/2))+CX7), CQ7, CR7)), CY7, CY"&amp;"7+$H7)), DC7=""Intermediate 1"", (IF((ISBETWEEN((CX7-((CR7-CQ7)/2)), CQ7, CR7)), CY7+$H7, (FLOOR((CY7*0.9875), $H7)))), DC7=""Advanced 2"", (IF(AND(((CW7+((CP7-CO7)/2))&gt;CP7), ((CX7+((CR7-CQ7)/2))&gt;CR7)), CY7+$H7, (CY7))), DC7=""Advanced 1"", (IFS(DF7&lt;CX7, "&amp;"CY7+$H7, DF7=CX7, (CY7), DF7&gt;CX7, (FLOOR((CY7*0.9875), $H7)))))), (AND(CR7=TRUE, CS7=""No"", CZ7=TRUE, DA7=""No"")), (FLOOR((CY7*0.9), $H7)), (NOT((AND(CZ7=TRUE, DA7=""Yes"")))), CY7)"),60.0)</f>
        <v>60</v>
      </c>
      <c r="DH7" s="64" t="b">
        <v>0</v>
      </c>
      <c r="DI7" s="65"/>
      <c r="DJ7" s="65"/>
      <c r="DK7" s="65" t="str">
        <f t="shared" si="44"/>
        <v>Advanced 2</v>
      </c>
      <c r="DL7" s="66"/>
      <c r="DM7" s="53">
        <f t="shared" ref="DM7:DN7" si="68">IFERROR(DE7/2,DE7)</f>
        <v>2</v>
      </c>
      <c r="DN7" s="53">
        <f t="shared" si="68"/>
        <v>6</v>
      </c>
      <c r="DO7" s="53">
        <f t="shared" si="46"/>
        <v>60</v>
      </c>
      <c r="DP7" s="67"/>
      <c r="DQ7" s="60"/>
      <c r="DR7" s="39">
        <f t="shared" si="47"/>
        <v>4</v>
      </c>
      <c r="DS7" s="46">
        <f t="shared" si="48"/>
        <v>12</v>
      </c>
      <c r="DT7" s="40">
        <f>IFERROR(__xludf.DUMMYFUNCTION("IFS((AND(DH7=TRUE, DI7=""Yes"")), (IFS(ISBLANK(DK7), DG7, DK7=""Novice 1"", CEILING((DG7*1.05), $H7), DK7=""Novice 2"", CEILING((DG7*1.025), $H7), DK7=""Novice 3"", DG7+$H7, DK7=""Intermediate 2"", (IF((ISBETWEEN(((((CZ7-CY7)/2))+DF7), CY7, CZ7)), DG7, DG"&amp;"7+$H7)), DK7=""Intermediate 1"", (IF((ISBETWEEN((DF7-((CZ7-CY7)/2)), CY7, CZ7)), DG7+$H7, (FLOOR((DG7*0.9875), $H7)))), DK7=""Advanced 2"", (IF(AND(((DE7+((CX7-CW7)/2))&gt;CX7), ((DF7+((CZ7-CY7)/2))&gt;CZ7)), DG7+$H7, (DG7))), DK7=""Advanced 1"", (IFS(DS7&lt;DF7, "&amp;"DG7+$H7, DS7=DF7, (DG7), DS7&gt;DF7, (FLOOR((DG7*0.9875), $H7)))))), (AND(CZ7=TRUE, DA7=""No"", DH7=TRUE, DI7=""No"")), (FLOOR((DG7*0.9), $H7)), (NOT((AND(DH7=TRUE, DI7=""Yes"")))), DG7)"),60.0)</f>
        <v>60</v>
      </c>
      <c r="DU7" s="41" t="b">
        <v>0</v>
      </c>
      <c r="DV7" s="47"/>
      <c r="DW7" s="47"/>
      <c r="DX7" s="47" t="str">
        <f t="shared" si="49"/>
        <v>Advanced 2</v>
      </c>
      <c r="DY7" s="60"/>
      <c r="DZ7" s="39">
        <f t="shared" si="50"/>
        <v>4</v>
      </c>
      <c r="EA7" s="46">
        <f t="shared" si="51"/>
        <v>12</v>
      </c>
      <c r="EB7" s="40">
        <f>IFERROR(__xludf.DUMMYFUNCTION("IFS((AND(DU7=TRUE, DV7=""Yes"")), (IFS(ISBLANK(DX7), DT7, DX7=""Novice 1"", CEILING((DT7*1.05), $H7), DX7=""Novice 2"", CEILING((DT7*1.025), $H7), DX7=""Novice 3"", DT7+$H7, DX7=""Intermediate 2"", (IF((ISBETWEEN(((((DH7-DG7)/2))+DS7), DG7, DH7)), DT7, DT"&amp;"7+$H7)), DX7=""Intermediate 1"", (IF((ISBETWEEN((DS7-((DH7-DG7)/2)), DG7, DH7)), DT7+$H7, (FLOOR((DT7*0.9875), $H7)))), DX7=""Advanced 2"", (IF(AND(((DR7+((DF7-DE7)/2))&gt;DF7), ((DS7+((DH7-DG7)/2))&gt;DH7)), DT7+$H7, (DT7))), DX7=""Advanced 1"", (IFS(EA7&lt;DS7, "&amp;"DT7+$H7, EA7=DS7, (DT7), EA7&gt;DS7, (FLOOR((DT7*0.9875), $H7)))))), (AND(DH7=TRUE, DI7=""No"", DU7=TRUE, DV7=""No"")), (FLOOR((DT7*0.9), $H7)), (NOT((AND(DU7=TRUE, DV7=""Yes"")))), DT7)"),60.0)</f>
        <v>60</v>
      </c>
      <c r="EC7" s="41" t="b">
        <v>0</v>
      </c>
      <c r="ED7" s="47"/>
      <c r="EE7" s="47"/>
      <c r="EF7" s="47" t="str">
        <f t="shared" si="52"/>
        <v>Advanced 2</v>
      </c>
      <c r="EG7" s="60"/>
      <c r="EH7" s="39">
        <f t="shared" si="53"/>
        <v>4</v>
      </c>
      <c r="EI7" s="46">
        <f t="shared" si="54"/>
        <v>12</v>
      </c>
      <c r="EJ7" s="40">
        <f>IFERROR(__xludf.DUMMYFUNCTION("IFS((AND(EC7=TRUE, ED7=""Yes"")), (IFS(ISBLANK(EF7), EB7, EF7=""Novice 1"", CEILING((EB7*1.05), $H7), EF7=""Novice 2"", CEILING((EB7*1.025), $H7), EF7=""Novice 3"", EB7+$H7, EF7=""Intermediate 2"", (IF((ISBETWEEN(((((DU7-DT7)/2))+EA7), DT7, DU7)), EB7, EB"&amp;"7+$H7)), EF7=""Intermediate 1"", (IF((ISBETWEEN((EA7-((DU7-DT7)/2)), DT7, DU7)), EB7+$H7, (FLOOR((EB7*0.9875), $H7)))), EF7=""Advanced 2"", (IF(AND(((DZ7+((DS7-DR7)/2))&gt;DS7), ((EA7+((DU7-DT7)/2))&gt;DU7)), EB7+$H7, (EB7))), EF7=""Advanced 1"", (IFS(EI7&lt;EA7, "&amp;"EB7+$H7, EI7=EA7, (EB7), EI7&gt;EA7, (FLOOR((EB7*0.9875), $H7)))))), (AND(DU7=TRUE, DV7=""No"", EC7=TRUE, ED7=""No"")), (FLOOR((EB7*0.9), $H7)), (NOT((AND(EC7=TRUE, ED7=""Yes"")))), EB7)"),60.0)</f>
        <v>60</v>
      </c>
      <c r="EK7" s="41" t="b">
        <v>0</v>
      </c>
      <c r="EL7" s="47"/>
      <c r="EM7" s="47"/>
      <c r="EN7" s="47" t="str">
        <f t="shared" si="55"/>
        <v>Advanced 2</v>
      </c>
      <c r="EO7" s="60"/>
      <c r="EP7" s="61">
        <f t="shared" si="56"/>
        <v>4</v>
      </c>
      <c r="EQ7" s="62">
        <f t="shared" si="57"/>
        <v>12</v>
      </c>
      <c r="ER7" s="63">
        <f>IFERROR(__xludf.DUMMYFUNCTION("IFS((AND(EK7=TRUE, EL7=""Yes"")), (IFS(ISBLANK(EN7), EJ7, EN7=""Novice 1"", CEILING((EJ7*1.05), $H7), EN7=""Novice 2"", CEILING((EJ7*1.025), $H7), EN7=""Novice 3"", EJ7+$H7, EN7=""Intermediate 2"", (IF((ISBETWEEN(((((EC7-EB7)/2))+EI7), EB7, EC7)), EJ7, EJ"&amp;"7+$H7)), EN7=""Intermediate 1"", (IF((ISBETWEEN((EI7-((EC7-EB7)/2)), EB7, EC7)), EJ7+$H7, (FLOOR((EJ7*0.9875), $H7)))), EN7=""Advanced 2"", (IF(AND(((EH7+((EA7-DZ7)/2))&gt;EA7), ((EI7+((EC7-EB7)/2))&gt;EC7)), EJ7+$H7, (EJ7))), EN7=""Advanced 1"", (IFS(EQ7&lt;EI7, "&amp;"EJ7+$H7, EQ7=EI7, (EJ7), EQ7&gt;EI7, (FLOOR((EJ7*0.9875), $H7)))))), (AND(EC7=TRUE, ED7=""No"", EK7=TRUE, EL7=""No"")), (FLOOR((EJ7*0.9), $H7)), (NOT((AND(EK7=TRUE, EL7=""Yes"")))), EJ7)"),60.0)</f>
        <v>60</v>
      </c>
      <c r="ES7" s="64" t="b">
        <v>0</v>
      </c>
      <c r="ET7" s="65"/>
      <c r="EU7" s="65"/>
      <c r="EV7" s="65" t="str">
        <f t="shared" si="58"/>
        <v>Advanced 2</v>
      </c>
      <c r="EW7" s="66"/>
      <c r="EX7" s="55">
        <f t="shared" ref="EX7:EY7" si="69">IFERROR(EP7/2,EP7)</f>
        <v>2</v>
      </c>
      <c r="EY7" s="55">
        <f t="shared" si="69"/>
        <v>6</v>
      </c>
      <c r="EZ7" s="55">
        <f t="shared" si="60"/>
        <v>60</v>
      </c>
      <c r="FA7" s="68"/>
      <c r="FB7" s="30"/>
      <c r="FC7" s="57"/>
    </row>
    <row r="8" outlineLevel="1">
      <c r="A8" s="32" t="s">
        <v>38</v>
      </c>
      <c r="B8" s="58"/>
      <c r="C8" s="34">
        <v>4.0</v>
      </c>
      <c r="D8" s="35">
        <v>4.0</v>
      </c>
      <c r="E8" s="34">
        <v>12.0</v>
      </c>
      <c r="F8" s="35">
        <v>12.0</v>
      </c>
      <c r="G8" s="35">
        <v>60.0</v>
      </c>
      <c r="H8" s="36"/>
      <c r="I8" s="37" t="s">
        <v>33</v>
      </c>
      <c r="J8" s="59"/>
      <c r="K8" s="39">
        <f t="shared" si="5"/>
        <v>4</v>
      </c>
      <c r="L8" s="40">
        <f t="shared" si="6"/>
        <v>12</v>
      </c>
      <c r="M8" s="40">
        <f t="shared" si="7"/>
        <v>60</v>
      </c>
      <c r="N8" s="41" t="b">
        <v>0</v>
      </c>
      <c r="O8" s="42"/>
      <c r="P8" s="43"/>
      <c r="Q8" s="44" t="str">
        <f t="shared" si="61"/>
        <v>Advanced 2</v>
      </c>
      <c r="R8" s="60"/>
      <c r="S8" s="39">
        <f t="shared" si="8"/>
        <v>4</v>
      </c>
      <c r="T8" s="46">
        <f t="shared" si="9"/>
        <v>12</v>
      </c>
      <c r="U8" s="40">
        <f>IFERROR(__xludf.DUMMYFUNCTION("IFS((AND(N8=TRUE, O8=""Yes"")), (IFS(ISBLANK(Q8), M8, Q8=""Novice 1"", CEILING((M8*1.05), $H8), Q8=""Novice 2"", CEILING((M8*1.025), $H8), Q8=""Novice 3"", M8+$H8, Q8=""Intermediate 2"", (IF((ISBETWEEN(((((F8-E8)/2))+L8), E8, F8)), M8, M8+$H8)), Q8=""Inte"&amp;"rmediate 1"", (IF((ISBETWEEN((L8-((F8-E8)/2)), E8, F8)), M8+$H8, (FLOOR((M8*0.9875), $H8)))), Q8=""Advanced 2"", (IF(AND(((K8+((D8-C8)/2))&gt;D8), ((L8+((F8-E8)/2))&gt;F8)), M8+$H8, (M8))), Q8=""Advanced 1"", (IFS(T8&lt;L8, M8+$H8, T8=L8, (M8), T8&gt;L8, (FLOOR((M8*0"&amp;".9875), $H8)))))), (AND(F8=TRUE, G8=""No"", N8=TRUE, O8=""No"")), (FLOOR((M8*0.9), $H8)), (NOT((AND(N8=TRUE, O8=""Yes"")))), M8)"),60.0)</f>
        <v>60</v>
      </c>
      <c r="V8" s="41" t="b">
        <v>0</v>
      </c>
      <c r="W8" s="47"/>
      <c r="X8" s="47"/>
      <c r="Y8" s="47" t="str">
        <f t="shared" si="10"/>
        <v>Advanced 2</v>
      </c>
      <c r="Z8" s="60"/>
      <c r="AA8" s="39">
        <f t="shared" si="11"/>
        <v>4</v>
      </c>
      <c r="AB8" s="46">
        <f t="shared" si="12"/>
        <v>12</v>
      </c>
      <c r="AC8" s="40">
        <f>IFERROR(__xludf.DUMMYFUNCTION("IFS((AND(V8=TRUE, W8=""Yes"")), (IFS(ISBLANK(Y8), U8, Y8=""Novice 1"", CEILING((U8*1.05), $H8), Y8=""Novice 2"", CEILING((U8*1.025), $H8), Y8=""Novice 3"", U8+$H8, Y8=""Intermediate 2"", (IF((ISBETWEEN(((((N8-M8)/2))+T8), M8, N8)), U8, U8+$H8)), Y8=""Inte"&amp;"rmediate 1"", (IF((ISBETWEEN((T8-((N8-M8)/2)), M8, N8)), U8+$H8, (FLOOR((U8*0.9875), $H8)))), Y8=""Advanced 2"", (IF(AND(((S8+((L8-K8)/2))&gt;L8), ((T8+((N8-M8)/2))&gt;N8)), U8+$H8, (U8))), Y8=""Advanced 1"", (IFS(AB8&lt;T8, U8+$H8, AB8=T8, (U8), AB8&gt;T8, (FLOOR((U"&amp;"8*0.9875), $H8)))))), (AND(N8=TRUE, O8=""No"", V8=TRUE, W8=""No"")), (FLOOR((U8*0.9), $H8)), (NOT((AND(V8=TRUE, W8=""Yes"")))), U8)"),60.0)</f>
        <v>60</v>
      </c>
      <c r="AD8" s="41" t="b">
        <v>0</v>
      </c>
      <c r="AE8" s="47"/>
      <c r="AF8" s="47"/>
      <c r="AG8" s="47" t="str">
        <f t="shared" si="13"/>
        <v>Advanced 2</v>
      </c>
      <c r="AH8" s="60"/>
      <c r="AI8" s="48">
        <f t="shared" si="14"/>
        <v>4</v>
      </c>
      <c r="AJ8" s="49">
        <f t="shared" si="15"/>
        <v>12</v>
      </c>
      <c r="AK8" s="50">
        <f>IFERROR(__xludf.DUMMYFUNCTION("IFS((AND(AD8=TRUE, AE8=""Yes"")), (IFS(ISBLANK(AG8), AC8, AG8=""Novice 1"", CEILING((AC8*1.05), $H8), AG8=""Novice 2"", CEILING((AC8*1.025), $H8), AG8=""Novice 3"", AC8+$H8, AG8=""Intermediate 2"", (IF((ISBETWEEN(((((V8-U8)/2))+AB8), U8, V8)), AC8, AC8+$H"&amp;"8)), AG8=""Intermediate 1"", (IF((ISBETWEEN((AB8-((V8-U8)/2)), U8, V8)), AC8+$H8, (FLOOR((AC8*0.9875), $H8)))), AG8=""Advanced 2"", (IF(AND(((AA8+((T8-S8)/2))&gt;T8), ((AB8+((V8-U8)/2))&gt;V8)), AC8+$H8, (AC8))), AG8=""Advanced 1"", (IFS(AJ8&lt;AB8, AC8+$H8, AJ8=A"&amp;"B8, (AC8), AJ8&gt;AB8, (FLOOR((AC8*0.9875), $H8)))))), (AND(V8=TRUE, W8=""No"", AD8=TRUE, AE8=""No"")), (FLOOR((AC8*0.9), $H8)), (NOT((AND(AD8=TRUE, AE8=""Yes"")))), AC8)"),60.0)</f>
        <v>60</v>
      </c>
      <c r="AL8" s="51" t="b">
        <v>0</v>
      </c>
      <c r="AM8" s="52"/>
      <c r="AN8" s="52"/>
      <c r="AO8" s="52" t="str">
        <f t="shared" si="16"/>
        <v>Advanced 2</v>
      </c>
      <c r="AP8" s="69"/>
      <c r="AQ8" s="53">
        <f t="shared" ref="AQ8:AR8" si="70">IFERROR(AI8/2,AI8)</f>
        <v>2</v>
      </c>
      <c r="AR8" s="53">
        <f t="shared" si="70"/>
        <v>6</v>
      </c>
      <c r="AS8" s="53">
        <f t="shared" si="18"/>
        <v>60</v>
      </c>
      <c r="AT8" s="67"/>
      <c r="AU8" s="59"/>
      <c r="AV8" s="39">
        <f t="shared" si="19"/>
        <v>4</v>
      </c>
      <c r="AW8" s="46">
        <f t="shared" si="20"/>
        <v>12</v>
      </c>
      <c r="AX8" s="40">
        <f>IFERROR(__xludf.DUMMYFUNCTION("IFS((AND(AL8=TRUE, AM8=""Yes"")), (IFS(ISBLANK(AO8), AK8, AO8=""Novice 1"", CEILING((AK8*1.05), $H8), AO8=""Novice 2"", CEILING((AK8*1.025), $H8), AO8=""Novice 3"", AK8+$H8, AO8=""Intermediate 2"", (IF((ISBETWEEN(((((AD8-AC8)/2))+AJ8), AC8, AD8)), AK8, AK"&amp;"8+$H8)), AO8=""Intermediate 1"", (IF((ISBETWEEN((AJ8-((AD8-AC8)/2)), AC8, AD8)), AK8+$H8, (FLOOR((AK8*0.9875), $H8)))), AO8=""Advanced 2"", (IF(AND(((AI8+((AB8-AA8)/2))&gt;AB8), ((AJ8+((AD8-AC8)/2))&gt;AD8)), AK8+$H8, (AK8))), AO8=""Advanced 1"", (IFS(AW8&lt;AJ8, "&amp;"AK8+$H8, AW8=AJ8, (AK8), AW8&gt;AJ8, (FLOOR((AK8*0.9875), $H8)))))), (AND(AD8=TRUE, AE8=""No"", AL8=TRUE, AM8=""No"")), (FLOOR((AK8*0.9), $H8)), (NOT((AND(AL8=TRUE, AM8=""Yes"")))), AK8)"),60.0)</f>
        <v>60</v>
      </c>
      <c r="AY8" s="41" t="b">
        <v>0</v>
      </c>
      <c r="AZ8" s="47"/>
      <c r="BA8" s="47"/>
      <c r="BB8" s="47" t="str">
        <f t="shared" si="21"/>
        <v>Advanced 2</v>
      </c>
      <c r="BC8" s="60"/>
      <c r="BD8" s="39">
        <f t="shared" si="22"/>
        <v>4</v>
      </c>
      <c r="BE8" s="46">
        <f t="shared" si="23"/>
        <v>12</v>
      </c>
      <c r="BF8" s="40">
        <f>IFERROR(__xludf.DUMMYFUNCTION("IFS((AND(AY8=TRUE, AZ8=""Yes"")), (IFS(ISBLANK(BB8), AX8, BB8=""Novice 1"", CEILING((AX8*1.05), $H8), BB8=""Novice 2"", CEILING((AX8*1.025), $H8), BB8=""Novice 3"", AX8+$H8, BB8=""Intermediate 2"", (IF((ISBETWEEN(((((AL8-AK8)/2))+AW8), AK8, AL8)), AX8, AX"&amp;"8+$H8)), BB8=""Intermediate 1"", (IF((ISBETWEEN((AW8-((AL8-AK8)/2)), AK8, AL8)), AX8+$H8, (FLOOR((AX8*0.9875), $H8)))), BB8=""Advanced 2"", (IF(AND(((AV8+((AJ8-AI8)/2))&gt;AJ8), ((AW8+((AL8-AK8)/2))&gt;AL8)), AX8+$H8, (AX8))), BB8=""Advanced 1"", (IFS(BE8&lt;AW8, "&amp;"AX8+$H8, BE8=AW8, (AX8), BE8&gt;AW8, (FLOOR((AX8*0.9875), $H8)))))), (AND(AL8=TRUE, AM8=""No"", AY8=TRUE, AZ8=""No"")), (FLOOR((AX8*0.9), $H8)), (NOT((AND(AY8=TRUE, AZ8=""Yes"")))), AX8)"),60.0)</f>
        <v>60</v>
      </c>
      <c r="BG8" s="41" t="b">
        <v>0</v>
      </c>
      <c r="BH8" s="47"/>
      <c r="BI8" s="47"/>
      <c r="BJ8" s="47" t="str">
        <f t="shared" si="24"/>
        <v>Advanced 2</v>
      </c>
      <c r="BK8" s="60"/>
      <c r="BL8" s="39">
        <f t="shared" si="25"/>
        <v>4</v>
      </c>
      <c r="BM8" s="46">
        <f t="shared" si="26"/>
        <v>12</v>
      </c>
      <c r="BN8" s="40">
        <f>IFERROR(__xludf.DUMMYFUNCTION("IFS((AND(BG8=TRUE, BH8=""Yes"")), (IFS(ISBLANK(BJ8), BF8, BJ8=""Novice 1"", CEILING((BF8*1.05), $H8), BJ8=""Novice 2"", CEILING((BF8*1.025), $H8), BJ8=""Novice 3"", BF8+$H8, BJ8=""Intermediate 2"", (IF((ISBETWEEN(((((AY8-AX8)/2))+BE8), AX8, AY8)), BF8, BF"&amp;"8+$H8)), BJ8=""Intermediate 1"", (IF((ISBETWEEN((BE8-((AY8-AX8)/2)), AX8, AY8)), BF8+$H8, (FLOOR((BF8*0.9875), $H8)))), BJ8=""Advanced 2"", (IF(AND(((BD8+((AW8-AV8)/2))&gt;AW8), ((BE8+((AY8-AX8)/2))&gt;AY8)), BF8+$H8, (BF8))), BJ8=""Advanced 1"", (IFS(BM8&lt;BE8, "&amp;"BF8+$H8, BM8=BE8, (BF8), BM8&gt;BE8, (FLOOR((BF8*0.9875), $H8)))))), (AND(AY8=TRUE, AZ8=""No"", BG8=TRUE, BH8=""No"")), (FLOOR((BF8*0.9), $H8)), (NOT((AND(BG8=TRUE, BH8=""Yes"")))), BF8)"),60.0)</f>
        <v>60</v>
      </c>
      <c r="BO8" s="41" t="b">
        <v>0</v>
      </c>
      <c r="BP8" s="47"/>
      <c r="BQ8" s="47"/>
      <c r="BR8" s="47" t="str">
        <f t="shared" si="27"/>
        <v>Advanced 2</v>
      </c>
      <c r="BS8" s="60"/>
      <c r="BT8" s="48">
        <f t="shared" si="28"/>
        <v>4</v>
      </c>
      <c r="BU8" s="49">
        <f t="shared" si="29"/>
        <v>12</v>
      </c>
      <c r="BV8" s="50">
        <f>IFERROR(__xludf.DUMMYFUNCTION("IFS((AND(BO8=TRUE, BP8=""Yes"")), (IFS(ISBLANK(BR8), BN8, BR8=""Novice 1"", CEILING((BN8*1.05), $H8), BR8=""Novice 2"", CEILING((BN8*1.025), $H8), BR8=""Novice 3"", BN8+$H8, BR8=""Intermediate 2"", (IF((ISBETWEEN(((((BG8-BF8)/2))+BM8), BF8, BG8)), BN8, BN"&amp;"8+$H8)), BR8=""Intermediate 1"", (IF((ISBETWEEN((BM8-((BG8-BF8)/2)), BF8, BG8)), BN8+$H8, (FLOOR((BN8*0.9875), $H8)))), BR8=""Advanced 2"", (IF(AND(((BL8+((BE8-BD8)/2))&gt;BE8), ((BM8+((BG8-BF8)/2))&gt;BG8)), BN8+$H8, (BN8))), BR8=""Advanced 1"", (IFS(BU8&lt;BM8, "&amp;"BN8+$H8, BU8=BM8, (BN8), BU8&gt;BM8, (FLOOR((BN8*0.9875), $H8)))))), (AND(BG8=TRUE, BH8=""No"", BO8=TRUE, BP8=""No"")), (FLOOR((BN8*0.9), $H8)), (NOT((AND(BO8=TRUE, BP8=""Yes"")))), BN8)"),60.0)</f>
        <v>60</v>
      </c>
      <c r="BW8" s="51" t="b">
        <v>0</v>
      </c>
      <c r="BX8" s="52"/>
      <c r="BY8" s="52"/>
      <c r="BZ8" s="52" t="str">
        <f t="shared" si="30"/>
        <v>Advanced 2</v>
      </c>
      <c r="CA8" s="69"/>
      <c r="CB8" s="53">
        <f t="shared" ref="CB8:CC8" si="71">IFERROR(BT8/2,BT8)</f>
        <v>2</v>
      </c>
      <c r="CC8" s="53">
        <f t="shared" si="71"/>
        <v>6</v>
      </c>
      <c r="CD8" s="53">
        <f t="shared" si="32"/>
        <v>60</v>
      </c>
      <c r="CE8" s="67"/>
      <c r="CF8" s="60"/>
      <c r="CG8" s="39">
        <f t="shared" si="33"/>
        <v>4</v>
      </c>
      <c r="CH8" s="46">
        <f t="shared" si="34"/>
        <v>12</v>
      </c>
      <c r="CI8" s="40">
        <f>IFERROR(__xludf.DUMMYFUNCTION("IFS((AND(BW8=TRUE, BX8=""Yes"")), (IFS(ISBLANK(BZ8), BV8, BZ8=""Novice 1"", CEILING((BV8*1.05), $H8), BZ8=""Novice 2"", CEILING((BV8*1.025), $H8), BZ8=""Novice 3"", BV8+$H8, BZ8=""Intermediate 2"", (IF((ISBETWEEN(((((BO8-BN8)/2))+BU8), BN8, BO8)), BV8, BV"&amp;"8+$H8)), BZ8=""Intermediate 1"", (IF((ISBETWEEN((BU8-((BO8-BN8)/2)), BN8, BO8)), BV8+$H8, (FLOOR((BV8*0.9875), $H8)))), BZ8=""Advanced 2"", (IF(AND(((BT8+((BM8-BL8)/2))&gt;BM8), ((BU8+((BO8-BN8)/2))&gt;BO8)), BV8+$H8, (BV8))), BZ8=""Advanced 1"", (IFS(CH8&lt;BU8, "&amp;"BV8+$H8, CH8=BU8, (BV8), CH8&gt;BU8, (FLOOR((BV8*0.9875), $H8)))))), (AND(BO8=TRUE, BP8=""No"", BW8=TRUE, BX8=""No"")), (FLOOR((BV8*0.9), $H8)), (NOT((AND(BW8=TRUE, BX8=""Yes"")))), BV8)"),60.0)</f>
        <v>60</v>
      </c>
      <c r="CJ8" s="41" t="b">
        <v>0</v>
      </c>
      <c r="CK8" s="47"/>
      <c r="CL8" s="47"/>
      <c r="CM8" s="47" t="str">
        <f t="shared" si="35"/>
        <v>Advanced 2</v>
      </c>
      <c r="CN8" s="60"/>
      <c r="CO8" s="39">
        <f t="shared" si="36"/>
        <v>4</v>
      </c>
      <c r="CP8" s="46">
        <f t="shared" si="37"/>
        <v>12</v>
      </c>
      <c r="CQ8" s="40">
        <f>IFERROR(__xludf.DUMMYFUNCTION("IFS((AND(CJ8=TRUE, CK8=""Yes"")), (IFS(ISBLANK(CM8), CI8, CM8=""Novice 1"", CEILING((CI8*1.05), $H8), CM8=""Novice 2"", CEILING((CI8*1.025), $H8), CM8=""Novice 3"", CI8+$H8, CM8=""Intermediate 2"", (IF((ISBETWEEN(((((BW8-BV8)/2))+CH8), BV8, BW8)), CI8, CI"&amp;"8+$H8)), CM8=""Intermediate 1"", (IF((ISBETWEEN((CH8-((BW8-BV8)/2)), BV8, BW8)), CI8+$H8, (FLOOR((CI8*0.9875), $H8)))), CM8=""Advanced 2"", (IF(AND(((CG8+((BU8-BT8)/2))&gt;BU8), ((CH8+((BW8-BV8)/2))&gt;BW8)), CI8+$H8, (CI8))), CM8=""Advanced 1"", (IFS(CP8&lt;CH8, "&amp;"CI8+$H8, CP8=CH8, (CI8), CP8&gt;CH8, (FLOOR((CI8*0.9875), $H8)))))), (AND(BW8=TRUE, BX8=""No"", CJ8=TRUE, CK8=""No"")), (FLOOR((CI8*0.9), $H8)), (NOT((AND(CJ8=TRUE, CK8=""Yes"")))), CI8)"),60.0)</f>
        <v>60</v>
      </c>
      <c r="CR8" s="41" t="b">
        <v>0</v>
      </c>
      <c r="CS8" s="47"/>
      <c r="CT8" s="47"/>
      <c r="CU8" s="47" t="str">
        <f t="shared" si="38"/>
        <v>Advanced 2</v>
      </c>
      <c r="CV8" s="60"/>
      <c r="CW8" s="39">
        <f t="shared" si="39"/>
        <v>4</v>
      </c>
      <c r="CX8" s="46">
        <f t="shared" si="40"/>
        <v>12</v>
      </c>
      <c r="CY8" s="40">
        <f>IFERROR(__xludf.DUMMYFUNCTION("IFS((AND(CR8=TRUE, CS8=""Yes"")), (IFS(ISBLANK(CU8), CQ8, CU8=""Novice 1"", CEILING((CQ8*1.05), $H8), CU8=""Novice 2"", CEILING((CQ8*1.025), $H8), CU8=""Novice 3"", CQ8+$H8, CU8=""Intermediate 2"", (IF((ISBETWEEN(((((CJ8-CI8)/2))+CP8), CI8, CJ8)), CQ8, CQ"&amp;"8+$H8)), CU8=""Intermediate 1"", (IF((ISBETWEEN((CP8-((CJ8-CI8)/2)), CI8, CJ8)), CQ8+$H8, (FLOOR((CQ8*0.9875), $H8)))), CU8=""Advanced 2"", (IF(AND(((CO8+((CH8-CG8)/2))&gt;CH8), ((CP8+((CJ8-CI8)/2))&gt;CJ8)), CQ8+$H8, (CQ8))), CU8=""Advanced 1"", (IFS(CX8&lt;CP8, "&amp;"CQ8+$H8, CX8=CP8, (CQ8), CX8&gt;CP8, (FLOOR((CQ8*0.9875), $H8)))))), (AND(CJ8=TRUE, CK8=""No"", CR8=TRUE, CS8=""No"")), (FLOOR((CQ8*0.9), $H8)), (NOT((AND(CR8=TRUE, CS8=""Yes"")))), CQ8)"),60.0)</f>
        <v>60</v>
      </c>
      <c r="CZ8" s="41" t="b">
        <v>0</v>
      </c>
      <c r="DA8" s="47"/>
      <c r="DB8" s="47"/>
      <c r="DC8" s="47" t="str">
        <f t="shared" si="41"/>
        <v>Advanced 2</v>
      </c>
      <c r="DD8" s="60"/>
      <c r="DE8" s="48">
        <f t="shared" si="42"/>
        <v>4</v>
      </c>
      <c r="DF8" s="49">
        <f t="shared" si="43"/>
        <v>12</v>
      </c>
      <c r="DG8" s="50">
        <f>IFERROR(__xludf.DUMMYFUNCTION("IFS((AND(CZ8=TRUE, DA8=""Yes"")), (IFS(ISBLANK(DC8), CY8, DC8=""Novice 1"", CEILING((CY8*1.05), $H8), DC8=""Novice 2"", CEILING((CY8*1.025), $H8), DC8=""Novice 3"", CY8+$H8, DC8=""Intermediate 2"", (IF((ISBETWEEN(((((CR8-CQ8)/2))+CX8), CQ8, CR8)), CY8, CY"&amp;"8+$H8)), DC8=""Intermediate 1"", (IF((ISBETWEEN((CX8-((CR8-CQ8)/2)), CQ8, CR8)), CY8+$H8, (FLOOR((CY8*0.9875), $H8)))), DC8=""Advanced 2"", (IF(AND(((CW8+((CP8-CO8)/2))&gt;CP8), ((CX8+((CR8-CQ8)/2))&gt;CR8)), CY8+$H8, (CY8))), DC8=""Advanced 1"", (IFS(DF8&lt;CX8, "&amp;"CY8+$H8, DF8=CX8, (CY8), DF8&gt;CX8, (FLOOR((CY8*0.9875), $H8)))))), (AND(CR8=TRUE, CS8=""No"", CZ8=TRUE, DA8=""No"")), (FLOOR((CY8*0.9), $H8)), (NOT((AND(CZ8=TRUE, DA8=""Yes"")))), CY8)"),60.0)</f>
        <v>60</v>
      </c>
      <c r="DH8" s="51" t="b">
        <v>0</v>
      </c>
      <c r="DI8" s="52"/>
      <c r="DJ8" s="52"/>
      <c r="DK8" s="52" t="str">
        <f t="shared" si="44"/>
        <v>Advanced 2</v>
      </c>
      <c r="DL8" s="69"/>
      <c r="DM8" s="53">
        <f t="shared" ref="DM8:DN8" si="72">IFERROR(DE8/2,DE8)</f>
        <v>2</v>
      </c>
      <c r="DN8" s="53">
        <f t="shared" si="72"/>
        <v>6</v>
      </c>
      <c r="DO8" s="53">
        <f t="shared" si="46"/>
        <v>60</v>
      </c>
      <c r="DP8" s="67"/>
      <c r="DQ8" s="60"/>
      <c r="DR8" s="39">
        <f t="shared" si="47"/>
        <v>4</v>
      </c>
      <c r="DS8" s="46">
        <f t="shared" si="48"/>
        <v>12</v>
      </c>
      <c r="DT8" s="40">
        <f>IFERROR(__xludf.DUMMYFUNCTION("IFS((AND(DH8=TRUE, DI8=""Yes"")), (IFS(ISBLANK(DK8), DG8, DK8=""Novice 1"", CEILING((DG8*1.05), $H8), DK8=""Novice 2"", CEILING((DG8*1.025), $H8), DK8=""Novice 3"", DG8+$H8, DK8=""Intermediate 2"", (IF((ISBETWEEN(((((CZ8-CY8)/2))+DF8), CY8, CZ8)), DG8, DG"&amp;"8+$H8)), DK8=""Intermediate 1"", (IF((ISBETWEEN((DF8-((CZ8-CY8)/2)), CY8, CZ8)), DG8+$H8, (FLOOR((DG8*0.9875), $H8)))), DK8=""Advanced 2"", (IF(AND(((DE8+((CX8-CW8)/2))&gt;CX8), ((DF8+((CZ8-CY8)/2))&gt;CZ8)), DG8+$H8, (DG8))), DK8=""Advanced 1"", (IFS(DS8&lt;DF8, "&amp;"DG8+$H8, DS8=DF8, (DG8), DS8&gt;DF8, (FLOOR((DG8*0.9875), $H8)))))), (AND(CZ8=TRUE, DA8=""No"", DH8=TRUE, DI8=""No"")), (FLOOR((DG8*0.9), $H8)), (NOT((AND(DH8=TRUE, DI8=""Yes"")))), DG8)"),60.0)</f>
        <v>60</v>
      </c>
      <c r="DU8" s="41" t="b">
        <v>0</v>
      </c>
      <c r="DV8" s="47"/>
      <c r="DW8" s="47"/>
      <c r="DX8" s="47" t="str">
        <f t="shared" si="49"/>
        <v>Advanced 2</v>
      </c>
      <c r="DY8" s="60"/>
      <c r="DZ8" s="39">
        <f t="shared" si="50"/>
        <v>4</v>
      </c>
      <c r="EA8" s="46">
        <f t="shared" si="51"/>
        <v>12</v>
      </c>
      <c r="EB8" s="40">
        <f>IFERROR(__xludf.DUMMYFUNCTION("IFS((AND(DU8=TRUE, DV8=""Yes"")), (IFS(ISBLANK(DX8), DT8, DX8=""Novice 1"", CEILING((DT8*1.05), $H8), DX8=""Novice 2"", CEILING((DT8*1.025), $H8), DX8=""Novice 3"", DT8+$H8, DX8=""Intermediate 2"", (IF((ISBETWEEN(((((DH8-DG8)/2))+DS8), DG8, DH8)), DT8, DT"&amp;"8+$H8)), DX8=""Intermediate 1"", (IF((ISBETWEEN((DS8-((DH8-DG8)/2)), DG8, DH8)), DT8+$H8, (FLOOR((DT8*0.9875), $H8)))), DX8=""Advanced 2"", (IF(AND(((DR8+((DF8-DE8)/2))&gt;DF8), ((DS8+((DH8-DG8)/2))&gt;DH8)), DT8+$H8, (DT8))), DX8=""Advanced 1"", (IFS(EA8&lt;DS8, "&amp;"DT8+$H8, EA8=DS8, (DT8), EA8&gt;DS8, (FLOOR((DT8*0.9875), $H8)))))), (AND(DH8=TRUE, DI8=""No"", DU8=TRUE, DV8=""No"")), (FLOOR((DT8*0.9), $H8)), (NOT((AND(DU8=TRUE, DV8=""Yes"")))), DT8)"),60.0)</f>
        <v>60</v>
      </c>
      <c r="EC8" s="41" t="b">
        <v>0</v>
      </c>
      <c r="ED8" s="47"/>
      <c r="EE8" s="47"/>
      <c r="EF8" s="47" t="str">
        <f t="shared" si="52"/>
        <v>Advanced 2</v>
      </c>
      <c r="EG8" s="60"/>
      <c r="EH8" s="39">
        <f t="shared" si="53"/>
        <v>4</v>
      </c>
      <c r="EI8" s="46">
        <f t="shared" si="54"/>
        <v>12</v>
      </c>
      <c r="EJ8" s="40">
        <f>IFERROR(__xludf.DUMMYFUNCTION("IFS((AND(EC8=TRUE, ED8=""Yes"")), (IFS(ISBLANK(EF8), EB8, EF8=""Novice 1"", CEILING((EB8*1.05), $H8), EF8=""Novice 2"", CEILING((EB8*1.025), $H8), EF8=""Novice 3"", EB8+$H8, EF8=""Intermediate 2"", (IF((ISBETWEEN(((((DU8-DT8)/2))+EA8), DT8, DU8)), EB8, EB"&amp;"8+$H8)), EF8=""Intermediate 1"", (IF((ISBETWEEN((EA8-((DU8-DT8)/2)), DT8, DU8)), EB8+$H8, (FLOOR((EB8*0.9875), $H8)))), EF8=""Advanced 2"", (IF(AND(((DZ8+((DS8-DR8)/2))&gt;DS8), ((EA8+((DU8-DT8)/2))&gt;DU8)), EB8+$H8, (EB8))), EF8=""Advanced 1"", (IFS(EI8&lt;EA8, "&amp;"EB8+$H8, EI8=EA8, (EB8), EI8&gt;EA8, (FLOOR((EB8*0.9875), $H8)))))), (AND(DU8=TRUE, DV8=""No"", EC8=TRUE, ED8=""No"")), (FLOOR((EB8*0.9), $H8)), (NOT((AND(EC8=TRUE, ED8=""Yes"")))), EB8)"),60.0)</f>
        <v>60</v>
      </c>
      <c r="EK8" s="41" t="b">
        <v>0</v>
      </c>
      <c r="EL8" s="47"/>
      <c r="EM8" s="47"/>
      <c r="EN8" s="47" t="str">
        <f t="shared" si="55"/>
        <v>Advanced 2</v>
      </c>
      <c r="EO8" s="60"/>
      <c r="EP8" s="48">
        <f t="shared" si="56"/>
        <v>4</v>
      </c>
      <c r="EQ8" s="49">
        <f t="shared" si="57"/>
        <v>12</v>
      </c>
      <c r="ER8" s="50">
        <f>IFERROR(__xludf.DUMMYFUNCTION("IFS((AND(EK8=TRUE, EL8=""Yes"")), (IFS(ISBLANK(EN8), EJ8, EN8=""Novice 1"", CEILING((EJ8*1.05), $H8), EN8=""Novice 2"", CEILING((EJ8*1.025), $H8), EN8=""Novice 3"", EJ8+$H8, EN8=""Intermediate 2"", (IF((ISBETWEEN(((((EC8-EB8)/2))+EI8), EB8, EC8)), EJ8, EJ"&amp;"8+$H8)), EN8=""Intermediate 1"", (IF((ISBETWEEN((EI8-((EC8-EB8)/2)), EB8, EC8)), EJ8+$H8, (FLOOR((EJ8*0.9875), $H8)))), EN8=""Advanced 2"", (IF(AND(((EH8+((EA8-DZ8)/2))&gt;EA8), ((EI8+((EC8-EB8)/2))&gt;EC8)), EJ8+$H8, (EJ8))), EN8=""Advanced 1"", (IFS(EQ8&lt;EI8, "&amp;"EJ8+$H8, EQ8=EI8, (EJ8), EQ8&gt;EI8, (FLOOR((EJ8*0.9875), $H8)))))), (AND(EC8=TRUE, ED8=""No"", EK8=TRUE, EL8=""No"")), (FLOOR((EJ8*0.9), $H8)), (NOT((AND(EK8=TRUE, EL8=""Yes"")))), EJ8)"),60.0)</f>
        <v>60</v>
      </c>
      <c r="ES8" s="51" t="b">
        <v>0</v>
      </c>
      <c r="ET8" s="52"/>
      <c r="EU8" s="52"/>
      <c r="EV8" s="52" t="str">
        <f t="shared" si="58"/>
        <v>Advanced 2</v>
      </c>
      <c r="EW8" s="69"/>
      <c r="EX8" s="55">
        <f t="shared" ref="EX8:EY8" si="73">IFERROR(EP8/2,EP8)</f>
        <v>2</v>
      </c>
      <c r="EY8" s="55">
        <f t="shared" si="73"/>
        <v>6</v>
      </c>
      <c r="EZ8" s="55">
        <f t="shared" si="60"/>
        <v>60</v>
      </c>
      <c r="FA8" s="68"/>
      <c r="FB8" s="30"/>
      <c r="FC8" s="57"/>
    </row>
    <row r="9" outlineLevel="1">
      <c r="A9" s="32" t="s">
        <v>39</v>
      </c>
      <c r="B9" s="14"/>
      <c r="C9" s="34">
        <v>4.0</v>
      </c>
      <c r="D9" s="35">
        <v>6.0</v>
      </c>
      <c r="E9" s="34">
        <v>12.0</v>
      </c>
      <c r="F9" s="35">
        <v>20.0</v>
      </c>
      <c r="G9" s="35">
        <v>45.0</v>
      </c>
      <c r="H9" s="36"/>
      <c r="I9" s="37" t="s">
        <v>33</v>
      </c>
      <c r="J9" s="70"/>
      <c r="K9" s="39">
        <f t="shared" si="5"/>
        <v>4</v>
      </c>
      <c r="L9" s="40">
        <f t="shared" si="6"/>
        <v>12</v>
      </c>
      <c r="M9" s="40">
        <f t="shared" si="7"/>
        <v>45</v>
      </c>
      <c r="N9" s="41" t="b">
        <v>0</v>
      </c>
      <c r="O9" s="42"/>
      <c r="P9" s="43"/>
      <c r="Q9" s="44" t="str">
        <f t="shared" si="61"/>
        <v>Advanced 2</v>
      </c>
      <c r="R9" s="71"/>
      <c r="S9" s="39">
        <f t="shared" si="8"/>
        <v>4</v>
      </c>
      <c r="T9" s="46">
        <f t="shared" si="9"/>
        <v>12</v>
      </c>
      <c r="U9" s="40">
        <f>IFERROR(__xludf.DUMMYFUNCTION("IFS((AND(N9=TRUE, O9=""Yes"")), (IFS(ISBLANK(Q9), M9, Q9=""Novice 1"", CEILING((M9*1.05), $H9), Q9=""Novice 2"", CEILING((M9*1.025), $H9), Q9=""Novice 3"", M9+$H9, Q9=""Intermediate 2"", (IF((ISBETWEEN(((((F9-E9)/2))+L9), E9, F9)), M9, M9+$H9)), Q9=""Inte"&amp;"rmediate 1"", (IF((ISBETWEEN((L9-((F9-E9)/2)), E9, F9)), M9+$H9, (FLOOR((M9*0.9875), $H9)))), Q9=""Advanced 2"", (IF(AND(((K9+((D9-C9)/2))&gt;D9), ((L9+((F9-E9)/2))&gt;F9)), M9+$H9, (M9))), Q9=""Advanced 1"", (IFS(T9&lt;L9, M9+$H9, T9=L9, (M9), T9&gt;L9, (FLOOR((M9*0"&amp;".9875), $H9)))))), (AND(F9=TRUE, G9=""No"", N9=TRUE, O9=""No"")), (FLOOR((M9*0.9), $H9)), (NOT((AND(N9=TRUE, O9=""Yes"")))), M9)"),45.0)</f>
        <v>45</v>
      </c>
      <c r="V9" s="41" t="b">
        <v>0</v>
      </c>
      <c r="W9" s="47"/>
      <c r="X9" s="47"/>
      <c r="Y9" s="47" t="str">
        <f t="shared" si="10"/>
        <v>Advanced 2</v>
      </c>
      <c r="Z9" s="71"/>
      <c r="AA9" s="39">
        <f t="shared" si="11"/>
        <v>4</v>
      </c>
      <c r="AB9" s="46">
        <f t="shared" si="12"/>
        <v>12</v>
      </c>
      <c r="AC9" s="40">
        <f>IFERROR(__xludf.DUMMYFUNCTION("IFS((AND(V9=TRUE, W9=""Yes"")), (IFS(ISBLANK(Y9), U9, Y9=""Novice 1"", CEILING((U9*1.05), $H9), Y9=""Novice 2"", CEILING((U9*1.025), $H9), Y9=""Novice 3"", U9+$H9, Y9=""Intermediate 2"", (IF((ISBETWEEN(((((N9-M9)/2))+T9), M9, N9)), U9, U9+$H9)), Y9=""Inte"&amp;"rmediate 1"", (IF((ISBETWEEN((T9-((N9-M9)/2)), M9, N9)), U9+$H9, (FLOOR((U9*0.9875), $H9)))), Y9=""Advanced 2"", (IF(AND(((S9+((L9-K9)/2))&gt;L9), ((T9+((N9-M9)/2))&gt;N9)), U9+$H9, (U9))), Y9=""Advanced 1"", (IFS(AB9&lt;T9, U9+$H9, AB9=T9, (U9), AB9&gt;T9, (FLOOR((U"&amp;"9*0.9875), $H9)))))), (AND(N9=TRUE, O9=""No"", V9=TRUE, W9=""No"")), (FLOOR((U9*0.9), $H9)), (NOT((AND(V9=TRUE, W9=""Yes"")))), U9)"),45.0)</f>
        <v>45</v>
      </c>
      <c r="AD9" s="41" t="b">
        <v>0</v>
      </c>
      <c r="AE9" s="47"/>
      <c r="AF9" s="47"/>
      <c r="AG9" s="47" t="str">
        <f t="shared" si="13"/>
        <v>Advanced 2</v>
      </c>
      <c r="AH9" s="71"/>
      <c r="AI9" s="61">
        <f t="shared" si="14"/>
        <v>4</v>
      </c>
      <c r="AJ9" s="62">
        <f t="shared" si="15"/>
        <v>12</v>
      </c>
      <c r="AK9" s="63">
        <f>IFERROR(__xludf.DUMMYFUNCTION("IFS((AND(AD9=TRUE, AE9=""Yes"")), (IFS(ISBLANK(AG9), AC9, AG9=""Novice 1"", CEILING((AC9*1.05), $H9), AG9=""Novice 2"", CEILING((AC9*1.025), $H9), AG9=""Novice 3"", AC9+$H9, AG9=""Intermediate 2"", (IF((ISBETWEEN(((((V9-U9)/2))+AB9), U9, V9)), AC9, AC9+$H"&amp;"9)), AG9=""Intermediate 1"", (IF((ISBETWEEN((AB9-((V9-U9)/2)), U9, V9)), AC9+$H9, (FLOOR((AC9*0.9875), $H9)))), AG9=""Advanced 2"", (IF(AND(((AA9+((T9-S9)/2))&gt;T9), ((AB9+((V9-U9)/2))&gt;V9)), AC9+$H9, (AC9))), AG9=""Advanced 1"", (IFS(AJ9&lt;AB9, AC9+$H9, AJ9=A"&amp;"B9, (AC9), AJ9&gt;AB9, (FLOOR((AC9*0.9875), $H9)))))), (AND(V9=TRUE, W9=""No"", AD9=TRUE, AE9=""No"")), (FLOOR((AC9*0.9), $H9)), (NOT((AND(AD9=TRUE, AE9=""Yes"")))), AC9)"),45.0)</f>
        <v>45</v>
      </c>
      <c r="AL9" s="64" t="b">
        <v>0</v>
      </c>
      <c r="AM9" s="65"/>
      <c r="AN9" s="65"/>
      <c r="AO9" s="65" t="str">
        <f t="shared" si="16"/>
        <v>Advanced 2</v>
      </c>
      <c r="AP9" s="72"/>
      <c r="AQ9" s="53">
        <f t="shared" ref="AQ9:AR9" si="74">IFERROR(AI9/2,AI9)</f>
        <v>2</v>
      </c>
      <c r="AR9" s="53">
        <f t="shared" si="74"/>
        <v>6</v>
      </c>
      <c r="AS9" s="53">
        <f t="shared" si="18"/>
        <v>45</v>
      </c>
      <c r="AT9" s="67"/>
      <c r="AU9" s="70"/>
      <c r="AV9" s="39">
        <f t="shared" si="19"/>
        <v>4</v>
      </c>
      <c r="AW9" s="46">
        <f t="shared" si="20"/>
        <v>12</v>
      </c>
      <c r="AX9" s="40">
        <f>IFERROR(__xludf.DUMMYFUNCTION("IFS((AND(AL9=TRUE, AM9=""Yes"")), (IFS(ISBLANK(AO9), AK9, AO9=""Novice 1"", CEILING((AK9*1.05), $H9), AO9=""Novice 2"", CEILING((AK9*1.025), $H9), AO9=""Novice 3"", AK9+$H9, AO9=""Intermediate 2"", (IF((ISBETWEEN(((((AD9-AC9)/2))+AJ9), AC9, AD9)), AK9, AK"&amp;"9+$H9)), AO9=""Intermediate 1"", (IF((ISBETWEEN((AJ9-((AD9-AC9)/2)), AC9, AD9)), AK9+$H9, (FLOOR((AK9*0.9875), $H9)))), AO9=""Advanced 2"", (IF(AND(((AI9+((AB9-AA9)/2))&gt;AB9), ((AJ9+((AD9-AC9)/2))&gt;AD9)), AK9+$H9, (AK9))), AO9=""Advanced 1"", (IFS(AW9&lt;AJ9, "&amp;"AK9+$H9, AW9=AJ9, (AK9), AW9&gt;AJ9, (FLOOR((AK9*0.9875), $H9)))))), (AND(AD9=TRUE, AE9=""No"", AL9=TRUE, AM9=""No"")), (FLOOR((AK9*0.9), $H9)), (NOT((AND(AL9=TRUE, AM9=""Yes"")))), AK9)"),45.0)</f>
        <v>45</v>
      </c>
      <c r="AY9" s="41" t="b">
        <v>0</v>
      </c>
      <c r="AZ9" s="47"/>
      <c r="BA9" s="47"/>
      <c r="BB9" s="47" t="str">
        <f t="shared" si="21"/>
        <v>Advanced 2</v>
      </c>
      <c r="BC9" s="71"/>
      <c r="BD9" s="39">
        <f t="shared" si="22"/>
        <v>4</v>
      </c>
      <c r="BE9" s="46">
        <f t="shared" si="23"/>
        <v>12</v>
      </c>
      <c r="BF9" s="40">
        <f>IFERROR(__xludf.DUMMYFUNCTION("IFS((AND(AY9=TRUE, AZ9=""Yes"")), (IFS(ISBLANK(BB9), AX9, BB9=""Novice 1"", CEILING((AX9*1.05), $H9), BB9=""Novice 2"", CEILING((AX9*1.025), $H9), BB9=""Novice 3"", AX9+$H9, BB9=""Intermediate 2"", (IF((ISBETWEEN(((((AL9-AK9)/2))+AW9), AK9, AL9)), AX9, AX"&amp;"9+$H9)), BB9=""Intermediate 1"", (IF((ISBETWEEN((AW9-((AL9-AK9)/2)), AK9, AL9)), AX9+$H9, (FLOOR((AX9*0.9875), $H9)))), BB9=""Advanced 2"", (IF(AND(((AV9+((AJ9-AI9)/2))&gt;AJ9), ((AW9+((AL9-AK9)/2))&gt;AL9)), AX9+$H9, (AX9))), BB9=""Advanced 1"", (IFS(BE9&lt;AW9, "&amp;"AX9+$H9, BE9=AW9, (AX9), BE9&gt;AW9, (FLOOR((AX9*0.9875), $H9)))))), (AND(AL9=TRUE, AM9=""No"", AY9=TRUE, AZ9=""No"")), (FLOOR((AX9*0.9), $H9)), (NOT((AND(AY9=TRUE, AZ9=""Yes"")))), AX9)"),45.0)</f>
        <v>45</v>
      </c>
      <c r="BG9" s="41" t="b">
        <v>0</v>
      </c>
      <c r="BH9" s="47"/>
      <c r="BI9" s="47"/>
      <c r="BJ9" s="47" t="str">
        <f t="shared" si="24"/>
        <v>Advanced 2</v>
      </c>
      <c r="BK9" s="71"/>
      <c r="BL9" s="39">
        <f t="shared" si="25"/>
        <v>4</v>
      </c>
      <c r="BM9" s="46">
        <f t="shared" si="26"/>
        <v>12</v>
      </c>
      <c r="BN9" s="40">
        <f>IFERROR(__xludf.DUMMYFUNCTION("IFS((AND(BG9=TRUE, BH9=""Yes"")), (IFS(ISBLANK(BJ9), BF9, BJ9=""Novice 1"", CEILING((BF9*1.05), $H9), BJ9=""Novice 2"", CEILING((BF9*1.025), $H9), BJ9=""Novice 3"", BF9+$H9, BJ9=""Intermediate 2"", (IF((ISBETWEEN(((((AY9-AX9)/2))+BE9), AX9, AY9)), BF9, BF"&amp;"9+$H9)), BJ9=""Intermediate 1"", (IF((ISBETWEEN((BE9-((AY9-AX9)/2)), AX9, AY9)), BF9+$H9, (FLOOR((BF9*0.9875), $H9)))), BJ9=""Advanced 2"", (IF(AND(((BD9+((AW9-AV9)/2))&gt;AW9), ((BE9+((AY9-AX9)/2))&gt;AY9)), BF9+$H9, (BF9))), BJ9=""Advanced 1"", (IFS(BM9&lt;BE9, "&amp;"BF9+$H9, BM9=BE9, (BF9), BM9&gt;BE9, (FLOOR((BF9*0.9875), $H9)))))), (AND(AY9=TRUE, AZ9=""No"", BG9=TRUE, BH9=""No"")), (FLOOR((BF9*0.9), $H9)), (NOT((AND(BG9=TRUE, BH9=""Yes"")))), BF9)"),45.0)</f>
        <v>45</v>
      </c>
      <c r="BO9" s="41" t="b">
        <v>0</v>
      </c>
      <c r="BP9" s="47"/>
      <c r="BQ9" s="47"/>
      <c r="BR9" s="47" t="str">
        <f t="shared" si="27"/>
        <v>Advanced 2</v>
      </c>
      <c r="BS9" s="71"/>
      <c r="BT9" s="61">
        <f t="shared" si="28"/>
        <v>4</v>
      </c>
      <c r="BU9" s="62">
        <f t="shared" si="29"/>
        <v>12</v>
      </c>
      <c r="BV9" s="63">
        <f>IFERROR(__xludf.DUMMYFUNCTION("IFS((AND(BO9=TRUE, BP9=""Yes"")), (IFS(ISBLANK(BR9), BN9, BR9=""Novice 1"", CEILING((BN9*1.05), $H9), BR9=""Novice 2"", CEILING((BN9*1.025), $H9), BR9=""Novice 3"", BN9+$H9, BR9=""Intermediate 2"", (IF((ISBETWEEN(((((BG9-BF9)/2))+BM9), BF9, BG9)), BN9, BN"&amp;"9+$H9)), BR9=""Intermediate 1"", (IF((ISBETWEEN((BM9-((BG9-BF9)/2)), BF9, BG9)), BN9+$H9, (FLOOR((BN9*0.9875), $H9)))), BR9=""Advanced 2"", (IF(AND(((BL9+((BE9-BD9)/2))&gt;BE9), ((BM9+((BG9-BF9)/2))&gt;BG9)), BN9+$H9, (BN9))), BR9=""Advanced 1"", (IFS(BU9&lt;BM9, "&amp;"BN9+$H9, BU9=BM9, (BN9), BU9&gt;BM9, (FLOOR((BN9*0.9875), $H9)))))), (AND(BG9=TRUE, BH9=""No"", BO9=TRUE, BP9=""No"")), (FLOOR((BN9*0.9), $H9)), (NOT((AND(BO9=TRUE, BP9=""Yes"")))), BN9)"),45.0)</f>
        <v>45</v>
      </c>
      <c r="BW9" s="64" t="b">
        <v>0</v>
      </c>
      <c r="BX9" s="65"/>
      <c r="BY9" s="65"/>
      <c r="BZ9" s="65" t="str">
        <f t="shared" si="30"/>
        <v>Advanced 2</v>
      </c>
      <c r="CA9" s="72"/>
      <c r="CB9" s="53">
        <f t="shared" ref="CB9:CC9" si="75">IFERROR(BT9/2,BT9)</f>
        <v>2</v>
      </c>
      <c r="CC9" s="53">
        <f t="shared" si="75"/>
        <v>6</v>
      </c>
      <c r="CD9" s="53">
        <f t="shared" si="32"/>
        <v>45</v>
      </c>
      <c r="CE9" s="67"/>
      <c r="CF9" s="71"/>
      <c r="CG9" s="39">
        <f t="shared" si="33"/>
        <v>4</v>
      </c>
      <c r="CH9" s="46">
        <f t="shared" si="34"/>
        <v>12</v>
      </c>
      <c r="CI9" s="40">
        <f>IFERROR(__xludf.DUMMYFUNCTION("IFS((AND(BW9=TRUE, BX9=""Yes"")), (IFS(ISBLANK(BZ9), BV9, BZ9=""Novice 1"", CEILING((BV9*1.05), $H9), BZ9=""Novice 2"", CEILING((BV9*1.025), $H9), BZ9=""Novice 3"", BV9+$H9, BZ9=""Intermediate 2"", (IF((ISBETWEEN(((((BO9-BN9)/2))+BU9), BN9, BO9)), BV9, BV"&amp;"9+$H9)), BZ9=""Intermediate 1"", (IF((ISBETWEEN((BU9-((BO9-BN9)/2)), BN9, BO9)), BV9+$H9, (FLOOR((BV9*0.9875), $H9)))), BZ9=""Advanced 2"", (IF(AND(((BT9+((BM9-BL9)/2))&gt;BM9), ((BU9+((BO9-BN9)/2))&gt;BO9)), BV9+$H9, (BV9))), BZ9=""Advanced 1"", (IFS(CH9&lt;BU9, "&amp;"BV9+$H9, CH9=BU9, (BV9), CH9&gt;BU9, (FLOOR((BV9*0.9875), $H9)))))), (AND(BO9=TRUE, BP9=""No"", BW9=TRUE, BX9=""No"")), (FLOOR((BV9*0.9), $H9)), (NOT((AND(BW9=TRUE, BX9=""Yes"")))), BV9)"),45.0)</f>
        <v>45</v>
      </c>
      <c r="CJ9" s="41" t="b">
        <v>0</v>
      </c>
      <c r="CK9" s="47"/>
      <c r="CL9" s="47"/>
      <c r="CM9" s="47" t="str">
        <f t="shared" si="35"/>
        <v>Advanced 2</v>
      </c>
      <c r="CN9" s="71"/>
      <c r="CO9" s="39">
        <f t="shared" si="36"/>
        <v>4</v>
      </c>
      <c r="CP9" s="46">
        <f t="shared" si="37"/>
        <v>12</v>
      </c>
      <c r="CQ9" s="40">
        <f>IFERROR(__xludf.DUMMYFUNCTION("IFS((AND(CJ9=TRUE, CK9=""Yes"")), (IFS(ISBLANK(CM9), CI9, CM9=""Novice 1"", CEILING((CI9*1.05), $H9), CM9=""Novice 2"", CEILING((CI9*1.025), $H9), CM9=""Novice 3"", CI9+$H9, CM9=""Intermediate 2"", (IF((ISBETWEEN(((((BW9-BV9)/2))+CH9), BV9, BW9)), CI9, CI"&amp;"9+$H9)), CM9=""Intermediate 1"", (IF((ISBETWEEN((CH9-((BW9-BV9)/2)), BV9, BW9)), CI9+$H9, (FLOOR((CI9*0.9875), $H9)))), CM9=""Advanced 2"", (IF(AND(((CG9+((BU9-BT9)/2))&gt;BU9), ((CH9+((BW9-BV9)/2))&gt;BW9)), CI9+$H9, (CI9))), CM9=""Advanced 1"", (IFS(CP9&lt;CH9, "&amp;"CI9+$H9, CP9=CH9, (CI9), CP9&gt;CH9, (FLOOR((CI9*0.9875), $H9)))))), (AND(BW9=TRUE, BX9=""No"", CJ9=TRUE, CK9=""No"")), (FLOOR((CI9*0.9), $H9)), (NOT((AND(CJ9=TRUE, CK9=""Yes"")))), CI9)"),45.0)</f>
        <v>45</v>
      </c>
      <c r="CR9" s="41" t="b">
        <v>0</v>
      </c>
      <c r="CS9" s="47"/>
      <c r="CT9" s="47"/>
      <c r="CU9" s="47" t="str">
        <f t="shared" si="38"/>
        <v>Advanced 2</v>
      </c>
      <c r="CV9" s="71"/>
      <c r="CW9" s="39">
        <f t="shared" si="39"/>
        <v>4</v>
      </c>
      <c r="CX9" s="46">
        <f t="shared" si="40"/>
        <v>12</v>
      </c>
      <c r="CY9" s="40">
        <f>IFERROR(__xludf.DUMMYFUNCTION("IFS((AND(CR9=TRUE, CS9=""Yes"")), (IFS(ISBLANK(CU9), CQ9, CU9=""Novice 1"", CEILING((CQ9*1.05), $H9), CU9=""Novice 2"", CEILING((CQ9*1.025), $H9), CU9=""Novice 3"", CQ9+$H9, CU9=""Intermediate 2"", (IF((ISBETWEEN(((((CJ9-CI9)/2))+CP9), CI9, CJ9)), CQ9, CQ"&amp;"9+$H9)), CU9=""Intermediate 1"", (IF((ISBETWEEN((CP9-((CJ9-CI9)/2)), CI9, CJ9)), CQ9+$H9, (FLOOR((CQ9*0.9875), $H9)))), CU9=""Advanced 2"", (IF(AND(((CO9+((CH9-CG9)/2))&gt;CH9), ((CP9+((CJ9-CI9)/2))&gt;CJ9)), CQ9+$H9, (CQ9))), CU9=""Advanced 1"", (IFS(CX9&lt;CP9, "&amp;"CQ9+$H9, CX9=CP9, (CQ9), CX9&gt;CP9, (FLOOR((CQ9*0.9875), $H9)))))), (AND(CJ9=TRUE, CK9=""No"", CR9=TRUE, CS9=""No"")), (FLOOR((CQ9*0.9), $H9)), (NOT((AND(CR9=TRUE, CS9=""Yes"")))), CQ9)"),45.0)</f>
        <v>45</v>
      </c>
      <c r="CZ9" s="41" t="b">
        <v>0</v>
      </c>
      <c r="DA9" s="47"/>
      <c r="DB9" s="47"/>
      <c r="DC9" s="47" t="str">
        <f t="shared" si="41"/>
        <v>Advanced 2</v>
      </c>
      <c r="DD9" s="71"/>
      <c r="DE9" s="61">
        <f t="shared" si="42"/>
        <v>4</v>
      </c>
      <c r="DF9" s="62">
        <f t="shared" si="43"/>
        <v>12</v>
      </c>
      <c r="DG9" s="63">
        <f>IFERROR(__xludf.DUMMYFUNCTION("IFS((AND(CZ9=TRUE, DA9=""Yes"")), (IFS(ISBLANK(DC9), CY9, DC9=""Novice 1"", CEILING((CY9*1.05), $H9), DC9=""Novice 2"", CEILING((CY9*1.025), $H9), DC9=""Novice 3"", CY9+$H9, DC9=""Intermediate 2"", (IF((ISBETWEEN(((((CR9-CQ9)/2))+CX9), CQ9, CR9)), CY9, CY"&amp;"9+$H9)), DC9=""Intermediate 1"", (IF((ISBETWEEN((CX9-((CR9-CQ9)/2)), CQ9, CR9)), CY9+$H9, (FLOOR((CY9*0.9875), $H9)))), DC9=""Advanced 2"", (IF(AND(((CW9+((CP9-CO9)/2))&gt;CP9), ((CX9+((CR9-CQ9)/2))&gt;CR9)), CY9+$H9, (CY9))), DC9=""Advanced 1"", (IFS(DF9&lt;CX9, "&amp;"CY9+$H9, DF9=CX9, (CY9), DF9&gt;CX9, (FLOOR((CY9*0.9875), $H9)))))), (AND(CR9=TRUE, CS9=""No"", CZ9=TRUE, DA9=""No"")), (FLOOR((CY9*0.9), $H9)), (NOT((AND(CZ9=TRUE, DA9=""Yes"")))), CY9)"),45.0)</f>
        <v>45</v>
      </c>
      <c r="DH9" s="64" t="b">
        <v>0</v>
      </c>
      <c r="DI9" s="65"/>
      <c r="DJ9" s="65"/>
      <c r="DK9" s="65" t="str">
        <f t="shared" si="44"/>
        <v>Advanced 2</v>
      </c>
      <c r="DL9" s="72"/>
      <c r="DM9" s="53">
        <f t="shared" ref="DM9:DN9" si="76">IFERROR(DE9/2,DE9)</f>
        <v>2</v>
      </c>
      <c r="DN9" s="53">
        <f t="shared" si="76"/>
        <v>6</v>
      </c>
      <c r="DO9" s="53">
        <f t="shared" si="46"/>
        <v>45</v>
      </c>
      <c r="DP9" s="67"/>
      <c r="DQ9" s="71"/>
      <c r="DR9" s="39">
        <f t="shared" si="47"/>
        <v>4</v>
      </c>
      <c r="DS9" s="46">
        <f t="shared" si="48"/>
        <v>12</v>
      </c>
      <c r="DT9" s="40">
        <f>IFERROR(__xludf.DUMMYFUNCTION("IFS((AND(DH9=TRUE, DI9=""Yes"")), (IFS(ISBLANK(DK9), DG9, DK9=""Novice 1"", CEILING((DG9*1.05), $H9), DK9=""Novice 2"", CEILING((DG9*1.025), $H9), DK9=""Novice 3"", DG9+$H9, DK9=""Intermediate 2"", (IF((ISBETWEEN(((((CZ9-CY9)/2))+DF9), CY9, CZ9)), DG9, DG"&amp;"9+$H9)), DK9=""Intermediate 1"", (IF((ISBETWEEN((DF9-((CZ9-CY9)/2)), CY9, CZ9)), DG9+$H9, (FLOOR((DG9*0.9875), $H9)))), DK9=""Advanced 2"", (IF(AND(((DE9+((CX9-CW9)/2))&gt;CX9), ((DF9+((CZ9-CY9)/2))&gt;CZ9)), DG9+$H9, (DG9))), DK9=""Advanced 1"", (IFS(DS9&lt;DF9, "&amp;"DG9+$H9, DS9=DF9, (DG9), DS9&gt;DF9, (FLOOR((DG9*0.9875), $H9)))))), (AND(CZ9=TRUE, DA9=""No"", DH9=TRUE, DI9=""No"")), (FLOOR((DG9*0.9), $H9)), (NOT((AND(DH9=TRUE, DI9=""Yes"")))), DG9)"),45.0)</f>
        <v>45</v>
      </c>
      <c r="DU9" s="41" t="b">
        <v>0</v>
      </c>
      <c r="DV9" s="47"/>
      <c r="DW9" s="47"/>
      <c r="DX9" s="47" t="str">
        <f t="shared" si="49"/>
        <v>Advanced 2</v>
      </c>
      <c r="DY9" s="71"/>
      <c r="DZ9" s="39">
        <f t="shared" si="50"/>
        <v>4</v>
      </c>
      <c r="EA9" s="46">
        <f t="shared" si="51"/>
        <v>12</v>
      </c>
      <c r="EB9" s="40">
        <f>IFERROR(__xludf.DUMMYFUNCTION("IFS((AND(DU9=TRUE, DV9=""Yes"")), (IFS(ISBLANK(DX9), DT9, DX9=""Novice 1"", CEILING((DT9*1.05), $H9), DX9=""Novice 2"", CEILING((DT9*1.025), $H9), DX9=""Novice 3"", DT9+$H9, DX9=""Intermediate 2"", (IF((ISBETWEEN(((((DH9-DG9)/2))+DS9), DG9, DH9)), DT9, DT"&amp;"9+$H9)), DX9=""Intermediate 1"", (IF((ISBETWEEN((DS9-((DH9-DG9)/2)), DG9, DH9)), DT9+$H9, (FLOOR((DT9*0.9875), $H9)))), DX9=""Advanced 2"", (IF(AND(((DR9+((DF9-DE9)/2))&gt;DF9), ((DS9+((DH9-DG9)/2))&gt;DH9)), DT9+$H9, (DT9))), DX9=""Advanced 1"", (IFS(EA9&lt;DS9, "&amp;"DT9+$H9, EA9=DS9, (DT9), EA9&gt;DS9, (FLOOR((DT9*0.9875), $H9)))))), (AND(DH9=TRUE, DI9=""No"", DU9=TRUE, DV9=""No"")), (FLOOR((DT9*0.9), $H9)), (NOT((AND(DU9=TRUE, DV9=""Yes"")))), DT9)"),45.0)</f>
        <v>45</v>
      </c>
      <c r="EC9" s="41" t="b">
        <v>0</v>
      </c>
      <c r="ED9" s="47"/>
      <c r="EE9" s="47"/>
      <c r="EF9" s="47" t="str">
        <f t="shared" si="52"/>
        <v>Advanced 2</v>
      </c>
      <c r="EG9" s="71"/>
      <c r="EH9" s="39">
        <f t="shared" si="53"/>
        <v>4</v>
      </c>
      <c r="EI9" s="46">
        <f t="shared" si="54"/>
        <v>12</v>
      </c>
      <c r="EJ9" s="40">
        <f>IFERROR(__xludf.DUMMYFUNCTION("IFS((AND(EC9=TRUE, ED9=""Yes"")), (IFS(ISBLANK(EF9), EB9, EF9=""Novice 1"", CEILING((EB9*1.05), $H9), EF9=""Novice 2"", CEILING((EB9*1.025), $H9), EF9=""Novice 3"", EB9+$H9, EF9=""Intermediate 2"", (IF((ISBETWEEN(((((DU9-DT9)/2))+EA9), DT9, DU9)), EB9, EB"&amp;"9+$H9)), EF9=""Intermediate 1"", (IF((ISBETWEEN((EA9-((DU9-DT9)/2)), DT9, DU9)), EB9+$H9, (FLOOR((EB9*0.9875), $H9)))), EF9=""Advanced 2"", (IF(AND(((DZ9+((DS9-DR9)/2))&gt;DS9), ((EA9+((DU9-DT9)/2))&gt;DU9)), EB9+$H9, (EB9))), EF9=""Advanced 1"", (IFS(EI9&lt;EA9, "&amp;"EB9+$H9, EI9=EA9, (EB9), EI9&gt;EA9, (FLOOR((EB9*0.9875), $H9)))))), (AND(DU9=TRUE, DV9=""No"", EC9=TRUE, ED9=""No"")), (FLOOR((EB9*0.9), $H9)), (NOT((AND(EC9=TRUE, ED9=""Yes"")))), EB9)"),45.0)</f>
        <v>45</v>
      </c>
      <c r="EK9" s="41" t="b">
        <v>0</v>
      </c>
      <c r="EL9" s="47"/>
      <c r="EM9" s="47"/>
      <c r="EN9" s="47" t="str">
        <f t="shared" si="55"/>
        <v>Advanced 2</v>
      </c>
      <c r="EO9" s="71"/>
      <c r="EP9" s="61">
        <f t="shared" si="56"/>
        <v>4</v>
      </c>
      <c r="EQ9" s="62">
        <f t="shared" si="57"/>
        <v>12</v>
      </c>
      <c r="ER9" s="63">
        <f>IFERROR(__xludf.DUMMYFUNCTION("IFS((AND(EK9=TRUE, EL9=""Yes"")), (IFS(ISBLANK(EN9), EJ9, EN9=""Novice 1"", CEILING((EJ9*1.05), $H9), EN9=""Novice 2"", CEILING((EJ9*1.025), $H9), EN9=""Novice 3"", EJ9+$H9, EN9=""Intermediate 2"", (IF((ISBETWEEN(((((EC9-EB9)/2))+EI9), EB9, EC9)), EJ9, EJ"&amp;"9+$H9)), EN9=""Intermediate 1"", (IF((ISBETWEEN((EI9-((EC9-EB9)/2)), EB9, EC9)), EJ9+$H9, (FLOOR((EJ9*0.9875), $H9)))), EN9=""Advanced 2"", (IF(AND(((EH9+((EA9-DZ9)/2))&gt;EA9), ((EI9+((EC9-EB9)/2))&gt;EC9)), EJ9+$H9, (EJ9))), EN9=""Advanced 1"", (IFS(EQ9&lt;EI9, "&amp;"EJ9+$H9, EQ9=EI9, (EJ9), EQ9&gt;EI9, (FLOOR((EJ9*0.9875), $H9)))))), (AND(EC9=TRUE, ED9=""No"", EK9=TRUE, EL9=""No"")), (FLOOR((EJ9*0.9), $H9)), (NOT((AND(EK9=TRUE, EL9=""Yes"")))), EJ9)"),45.0)</f>
        <v>45</v>
      </c>
      <c r="ES9" s="64" t="b">
        <v>0</v>
      </c>
      <c r="ET9" s="65"/>
      <c r="EU9" s="65"/>
      <c r="EV9" s="65" t="str">
        <f t="shared" si="58"/>
        <v>Advanced 2</v>
      </c>
      <c r="EW9" s="72"/>
      <c r="EX9" s="55">
        <f t="shared" ref="EX9:EY9" si="77">IFERROR(EP9/2,EP9)</f>
        <v>2</v>
      </c>
      <c r="EY9" s="55">
        <f t="shared" si="77"/>
        <v>6</v>
      </c>
      <c r="EZ9" s="55">
        <f t="shared" si="60"/>
        <v>45</v>
      </c>
      <c r="FA9" s="68"/>
      <c r="FB9" s="30"/>
      <c r="FC9" s="57"/>
    </row>
    <row r="10" outlineLevel="1">
      <c r="A10" s="32" t="s">
        <v>40</v>
      </c>
      <c r="B10" s="73"/>
      <c r="C10" s="34">
        <v>4.0</v>
      </c>
      <c r="D10" s="34">
        <v>6.0</v>
      </c>
      <c r="E10" s="34">
        <v>20.0</v>
      </c>
      <c r="F10" s="34">
        <v>30.0</v>
      </c>
      <c r="G10" s="34">
        <v>10.0</v>
      </c>
      <c r="H10" s="74"/>
      <c r="I10" s="37" t="s">
        <v>33</v>
      </c>
      <c r="J10" s="73"/>
      <c r="K10" s="39">
        <f t="shared" si="5"/>
        <v>4</v>
      </c>
      <c r="L10" s="40">
        <f t="shared" si="6"/>
        <v>20</v>
      </c>
      <c r="M10" s="40">
        <f t="shared" si="7"/>
        <v>10</v>
      </c>
      <c r="N10" s="41" t="b">
        <v>0</v>
      </c>
      <c r="O10" s="42"/>
      <c r="P10" s="43"/>
      <c r="Q10" s="44"/>
      <c r="R10" s="73"/>
      <c r="S10" s="46"/>
      <c r="T10" s="46"/>
      <c r="U10" s="40"/>
      <c r="V10" s="41" t="b">
        <v>0</v>
      </c>
      <c r="W10" s="47"/>
      <c r="X10" s="47"/>
      <c r="Y10" s="47"/>
      <c r="Z10" s="73"/>
      <c r="AA10" s="46"/>
      <c r="AB10" s="46"/>
      <c r="AC10" s="40"/>
      <c r="AD10" s="41" t="b">
        <v>0</v>
      </c>
      <c r="AE10" s="47"/>
      <c r="AF10" s="47"/>
      <c r="AG10" s="47"/>
      <c r="AH10" s="73"/>
      <c r="AI10" s="49"/>
      <c r="AJ10" s="49"/>
      <c r="AK10" s="50"/>
      <c r="AL10" s="51" t="b">
        <v>0</v>
      </c>
      <c r="AM10" s="52"/>
      <c r="AN10" s="52"/>
      <c r="AO10" s="52"/>
      <c r="AP10" s="73"/>
      <c r="AQ10" s="75"/>
      <c r="AR10" s="75"/>
      <c r="AS10" s="75"/>
      <c r="AT10" s="76"/>
      <c r="AU10" s="73"/>
      <c r="AV10" s="46"/>
      <c r="AW10" s="46"/>
      <c r="AX10" s="40"/>
      <c r="AY10" s="41" t="b">
        <v>0</v>
      </c>
      <c r="AZ10" s="47"/>
      <c r="BA10" s="47"/>
      <c r="BB10" s="47"/>
      <c r="BC10" s="73"/>
      <c r="BD10" s="46"/>
      <c r="BE10" s="46"/>
      <c r="BF10" s="40"/>
      <c r="BG10" s="41" t="b">
        <v>0</v>
      </c>
      <c r="BH10" s="47"/>
      <c r="BI10" s="47"/>
      <c r="BJ10" s="47"/>
      <c r="BK10" s="73"/>
      <c r="BL10" s="46"/>
      <c r="BM10" s="46"/>
      <c r="BN10" s="40"/>
      <c r="BO10" s="41" t="b">
        <v>0</v>
      </c>
      <c r="BP10" s="47"/>
      <c r="BQ10" s="47"/>
      <c r="BR10" s="47"/>
      <c r="BS10" s="73"/>
      <c r="BT10" s="49"/>
      <c r="BU10" s="49"/>
      <c r="BV10" s="50"/>
      <c r="BW10" s="51" t="b">
        <v>0</v>
      </c>
      <c r="BX10" s="52"/>
      <c r="BY10" s="52"/>
      <c r="BZ10" s="52"/>
      <c r="CA10" s="73"/>
      <c r="CB10" s="75"/>
      <c r="CC10" s="75"/>
      <c r="CD10" s="75"/>
      <c r="CE10" s="76"/>
      <c r="CF10" s="73"/>
      <c r="CG10" s="46"/>
      <c r="CH10" s="46"/>
      <c r="CI10" s="40"/>
      <c r="CJ10" s="41" t="b">
        <v>0</v>
      </c>
      <c r="CK10" s="47"/>
      <c r="CL10" s="47"/>
      <c r="CM10" s="47"/>
      <c r="CN10" s="73"/>
      <c r="CO10" s="46"/>
      <c r="CP10" s="46"/>
      <c r="CQ10" s="40"/>
      <c r="CR10" s="41" t="b">
        <v>0</v>
      </c>
      <c r="CS10" s="47"/>
      <c r="CT10" s="47"/>
      <c r="CU10" s="47"/>
      <c r="CV10" s="73"/>
      <c r="CW10" s="46"/>
      <c r="CX10" s="46"/>
      <c r="CY10" s="40"/>
      <c r="CZ10" s="41" t="b">
        <v>0</v>
      </c>
      <c r="DA10" s="47"/>
      <c r="DB10" s="47"/>
      <c r="DC10" s="47"/>
      <c r="DD10" s="73"/>
      <c r="DE10" s="49"/>
      <c r="DF10" s="49"/>
      <c r="DG10" s="50"/>
      <c r="DH10" s="51" t="b">
        <v>0</v>
      </c>
      <c r="DI10" s="52"/>
      <c r="DJ10" s="52"/>
      <c r="DK10" s="52"/>
      <c r="DL10" s="73"/>
      <c r="DM10" s="75"/>
      <c r="DN10" s="75"/>
      <c r="DO10" s="75"/>
      <c r="DP10" s="76"/>
      <c r="DQ10" s="73"/>
      <c r="DR10" s="46"/>
      <c r="DS10" s="46"/>
      <c r="DT10" s="40"/>
      <c r="DU10" s="41" t="b">
        <v>0</v>
      </c>
      <c r="DV10" s="47"/>
      <c r="DW10" s="47"/>
      <c r="DX10" s="47"/>
      <c r="DY10" s="73"/>
      <c r="DZ10" s="46"/>
      <c r="EA10" s="46"/>
      <c r="EB10" s="40"/>
      <c r="EC10" s="41" t="b">
        <v>0</v>
      </c>
      <c r="ED10" s="47"/>
      <c r="EE10" s="47"/>
      <c r="EF10" s="47"/>
      <c r="EG10" s="73"/>
      <c r="EH10" s="46"/>
      <c r="EI10" s="46"/>
      <c r="EJ10" s="40"/>
      <c r="EK10" s="41" t="b">
        <v>0</v>
      </c>
      <c r="EL10" s="47"/>
      <c r="EM10" s="47"/>
      <c r="EN10" s="47"/>
      <c r="EO10" s="73"/>
      <c r="EP10" s="49"/>
      <c r="EQ10" s="49"/>
      <c r="ER10" s="50"/>
      <c r="ES10" s="51" t="b">
        <v>0</v>
      </c>
      <c r="ET10" s="52"/>
      <c r="EU10" s="52"/>
      <c r="EV10" s="52"/>
      <c r="EW10" s="73"/>
      <c r="EX10" s="77"/>
      <c r="EY10" s="77"/>
      <c r="EZ10" s="77"/>
      <c r="FA10" s="78"/>
      <c r="FB10" s="30"/>
      <c r="FC10" s="31"/>
    </row>
    <row r="11" outlineLevel="1">
      <c r="A11" s="32" t="s">
        <v>41</v>
      </c>
      <c r="B11" s="73"/>
      <c r="C11" s="34">
        <v>4.0</v>
      </c>
      <c r="D11" s="34">
        <v>6.0</v>
      </c>
      <c r="E11" s="34">
        <v>15.0</v>
      </c>
      <c r="F11" s="34">
        <v>25.0</v>
      </c>
      <c r="G11" s="34">
        <v>0.0</v>
      </c>
      <c r="H11" s="74"/>
      <c r="I11" s="37" t="s">
        <v>33</v>
      </c>
      <c r="J11" s="73"/>
      <c r="K11" s="39">
        <f t="shared" si="5"/>
        <v>4</v>
      </c>
      <c r="L11" s="40">
        <f t="shared" si="6"/>
        <v>15</v>
      </c>
      <c r="M11" s="40">
        <f t="shared" si="7"/>
        <v>0</v>
      </c>
      <c r="N11" s="41" t="b">
        <v>0</v>
      </c>
      <c r="O11" s="42"/>
      <c r="P11" s="43"/>
      <c r="Q11" s="44"/>
      <c r="R11" s="73"/>
      <c r="S11" s="46"/>
      <c r="T11" s="46"/>
      <c r="U11" s="40"/>
      <c r="V11" s="41" t="b">
        <v>0</v>
      </c>
      <c r="W11" s="47"/>
      <c r="X11" s="47"/>
      <c r="Y11" s="47"/>
      <c r="Z11" s="73"/>
      <c r="AA11" s="46"/>
      <c r="AB11" s="46"/>
      <c r="AC11" s="40"/>
      <c r="AD11" s="41" t="b">
        <v>0</v>
      </c>
      <c r="AE11" s="47"/>
      <c r="AF11" s="47"/>
      <c r="AG11" s="47"/>
      <c r="AH11" s="73"/>
      <c r="AI11" s="62"/>
      <c r="AJ11" s="62"/>
      <c r="AK11" s="63"/>
      <c r="AL11" s="64" t="b">
        <v>0</v>
      </c>
      <c r="AM11" s="65"/>
      <c r="AN11" s="65"/>
      <c r="AO11" s="65"/>
      <c r="AP11" s="73"/>
      <c r="AQ11" s="75"/>
      <c r="AR11" s="75"/>
      <c r="AS11" s="75"/>
      <c r="AT11" s="76"/>
      <c r="AU11" s="73"/>
      <c r="AV11" s="46"/>
      <c r="AW11" s="46"/>
      <c r="AX11" s="40"/>
      <c r="AY11" s="41" t="b">
        <v>0</v>
      </c>
      <c r="AZ11" s="47"/>
      <c r="BA11" s="47"/>
      <c r="BB11" s="47"/>
      <c r="BC11" s="73"/>
      <c r="BD11" s="46"/>
      <c r="BE11" s="46"/>
      <c r="BF11" s="40"/>
      <c r="BG11" s="41" t="b">
        <v>0</v>
      </c>
      <c r="BH11" s="47"/>
      <c r="BI11" s="47"/>
      <c r="BJ11" s="47"/>
      <c r="BK11" s="73"/>
      <c r="BL11" s="46"/>
      <c r="BM11" s="46"/>
      <c r="BN11" s="40"/>
      <c r="BO11" s="41" t="b">
        <v>0</v>
      </c>
      <c r="BP11" s="47"/>
      <c r="BQ11" s="47"/>
      <c r="BR11" s="47"/>
      <c r="BS11" s="73"/>
      <c r="BT11" s="62"/>
      <c r="BU11" s="62"/>
      <c r="BV11" s="63"/>
      <c r="BW11" s="64" t="b">
        <v>0</v>
      </c>
      <c r="BX11" s="65"/>
      <c r="BY11" s="65"/>
      <c r="BZ11" s="65"/>
      <c r="CA11" s="73"/>
      <c r="CB11" s="75"/>
      <c r="CC11" s="75"/>
      <c r="CD11" s="75"/>
      <c r="CE11" s="76"/>
      <c r="CF11" s="73"/>
      <c r="CG11" s="46"/>
      <c r="CH11" s="46"/>
      <c r="CI11" s="40"/>
      <c r="CJ11" s="41" t="b">
        <v>0</v>
      </c>
      <c r="CK11" s="47"/>
      <c r="CL11" s="47"/>
      <c r="CM11" s="47"/>
      <c r="CN11" s="73"/>
      <c r="CO11" s="46"/>
      <c r="CP11" s="46"/>
      <c r="CQ11" s="40"/>
      <c r="CR11" s="41" t="b">
        <v>0</v>
      </c>
      <c r="CS11" s="47"/>
      <c r="CT11" s="47"/>
      <c r="CU11" s="47"/>
      <c r="CV11" s="73"/>
      <c r="CW11" s="46"/>
      <c r="CX11" s="46"/>
      <c r="CY11" s="40"/>
      <c r="CZ11" s="41" t="b">
        <v>0</v>
      </c>
      <c r="DA11" s="47"/>
      <c r="DB11" s="47"/>
      <c r="DC11" s="47"/>
      <c r="DD11" s="73"/>
      <c r="DE11" s="62"/>
      <c r="DF11" s="62"/>
      <c r="DG11" s="63"/>
      <c r="DH11" s="64" t="b">
        <v>0</v>
      </c>
      <c r="DI11" s="65"/>
      <c r="DJ11" s="65"/>
      <c r="DK11" s="65"/>
      <c r="DL11" s="73"/>
      <c r="DM11" s="75"/>
      <c r="DN11" s="75"/>
      <c r="DO11" s="75"/>
      <c r="DP11" s="76"/>
      <c r="DQ11" s="73"/>
      <c r="DR11" s="46"/>
      <c r="DS11" s="46"/>
      <c r="DT11" s="40"/>
      <c r="DU11" s="41" t="b">
        <v>0</v>
      </c>
      <c r="DV11" s="47"/>
      <c r="DW11" s="47"/>
      <c r="DX11" s="47"/>
      <c r="DY11" s="73"/>
      <c r="DZ11" s="46"/>
      <c r="EA11" s="46"/>
      <c r="EB11" s="40"/>
      <c r="EC11" s="41" t="b">
        <v>0</v>
      </c>
      <c r="ED11" s="47"/>
      <c r="EE11" s="47"/>
      <c r="EF11" s="47"/>
      <c r="EG11" s="73"/>
      <c r="EH11" s="46"/>
      <c r="EI11" s="46"/>
      <c r="EJ11" s="40"/>
      <c r="EK11" s="41" t="b">
        <v>0</v>
      </c>
      <c r="EL11" s="47"/>
      <c r="EM11" s="47"/>
      <c r="EN11" s="47"/>
      <c r="EO11" s="73"/>
      <c r="EP11" s="62"/>
      <c r="EQ11" s="62"/>
      <c r="ER11" s="63"/>
      <c r="ES11" s="64" t="b">
        <v>0</v>
      </c>
      <c r="ET11" s="65"/>
      <c r="EU11" s="65"/>
      <c r="EV11" s="65"/>
      <c r="EW11" s="73"/>
      <c r="EX11" s="77"/>
      <c r="EY11" s="77"/>
      <c r="EZ11" s="77"/>
      <c r="FA11" s="78"/>
      <c r="FB11" s="30"/>
      <c r="FC11" s="31"/>
    </row>
    <row r="12">
      <c r="A12" s="23" t="s">
        <v>42</v>
      </c>
      <c r="B12" s="24"/>
      <c r="C12" s="79"/>
      <c r="D12" s="79"/>
      <c r="E12" s="79"/>
      <c r="F12" s="79"/>
      <c r="G12" s="79"/>
      <c r="H12" s="79"/>
      <c r="I12" s="79"/>
      <c r="J12" s="24"/>
      <c r="K12" s="26"/>
      <c r="L12" s="26"/>
      <c r="M12" s="26"/>
      <c r="N12" s="26"/>
      <c r="O12" s="27"/>
      <c r="P12" s="27"/>
      <c r="Q12" s="27"/>
      <c r="R12" s="24"/>
      <c r="S12" s="28"/>
      <c r="T12" s="28"/>
      <c r="U12" s="28"/>
      <c r="V12" s="28"/>
      <c r="W12" s="28"/>
      <c r="X12" s="28"/>
      <c r="Y12" s="28"/>
      <c r="Z12" s="24"/>
      <c r="AA12" s="28"/>
      <c r="AB12" s="28"/>
      <c r="AC12" s="28"/>
      <c r="AD12" s="28"/>
      <c r="AE12" s="28"/>
      <c r="AF12" s="28"/>
      <c r="AG12" s="28"/>
      <c r="AH12" s="24"/>
      <c r="AI12" s="28"/>
      <c r="AJ12" s="28"/>
      <c r="AK12" s="28"/>
      <c r="AL12" s="28"/>
      <c r="AM12" s="28"/>
      <c r="AN12" s="28"/>
      <c r="AO12" s="28"/>
      <c r="AP12" s="24"/>
      <c r="AQ12" s="80"/>
      <c r="AR12" s="80"/>
      <c r="AS12" s="80"/>
      <c r="AT12" s="80"/>
      <c r="AU12" s="24"/>
      <c r="AV12" s="28"/>
      <c r="AW12" s="28"/>
      <c r="AX12" s="28"/>
      <c r="AY12" s="28"/>
      <c r="AZ12" s="28"/>
      <c r="BA12" s="28"/>
      <c r="BB12" s="28"/>
      <c r="BC12" s="24"/>
      <c r="BD12" s="28"/>
      <c r="BE12" s="28"/>
      <c r="BF12" s="28"/>
      <c r="BG12" s="28"/>
      <c r="BH12" s="28"/>
      <c r="BI12" s="28"/>
      <c r="BJ12" s="28"/>
      <c r="BK12" s="24"/>
      <c r="BL12" s="28"/>
      <c r="BM12" s="28"/>
      <c r="BN12" s="28"/>
      <c r="BO12" s="28"/>
      <c r="BP12" s="28"/>
      <c r="BQ12" s="28"/>
      <c r="BR12" s="28"/>
      <c r="BS12" s="24"/>
      <c r="BT12" s="28"/>
      <c r="BU12" s="28"/>
      <c r="BV12" s="28"/>
      <c r="BW12" s="28"/>
      <c r="BX12" s="28"/>
      <c r="BY12" s="28"/>
      <c r="BZ12" s="28"/>
      <c r="CA12" s="24"/>
      <c r="CB12" s="80"/>
      <c r="CC12" s="80"/>
      <c r="CD12" s="80"/>
      <c r="CE12" s="80"/>
      <c r="CF12" s="24"/>
      <c r="CG12" s="28"/>
      <c r="CH12" s="28"/>
      <c r="CI12" s="28"/>
      <c r="CJ12" s="28"/>
      <c r="CK12" s="28"/>
      <c r="CL12" s="28"/>
      <c r="CM12" s="28"/>
      <c r="CN12" s="24"/>
      <c r="CO12" s="28"/>
      <c r="CP12" s="28"/>
      <c r="CQ12" s="28"/>
      <c r="CR12" s="28"/>
      <c r="CS12" s="28"/>
      <c r="CT12" s="28"/>
      <c r="CU12" s="28"/>
      <c r="CV12" s="24"/>
      <c r="CW12" s="28"/>
      <c r="CX12" s="28"/>
      <c r="CY12" s="28"/>
      <c r="CZ12" s="28"/>
      <c r="DA12" s="28"/>
      <c r="DB12" s="28"/>
      <c r="DC12" s="28"/>
      <c r="DD12" s="24"/>
      <c r="DE12" s="28"/>
      <c r="DF12" s="28"/>
      <c r="DG12" s="28"/>
      <c r="DH12" s="28"/>
      <c r="DI12" s="28"/>
      <c r="DJ12" s="28"/>
      <c r="DK12" s="28"/>
      <c r="DL12" s="24"/>
      <c r="DM12" s="80"/>
      <c r="DN12" s="80"/>
      <c r="DO12" s="80"/>
      <c r="DP12" s="80"/>
      <c r="DQ12" s="24"/>
      <c r="DR12" s="28"/>
      <c r="DS12" s="28"/>
      <c r="DT12" s="28"/>
      <c r="DU12" s="28"/>
      <c r="DV12" s="28"/>
      <c r="DW12" s="28"/>
      <c r="DX12" s="28"/>
      <c r="DY12" s="24"/>
      <c r="DZ12" s="28"/>
      <c r="EA12" s="28"/>
      <c r="EB12" s="28"/>
      <c r="EC12" s="28"/>
      <c r="ED12" s="28"/>
      <c r="EE12" s="28"/>
      <c r="EF12" s="28"/>
      <c r="EG12" s="24"/>
      <c r="EH12" s="28"/>
      <c r="EI12" s="28"/>
      <c r="EJ12" s="28"/>
      <c r="EK12" s="28"/>
      <c r="EL12" s="28"/>
      <c r="EM12" s="28"/>
      <c r="EN12" s="28"/>
      <c r="EO12" s="24"/>
      <c r="EP12" s="28"/>
      <c r="EQ12" s="28"/>
      <c r="ER12" s="28"/>
      <c r="ES12" s="28"/>
      <c r="ET12" s="28"/>
      <c r="EU12" s="28"/>
      <c r="EV12" s="28"/>
      <c r="EW12" s="24"/>
      <c r="EX12" s="80"/>
      <c r="EY12" s="80"/>
      <c r="EZ12" s="80"/>
      <c r="FA12" s="80"/>
      <c r="FB12" s="30"/>
      <c r="FC12" s="31"/>
    </row>
    <row r="13" outlineLevel="1">
      <c r="A13" s="81" t="s">
        <v>43</v>
      </c>
      <c r="B13" s="33" t="s">
        <v>1</v>
      </c>
      <c r="C13" s="82">
        <v>4.0</v>
      </c>
      <c r="D13" s="83">
        <v>4.0</v>
      </c>
      <c r="E13" s="82">
        <v>8.0</v>
      </c>
      <c r="F13" s="83">
        <v>12.0</v>
      </c>
      <c r="G13" s="83">
        <v>0.0</v>
      </c>
      <c r="H13" s="84"/>
      <c r="I13" s="85"/>
      <c r="J13" s="38" t="s">
        <v>2</v>
      </c>
      <c r="K13" s="39">
        <f t="shared" ref="K13:K20" si="82">ifs(ISBLANK(I13), C13, I13="Novice 1", C13, I13="Novice 2", C13, I13="Novice 3", C13, I13="Intermediate 2", C13, I13="Intermediate 1", C13, I13="Advanced 2", C13, I13="Advanced 1", C13)</f>
        <v>4</v>
      </c>
      <c r="L13" s="40">
        <f t="shared" ref="L13:L20" si="83">ifs(ISBLANK(I13), E13, I13="Novice 1", E13, I13="Novice 2", E13, I13="Novice 3", E13, I13="Intermediate 2", E13, I13="Intermediate 1", F13, I13="Advanced 2", E13, I13="Advanced 1", F13)</f>
        <v>8</v>
      </c>
      <c r="M13" s="40">
        <f t="shared" ref="M13:M20" si="84">G13</f>
        <v>0</v>
      </c>
      <c r="N13" s="41" t="b">
        <v>0</v>
      </c>
      <c r="O13" s="42"/>
      <c r="P13" s="43"/>
      <c r="Q13" s="42" t="str">
        <f t="shared" ref="Q13:Q18" si="85">I13</f>
        <v/>
      </c>
      <c r="R13" s="45" t="s">
        <v>3</v>
      </c>
      <c r="S13" s="39">
        <f t="shared" ref="S13:S18" si="86">IFS((AND(N13=TRUE, O13="Yes")), (ifs(ISBLANK(Q13), K13, Q13="Novice 1", K13, Q13="Novice 2", K13, Q13="Novice 3", K13, Q13="Intermediate 2", K13, Q13="Intermediate 1", K13, Q13="Advanced 2", (IF((K13+(($D13-$C13)/2))&gt;$D13, $C13, (K13+(($D13-$C13)/2)))), Q13="Advanced 1", (IF((K13+(($D13-$C13)/2))&gt;$D13, $C13, (K13+(($D13-$C13)/2)))))), (NOT((AND(N13=TRUE, O13="Yes")))), K13)</f>
        <v>4</v>
      </c>
      <c r="T13" s="46">
        <f t="shared" ref="T13:T18" si="87">IFS((AND(N13=TRUE, O13="Yes")), (IFS(ISBLANK(Q13), L13, Q13="Novice 1", L13, Q13="Novice 2", L13, Q13="Novice 3", L13, Q13="Intermediate 2", (IF((L13+(($F13-$E13)/2))&gt;$F13, $E13, (L13+(($F13-$E13)/2)))), Q13="Intermediate 1", (IF((L13-(($F13-$E13)/2))&lt;$E13, $F13, (L13-(($F13-$E13)/2)))), Q13="Advanced 2", (IF((((($D13-$C13)/2))+K13)&gt;$D13, (IF((L13+(($F13-$E13)/2))&gt;$F13, $E13, (L13+(($F13-$E13)/2)))), L13)), Q13="Advanced 1", (IF((((($D13-$C13)/2))+K13)&gt;$D13, (IF((L13-(($F13-$E13)/2))&lt;$E13, $F13, (L13-(($F13-$E13)/2)))), L13)))), (NOT((AND(N13=TRUE, O13="Yes")))), L13)</f>
        <v>8</v>
      </c>
      <c r="U13" s="40">
        <f>IFERROR(__xludf.DUMMYFUNCTION("IFS((AND(N13=TRUE, O13=""Yes"")), (IFS(ISBLANK(Q13), M13, Q13=""Novice 1"", CEILING((M13*1.05), $H13), Q13=""Novice 2"", CEILING((M13*1.025), $H13), Q13=""Novice 3"", M13+$H13, Q13=""Intermediate 2"", (IF((ISBETWEEN(((((F13-E13)/2))+L13), E13, F13)), M13,"&amp;" M13+$H13)), Q13=""Intermediate 1"", (IF((ISBETWEEN((L13-((F13-E13)/2)), E13, F13)), M13+$H13, (FLOOR((M13*0.9875), $H13)))), Q13=""Advanced 2"", (IF(AND(((K13+((D13-C13)/2))&gt;D13), ((L13+((F13-E13)/2))&gt;F13)), M13+$H13, (M13))), Q13=""Advanced 1"", (IFS(T1"&amp;"3&lt;L13, M13+$H13, T13=L13, (M13), T13&gt;L13, (FLOOR((M13*0.9875), $H13)))))), (AND(F13=TRUE, G13=""No"", N13=TRUE, O13=""No"")), (FLOOR((M13*0.9), $H13)), (NOT((AND(N13=TRUE, O13=""Yes"")))), M13)"),0.0)</f>
        <v>0</v>
      </c>
      <c r="V13" s="41" t="b">
        <v>0</v>
      </c>
      <c r="W13" s="47"/>
      <c r="X13" s="47"/>
      <c r="Y13" s="47" t="str">
        <f t="shared" ref="Y13:Y18" si="88">IF((AND(N13=TRUE, O13="No", V13=TRUE, W13="No")), (IFS(ISBLANK(Q13), Q13, Q13="Novice 1", "Novice 2", Q13="Novice 2", "Novice 3", Q13="Novice 3", "Intermediate 1", Q13="Intermediate 1", "Intermediate 2", Q13="Intermediate 2", "Advanced 1", Q13="Advanced 1", "Advanced 2", Q13="Advanced 2", "Advanced 2")), Q13)</f>
        <v/>
      </c>
      <c r="Z13" s="45" t="s">
        <v>4</v>
      </c>
      <c r="AA13" s="39">
        <f t="shared" ref="AA13:AA18" si="89">IFS((AND(V13=TRUE, W13="Yes")), (ifs(ISBLANK(Y13), S13, Y13="Novice 1", S13, Y13="Novice 2", S13, Y13="Novice 3", S13, Y13="Intermediate 2", S13, Y13="Intermediate 1", S13, Y13="Advanced 2", (IF((S13+(($D13-$C13)/2))&gt;$D13, $C13, (S13+(($D13-$C13)/2)))), Y13="Advanced 1", (IF((S13+(($D13-$C13)/2))&gt;$D13, $C13, (S13+(($D13-$C13)/2)))))), (NOT((AND(V13=TRUE, W13="Yes")))), S13)</f>
        <v>4</v>
      </c>
      <c r="AB13" s="46">
        <f t="shared" ref="AB13:AB18" si="90">IFS((AND(V13=TRUE, W13="Yes")), (IFS(ISBLANK(Y13), T13, Y13="Novice 1", T13, Y13="Novice 2", T13, Y13="Novice 3", T13, Y13="Intermediate 2", (IF((T13+(($F13-$E13)/2))&gt;$F13, $E13, (T13+(($F13-$E13)/2)))), Y13="Intermediate 1", (IF((T13-(($F13-$E13)/2))&lt;$E13, $F13, (T13-(($F13-$E13)/2)))), Y13="Advanced 2", (IF((((($D13-$C13)/2))+S13)&gt;$D13, (IF((T13+(($F13-$E13)/2))&gt;$F13, $E13, (T13+(($F13-$E13)/2)))), T13)), Y13="Advanced 1", (IF((((($D13-$C13)/2))+S13)&gt;$D13, (IF((T13-(($F13-$E13)/2))&lt;$E13, $F13, (T13-(($F13-$E13)/2)))), T13)))), (NOT((AND(V13=TRUE, W13="Yes")))), T13)</f>
        <v>8</v>
      </c>
      <c r="AC13" s="40">
        <f>IFERROR(__xludf.DUMMYFUNCTION("IFS((AND(V13=TRUE, W13=""Yes"")), (IFS(ISBLANK(Y13), U13, Y13=""Novice 1"", CEILING((U13*1.05), $H13), Y13=""Novice 2"", CEILING((U13*1.025), $H13), Y13=""Novice 3"", U13+$H13, Y13=""Intermediate 2"", (IF((ISBETWEEN(((((N13-M13)/2))+T13), M13, N13)), U13,"&amp;" U13+$H13)), Y13=""Intermediate 1"", (IF((ISBETWEEN((T13-((N13-M13)/2)), M13, N13)), U13+$H13, (FLOOR((U13*0.9875), $H13)))), Y13=""Advanced 2"", (IF(AND(((S13+((L13-K13)/2))&gt;L13), ((T13+((N13-M13)/2))&gt;N13)), U13+$H13, (U13))), Y13=""Advanced 1"", (IFS(AB"&amp;"13&lt;T13, U13+$H13, AB13=T13, (U13), AB13&gt;T13, (FLOOR((U13*0.9875), $H13)))))), (AND(N13=TRUE, O13=""No"", V13=TRUE, W13=""No"")), (FLOOR((U13*0.9), $H13)), (NOT((AND(V13=TRUE, W13=""Yes"")))), U13)"),0.0)</f>
        <v>0</v>
      </c>
      <c r="AD13" s="41" t="b">
        <v>0</v>
      </c>
      <c r="AE13" s="47"/>
      <c r="AF13" s="47"/>
      <c r="AG13" s="47" t="str">
        <f t="shared" ref="AG13:AG18" si="91">IF((AND(V13=TRUE, W13="No", AD13=TRUE, AE13="No")), (IFS(ISBLANK(Y13), Y13, Y13="Novice 1", "Novice 2", Y13="Novice 2", "Novice 3", Y13="Novice 3", "Intermediate 1", Y13="Intermediate 1", "Intermediate 2", Y13="Intermediate 2", "Advanced 1", Y13="Advanced 1", "Advanced 2", Y13="Advanced 2", "Advanced 2")), Y13)</f>
        <v/>
      </c>
      <c r="AH13" s="45" t="s">
        <v>5</v>
      </c>
      <c r="AI13" s="48">
        <f t="shared" ref="AI13:AI18" si="92">IFS((AND(AD13=TRUE, AE13="Yes")), (ifs(ISBLANK(AG13), AA13, AG13="Novice 1", AA13, AG13="Novice 2", AA13, AG13="Novice 3", AA13, AG13="Intermediate 2", AA13, AG13="Intermediate 1", AA13, AG13="Advanced 2", (IF((AA13+(($D13-$C13)/2))&gt;$D13, $C13, (AA13+(($D13-$C13)/2)))), AG13="Advanced 1", (IF((AA13+(($D13-$C13)/2))&gt;$D13, $C13, (AA13+(($D13-$C13)/2)))))), (NOT((AND(AD13=TRUE, AE13="Yes")))), AA13)</f>
        <v>4</v>
      </c>
      <c r="AJ13" s="49">
        <f t="shared" ref="AJ13:AJ18" si="93">IFS((AND(AD13=TRUE, AE13="Yes")), (IFS(ISBLANK(AG13), AB13, AG13="Novice 1", AB13, AG13="Novice 2", AB13, AG13="Novice 3", AB13, AG13="Intermediate 2", (IF((AB13+(($F13-$E13)/2))&gt;$F13, $E13, (AB13+(($F13-$E13)/2)))), AG13="Intermediate 1", (IF((AB13-(($F13-$E13)/2))&lt;$E13, $F13, (AB13-(($F13-$E13)/2)))), AG13="Advanced 2", (IF((((($D13-$C13)/2))+AA13)&gt;$D13, (IF((AB13+(($F13-$E13)/2))&gt;$F13, $E13, (AB13+(($F13-$E13)/2)))), AB13)), AG13="Advanced 1", (IF((((($D13-$C13)/2))+AA13)&gt;$D13, (IF((AB13-(($F13-$E13)/2))&lt;$E13, $F13, (AB13-(($F13-$E13)/2)))), AB13)))), (NOT((AND(AD13=TRUE, AE13="Yes")))), AB13)</f>
        <v>8</v>
      </c>
      <c r="AK13" s="50">
        <f>IFERROR(__xludf.DUMMYFUNCTION("IFS((AND(AD13=TRUE, AE13=""Yes"")), (IFS(ISBLANK(AG13), AC13, AG13=""Novice 1"", CEILING((AC13*1.05), $H13), AG13=""Novice 2"", CEILING((AC13*1.025), $H13), AG13=""Novice 3"", AC13+$H13, AG13=""Intermediate 2"", (IF((ISBETWEEN(((((V13-U13)/2))+AB13), U13,"&amp;" V13)), AC13, AC13+$H13)), AG13=""Intermediate 1"", (IF((ISBETWEEN((AB13-((V13-U13)/2)), U13, V13)), AC13+$H13, (FLOOR((AC13*0.9875), $H13)))), AG13=""Advanced 2"", (IF(AND(((AA13+((T13-S13)/2))&gt;T13), ((AB13+((V13-U13)/2))&gt;V13)), AC13+$H13, (AC13))), AG13"&amp;"=""Advanced 1"", (IFS(AJ13&lt;AB13, AC13+$H13, AJ13=AB13, (AC13), AJ13&gt;AB13, (FLOOR((AC13*0.9875), $H13)))))), (AND(V13=TRUE, W13=""No"", AD13=TRUE, AE13=""No"")), (FLOOR((AC13*0.9), $H13)), (NOT((AND(AD13=TRUE, AE13=""Yes"")))), AC13)"),0.0)</f>
        <v>0</v>
      </c>
      <c r="AL13" s="51" t="b">
        <v>0</v>
      </c>
      <c r="AM13" s="52"/>
      <c r="AN13" s="52"/>
      <c r="AO13" s="52" t="str">
        <f t="shared" ref="AO13:AO18" si="94">IF((AND(AD13=TRUE, AE13="No", AL13=TRUE, AM13="No")), (IFS(ISBLANK(AG13), AG13, AG13="Novice 1", "Novice 2", AG13="Novice 2", "Novice 3", AG13="Novice 3", "Intermediate 1", AG13="Intermediate 1", "Intermediate 2", AG13="Intermediate 2", "Advanced 1", AG13="Advanced 1", "Advanced 2", AG13="Advanced 2", "Advanced 2")), AG13)</f>
        <v/>
      </c>
      <c r="AP13" s="45" t="s">
        <v>6</v>
      </c>
      <c r="AQ13" s="53">
        <f t="shared" ref="AQ13:AR13" si="78">IFERROR(AI13/2,AI13)</f>
        <v>2</v>
      </c>
      <c r="AR13" s="53">
        <f t="shared" si="78"/>
        <v>4</v>
      </c>
      <c r="AS13" s="53">
        <f t="shared" ref="AS13:AS18" si="96">AK13</f>
        <v>0</v>
      </c>
      <c r="AT13" s="54"/>
      <c r="AU13" s="45" t="s">
        <v>7</v>
      </c>
      <c r="AV13" s="39">
        <f t="shared" ref="AV13:AV18" si="97">IFS((AND(AL13=TRUE, AM13="Yes")), (ifs(ISBLANK(AO13), AI13, AO13="Novice 1", AI13, AO13="Novice 2", AI13, AO13="Novice 3", AI13, AO13="Intermediate 2", AI13, AO13="Intermediate 1", AI13, AO13="Advanced 2", (IF((AI13+(($D13-$C13)/2))&gt;$D13, $C13, (AI13+(($D13-$C13)/2)))), AO13="Advanced 1", (IF((AI13+(($D13-$C13)/2))&gt;$D13, $C13, (AI13+(($D13-$C13)/2)))))), (NOT((AND(AL13=TRUE, AM13="Yes")))), AI13)</f>
        <v>4</v>
      </c>
      <c r="AW13" s="46">
        <f t="shared" ref="AW13:AW18" si="98">IFS((AND(AL13=TRUE, AM13="Yes")), (IFS(ISBLANK(AO13), AJ13, AO13="Novice 1", AJ13, AO13="Novice 2", AJ13, AO13="Novice 3", AJ13, AO13="Intermediate 2", (IF((AJ13+(($F13-$E13)/2))&gt;$F13, $E13, (AJ13+(($F13-$E13)/2)))), AO13="Intermediate 1", (IF((AJ13-(($F13-$E13)/2))&lt;$E13, $F13, (AJ13-(($F13-$E13)/2)))), AO13="Advanced 2", (IF((((($D13-$C13)/2))+AI13)&gt;$D13, (IF((AJ13+(($F13-$E13)/2))&gt;$F13, $E13, (AJ13+(($F13-$E13)/2)))), AJ13)), AO13="Advanced 1", (IF((((($D13-$C13)/2))+AI13)&gt;$D13, (IF((AJ13-(($F13-$E13)/2))&lt;$E13, $F13, (AJ13-(($F13-$E13)/2)))), AJ13)))), (NOT((AND(AL13=TRUE, AM13="Yes")))), AJ13)</f>
        <v>8</v>
      </c>
      <c r="AX13" s="40">
        <f>IFERROR(__xludf.DUMMYFUNCTION("IFS((AND(AL13=TRUE, AM13=""Yes"")), (IFS(ISBLANK(AO13), AK13, AO13=""Novice 1"", CEILING((AK13*1.05), $H13), AO13=""Novice 2"", CEILING((AK13*1.025), $H13), AO13=""Novice 3"", AK13+$H13, AO13=""Intermediate 2"", (IF((ISBETWEEN(((((AD13-AC13)/2))+AJ13), AC"&amp;"13, AD13)), AK13, AK13+$H13)), AO13=""Intermediate 1"", (IF((ISBETWEEN((AJ13-((AD13-AC13)/2)), AC13, AD13)), AK13+$H13, (FLOOR((AK13*0.9875), $H13)))), AO13=""Advanced 2"", (IF(AND(((AI13+((AB13-AA13)/2))&gt;AB13), ((AJ13+((AD13-AC13)/2))&gt;AD13)), AK13+$H13, "&amp;"(AK13))), AO13=""Advanced 1"", (IFS(AW13&lt;AJ13, AK13+$H13, AW13=AJ13, (AK13), AW13&gt;AJ13, (FLOOR((AK13*0.9875), $H13)))))), (AND(AD13=TRUE, AE13=""No"", AL13=TRUE, AM13=""No"")), (FLOOR((AK13*0.9), $H13)), (NOT((AND(AL13=TRUE, AM13=""Yes"")))), AK13)"),0.0)</f>
        <v>0</v>
      </c>
      <c r="AY13" s="41" t="b">
        <v>0</v>
      </c>
      <c r="AZ13" s="47"/>
      <c r="BA13" s="47"/>
      <c r="BB13" s="47" t="str">
        <f t="shared" ref="BB13:BB18" si="99">IF((AND(AL13=TRUE, AM13="No", AY13=TRUE, AZ13="No")), (IFS(ISBLANK(AO13), AO13, AO13="Novice 1", "Novice 2", AO13="Novice 2", "Novice 3", AO13="Novice 3", "Intermediate 1", AO13="Intermediate 1", "Intermediate 2", AO13="Intermediate 2", "Advanced 1", AO13="Advanced 1", "Advanced 2", AO13="Advanced 2", "Advanced 2")), AO13)</f>
        <v/>
      </c>
      <c r="BC13" s="45" t="s">
        <v>8</v>
      </c>
      <c r="BD13" s="39">
        <f t="shared" ref="BD13:BD18" si="100">IFS((AND(AY13=TRUE, AZ13="Yes")), (ifs(ISBLANK(BB13), AV13, BB13="Novice 1", AV13, BB13="Novice 2", AV13, BB13="Novice 3", AV13, BB13="Intermediate 2", AV13, BB13="Intermediate 1", AV13, BB13="Advanced 2", (IF((AV13+(($D13-$C13)/2))&gt;$D13, $C13, (AV13+(($D13-$C13)/2)))), BB13="Advanced 1", (IF((AV13+(($D13-$C13)/2))&gt;$D13, $C13, (AV13+(($D13-$C13)/2)))))), (NOT((AND(AY13=TRUE, AZ13="Yes")))), AV13)</f>
        <v>4</v>
      </c>
      <c r="BE13" s="46">
        <f t="shared" ref="BE13:BE18" si="101">IFS((AND(AY13=TRUE, AZ13="Yes")), (IFS(ISBLANK(BB13), AW13, BB13="Novice 1", AW13, BB13="Novice 2", AW13, BB13="Novice 3", AW13, BB13="Intermediate 2", (IF((AW13+(($F13-$E13)/2))&gt;$F13, $E13, (AW13+(($F13-$E13)/2)))), BB13="Intermediate 1", (IF((AW13-(($F13-$E13)/2))&lt;$E13, $F13, (AW13-(($F13-$E13)/2)))), BB13="Advanced 2", (IF((((($D13-$C13)/2))+AV13)&gt;$D13, (IF((AW13+(($F13-$E13)/2))&gt;$F13, $E13, (AW13+(($F13-$E13)/2)))), AW13)), BB13="Advanced 1", (IF((((($D13-$C13)/2))+AV13)&gt;$D13, (IF((AW13-(($F13-$E13)/2))&lt;$E13, $F13, (AW13-(($F13-$E13)/2)))), AW13)))), (NOT((AND(AY13=TRUE, AZ13="Yes")))), AW13)</f>
        <v>8</v>
      </c>
      <c r="BF13" s="40">
        <f>IFERROR(__xludf.DUMMYFUNCTION("IFS((AND(AY13=TRUE, AZ13=""Yes"")), (IFS(ISBLANK(BB13), AX13, BB13=""Novice 1"", CEILING((AX13*1.05), $H13), BB13=""Novice 2"", CEILING((AX13*1.025), $H13), BB13=""Novice 3"", AX13+$H13, BB13=""Intermediate 2"", (IF((ISBETWEEN(((((AL13-AK13)/2))+AW13), AK"&amp;"13, AL13)), AX13, AX13+$H13)), BB13=""Intermediate 1"", (IF((ISBETWEEN((AW13-((AL13-AK13)/2)), AK13, AL13)), AX13+$H13, (FLOOR((AX13*0.9875), $H13)))), BB13=""Advanced 2"", (IF(AND(((AV13+((AJ13-AI13)/2))&gt;AJ13), ((AW13+((AL13-AK13)/2))&gt;AL13)), AX13+$H13, "&amp;"(AX13))), BB13=""Advanced 1"", (IFS(BE13&lt;AW13, AX13+$H13, BE13=AW13, (AX13), BE13&gt;AW13, (FLOOR((AX13*0.9875), $H13)))))), (AND(AL13=TRUE, AM13=""No"", AY13=TRUE, AZ13=""No"")), (FLOOR((AX13*0.9), $H13)), (NOT((AND(AY13=TRUE, AZ13=""Yes"")))), AX13)"),0.0)</f>
        <v>0</v>
      </c>
      <c r="BG13" s="41" t="b">
        <v>0</v>
      </c>
      <c r="BH13" s="47"/>
      <c r="BI13" s="47"/>
      <c r="BJ13" s="47" t="str">
        <f t="shared" ref="BJ13:BJ18" si="102">IF((AND(AY13=TRUE, AZ13="No", BG13=TRUE, BH13="No")), (IFS(ISBLANK(BB13), BB13, BB13="Novice 1", "Novice 2", BB13="Novice 2", "Novice 3", BB13="Novice 3", "Intermediate 1", BB13="Intermediate 1", "Intermediate 2", BB13="Intermediate 2", "Advanced 1", BB13="Advanced 1", "Advanced 2", BB13="Advanced 2", "Advanced 2")), BB13)</f>
        <v/>
      </c>
      <c r="BK13" s="45" t="s">
        <v>9</v>
      </c>
      <c r="BL13" s="39">
        <f t="shared" ref="BL13:BL18" si="103">IFS((AND(BG13=TRUE, BH13="Yes")), (ifs(ISBLANK(BJ13), BD13, BJ13="Novice 1", BD13, BJ13="Novice 2", BD13, BJ13="Novice 3", BD13, BJ13="Intermediate 2", BD13, BJ13="Intermediate 1", BD13, BJ13="Advanced 2", (IF((BD13+(($D13-$C13)/2))&gt;$D13, $C13, (BD13+(($D13-$C13)/2)))), BJ13="Advanced 1", (IF((BD13+(($D13-$C13)/2))&gt;$D13, $C13, (BD13+(($D13-$C13)/2)))))), (NOT((AND(BG13=TRUE, BH13="Yes")))), BD13)</f>
        <v>4</v>
      </c>
      <c r="BM13" s="46">
        <f t="shared" ref="BM13:BM18" si="104">IFS((AND(BG13=TRUE, BH13="Yes")), (IFS(ISBLANK(BJ13), BE13, BJ13="Novice 1", BE13, BJ13="Novice 2", BE13, BJ13="Novice 3", BE13, BJ13="Intermediate 2", (IF((BE13+(($F13-$E13)/2))&gt;$F13, $E13, (BE13+(($F13-$E13)/2)))), BJ13="Intermediate 1", (IF((BE13-(($F13-$E13)/2))&lt;$E13, $F13, (BE13-(($F13-$E13)/2)))), BJ13="Advanced 2", (IF((((($D13-$C13)/2))+BD13)&gt;$D13, (IF((BE13+(($F13-$E13)/2))&gt;$F13, $E13, (BE13+(($F13-$E13)/2)))), BE13)), BJ13="Advanced 1", (IF((((($D13-$C13)/2))+BD13)&gt;$D13, (IF((BE13-(($F13-$E13)/2))&lt;$E13, $F13, (BE13-(($F13-$E13)/2)))), BE13)))), (NOT((AND(BG13=TRUE, BH13="Yes")))), BE13)</f>
        <v>8</v>
      </c>
      <c r="BN13" s="40">
        <f>IFERROR(__xludf.DUMMYFUNCTION("IFS((AND(BG13=TRUE, BH13=""Yes"")), (IFS(ISBLANK(BJ13), BF13, BJ13=""Novice 1"", CEILING((BF13*1.05), $H13), BJ13=""Novice 2"", CEILING((BF13*1.025), $H13), BJ13=""Novice 3"", BF13+$H13, BJ13=""Intermediate 2"", (IF((ISBETWEEN(((((AY13-AX13)/2))+BE13), AX"&amp;"13, AY13)), BF13, BF13+$H13)), BJ13=""Intermediate 1"", (IF((ISBETWEEN((BE13-((AY13-AX13)/2)), AX13, AY13)), BF13+$H13, (FLOOR((BF13*0.9875), $H13)))), BJ13=""Advanced 2"", (IF(AND(((BD13+((AW13-AV13)/2))&gt;AW13), ((BE13+((AY13-AX13)/2))&gt;AY13)), BF13+$H13, "&amp;"(BF13))), BJ13=""Advanced 1"", (IFS(BM13&lt;BE13, BF13+$H13, BM13=BE13, (BF13), BM13&gt;BE13, (FLOOR((BF13*0.9875), $H13)))))), (AND(AY13=TRUE, AZ13=""No"", BG13=TRUE, BH13=""No"")), (FLOOR((BF13*0.9), $H13)), (NOT((AND(BG13=TRUE, BH13=""Yes"")))), BF13)"),0.0)</f>
        <v>0</v>
      </c>
      <c r="BO13" s="41" t="b">
        <v>0</v>
      </c>
      <c r="BP13" s="47"/>
      <c r="BQ13" s="47"/>
      <c r="BR13" s="47" t="str">
        <f t="shared" ref="BR13:BR18" si="105">IF((AND(BG13=TRUE, BH13="No", BO13=TRUE, BP13="No")), (IFS(ISBLANK(BJ13), BJ13, BJ13="Novice 1", "Novice 2", BJ13="Novice 2", "Novice 3", BJ13="Novice 3", "Intermediate 1", BJ13="Intermediate 1", "Intermediate 2", BJ13="Intermediate 2", "Advanced 1", BJ13="Advanced 1", "Advanced 2", BJ13="Advanced 2", "Advanced 2")), BJ13)</f>
        <v/>
      </c>
      <c r="BS13" s="45" t="s">
        <v>10</v>
      </c>
      <c r="BT13" s="48">
        <f t="shared" ref="BT13:BT18" si="106">IFS((AND(BO13=TRUE, BP13="Yes")), (ifs(ISBLANK(BR13), BL13, BR13="Novice 1", BL13, BR13="Novice 2", BL13, BR13="Novice 3", BL13, BR13="Intermediate 2", BL13, BR13="Intermediate 1", BL13, BR13="Advanced 2", (IF((BL13+(($D13-$C13)/2))&gt;$D13, $C13, (BL13+(($D13-$C13)/2)))), BR13="Advanced 1", (IF((BL13+(($D13-$C13)/2))&gt;$D13, $C13, (BL13+(($D13-$C13)/2)))))), (NOT((AND(BO13=TRUE, BP13="Yes")))), BL13)</f>
        <v>4</v>
      </c>
      <c r="BU13" s="49">
        <f t="shared" ref="BU13:BU18" si="107">IFS((AND(BO13=TRUE, BP13="Yes")), (IFS(ISBLANK(BR13), BM13, BR13="Novice 1", BM13, BR13="Novice 2", BM13, BR13="Novice 3", BM13, BR13="Intermediate 2", (IF((BM13+(($F13-$E13)/2))&gt;$F13, $E13, (BM13+(($F13-$E13)/2)))), BR13="Intermediate 1", (IF((BM13-(($F13-$E13)/2))&lt;$E13, $F13, (BM13-(($F13-$E13)/2)))), BR13="Advanced 2", (IF((((($D13-$C13)/2))+BL13)&gt;$D13, (IF((BM13+(($F13-$E13)/2))&gt;$F13, $E13, (BM13+(($F13-$E13)/2)))), BM13)), BR13="Advanced 1", (IF((((($D13-$C13)/2))+BL13)&gt;$D13, (IF((BM13-(($F13-$E13)/2))&lt;$E13, $F13, (BM13-(($F13-$E13)/2)))), BM13)))), (NOT((AND(BO13=TRUE, BP13="Yes")))), BM13)</f>
        <v>8</v>
      </c>
      <c r="BV13" s="50">
        <f>IFERROR(__xludf.DUMMYFUNCTION("IFS((AND(BO13=TRUE, BP13=""Yes"")), (IFS(ISBLANK(BR13), BN13, BR13=""Novice 1"", CEILING((BN13*1.05), $H13), BR13=""Novice 2"", CEILING((BN13*1.025), $H13), BR13=""Novice 3"", BN13+$H13, BR13=""Intermediate 2"", (IF((ISBETWEEN(((((BG13-BF13)/2))+BM13), BF"&amp;"13, BG13)), BN13, BN13+$H13)), BR13=""Intermediate 1"", (IF((ISBETWEEN((BM13-((BG13-BF13)/2)), BF13, BG13)), BN13+$H13, (FLOOR((BN13*0.9875), $H13)))), BR13=""Advanced 2"", (IF(AND(((BL13+((BE13-BD13)/2))&gt;BE13), ((BM13+((BG13-BF13)/2))&gt;BG13)), BN13+$H13, "&amp;"(BN13))), BR13=""Advanced 1"", (IFS(BU13&lt;BM13, BN13+$H13, BU13=BM13, (BN13), BU13&gt;BM13, (FLOOR((BN13*0.9875), $H13)))))), (AND(BG13=TRUE, BH13=""No"", BO13=TRUE, BP13=""No"")), (FLOOR((BN13*0.9), $H13)), (NOT((AND(BO13=TRUE, BP13=""Yes"")))), BN13)"),0.0)</f>
        <v>0</v>
      </c>
      <c r="BW13" s="51" t="b">
        <v>0</v>
      </c>
      <c r="BX13" s="52"/>
      <c r="BY13" s="52"/>
      <c r="BZ13" s="52" t="str">
        <f t="shared" ref="BZ13:BZ18" si="108">IF((AND(BO13=TRUE, BP13="No", BW13=TRUE, BX13="No")), (IFS(ISBLANK(BR13), BR13, BR13="Novice 1", "Novice 2", BR13="Novice 2", "Novice 3", BR13="Novice 3", "Intermediate 1", BR13="Intermediate 1", "Intermediate 2", BR13="Intermediate 2", "Advanced 1", BR13="Advanced 1", "Advanced 2", BR13="Advanced 2", "Advanced 2")), BR13)</f>
        <v/>
      </c>
      <c r="CA13" s="45" t="s">
        <v>6</v>
      </c>
      <c r="CB13" s="53">
        <f t="shared" ref="CB13:CC13" si="79">IFERROR(BT13/2,BT13)</f>
        <v>2</v>
      </c>
      <c r="CC13" s="53">
        <f t="shared" si="79"/>
        <v>4</v>
      </c>
      <c r="CD13" s="53">
        <f t="shared" ref="CD13:CD18" si="110">BV13</f>
        <v>0</v>
      </c>
      <c r="CE13" s="54"/>
      <c r="CF13" s="45" t="s">
        <v>11</v>
      </c>
      <c r="CG13" s="39">
        <f t="shared" ref="CG13:CG18" si="111">IFS((AND(BW13=TRUE, BX13="Yes")), (ifs(ISBLANK(BZ13), BT13, BZ13="Novice 1", BT13, BZ13="Novice 2", BT13, BZ13="Novice 3", BT13, BZ13="Intermediate 2", BT13, BZ13="Intermediate 1", BT13, BZ13="Advanced 2", (IF((BT13+(($D13-$C13)/2))&gt;$D13, $C13, (BT13+(($D13-$C13)/2)))), BZ13="Advanced 1", (IF((BT13+(($D13-$C13)/2))&gt;$D13, $C13, (BT13+(($D13-$C13)/2)))))), (NOT((AND(BW13=TRUE, BX13="Yes")))), BT13)</f>
        <v>4</v>
      </c>
      <c r="CH13" s="46">
        <f t="shared" ref="CH13:CH18" si="112">IFS((AND(BW13=TRUE, BX13="Yes")), (IFS(ISBLANK(BZ13), BU13, BZ13="Novice 1", BU13, BZ13="Novice 2", BU13, BZ13="Novice 3", BU13, BZ13="Intermediate 2", (IF((BU13+(($F13-$E13)/2))&gt;$F13, $E13, (BU13+(($F13-$E13)/2)))), BZ13="Intermediate 1", (IF((BU13-(($F13-$E13)/2))&lt;$E13, $F13, (BU13-(($F13-$E13)/2)))), BZ13="Advanced 2", (IF((((($D13-$C13)/2))+BT13)&gt;$D13, (IF((BU13+(($F13-$E13)/2))&gt;$F13, $E13, (BU13+(($F13-$E13)/2)))), BU13)), BZ13="Advanced 1", (IF((((($D13-$C13)/2))+BT13)&gt;$D13, (IF((BU13-(($F13-$E13)/2))&lt;$E13, $F13, (BU13-(($F13-$E13)/2)))), BU13)))), (NOT((AND(BW13=TRUE, BX13="Yes")))), BU13)</f>
        <v>8</v>
      </c>
      <c r="CI13" s="40">
        <f>IFERROR(__xludf.DUMMYFUNCTION("IFS((AND(BW13=TRUE, BX13=""Yes"")), (IFS(ISBLANK(BZ13), BV13, BZ13=""Novice 1"", CEILING((BV13*1.05), $H13), BZ13=""Novice 2"", CEILING((BV13*1.025), $H13), BZ13=""Novice 3"", BV13+$H13, BZ13=""Intermediate 2"", (IF((ISBETWEEN(((((BO13-BN13)/2))+BU13), BN"&amp;"13, BO13)), BV13, BV13+$H13)), BZ13=""Intermediate 1"", (IF((ISBETWEEN((BU13-((BO13-BN13)/2)), BN13, BO13)), BV13+$H13, (FLOOR((BV13*0.9875), $H13)))), BZ13=""Advanced 2"", (IF(AND(((BT13+((BM13-BL13)/2))&gt;BM13), ((BU13+((BO13-BN13)/2))&gt;BO13)), BV13+$H13, "&amp;"(BV13))), BZ13=""Advanced 1"", (IFS(CH13&lt;BU13, BV13+$H13, CH13=BU13, (BV13), CH13&gt;BU13, (FLOOR((BV13*0.9875), $H13)))))), (AND(BO13=TRUE, BP13=""No"", BW13=TRUE, BX13=""No"")), (FLOOR((BV13*0.9), $H13)), (NOT((AND(BW13=TRUE, BX13=""Yes"")))), BV13)"),0.0)</f>
        <v>0</v>
      </c>
      <c r="CJ13" s="41" t="b">
        <v>0</v>
      </c>
      <c r="CK13" s="47"/>
      <c r="CL13" s="47"/>
      <c r="CM13" s="47" t="str">
        <f t="shared" ref="CM13:CM18" si="113">IF((AND(BW13=TRUE, BX13="No", CJ13=TRUE, CK13="No")), (IFS(ISBLANK(BZ13), BZ13, BZ13="Novice 1", "Novice 2", BZ13="Novice 2", "Novice 3", BZ13="Novice 3", "Intermediate 1", BZ13="Intermediate 1", "Intermediate 2", BZ13="Intermediate 2", "Advanced 1", BZ13="Advanced 1", "Advanced 2", BZ13="Advanced 2", "Advanced 2")), BZ13)</f>
        <v/>
      </c>
      <c r="CN13" s="45" t="s">
        <v>12</v>
      </c>
      <c r="CO13" s="39">
        <f t="shared" ref="CO13:CO18" si="114">IFS((AND(CJ13=TRUE, CK13="Yes")), (ifs(ISBLANK(CM13), CG13, CM13="Novice 1", CG13, CM13="Novice 2", CG13, CM13="Novice 3", CG13, CM13="Intermediate 2", CG13, CM13="Intermediate 1", CG13, CM13="Advanced 2", (IF((CG13+(($D13-$C13)/2))&gt;$D13, $C13, (CG13+(($D13-$C13)/2)))), CM13="Advanced 1", (IF((CG13+(($D13-$C13)/2))&gt;$D13, $C13, (CG13+(($D13-$C13)/2)))))), (NOT((AND(CJ13=TRUE, CK13="Yes")))), CG13)</f>
        <v>4</v>
      </c>
      <c r="CP13" s="46">
        <f t="shared" ref="CP13:CP18" si="115">IFS((AND(CJ13=TRUE, CK13="Yes")), (IFS(ISBLANK(CM13), CH13, CM13="Novice 1", CH13, CM13="Novice 2", CH13, CM13="Novice 3", CH13, CM13="Intermediate 2", (IF((CH13+(($F13-$E13)/2))&gt;$F13, $E13, (CH13+(($F13-$E13)/2)))), CM13="Intermediate 1", (IF((CH13-(($F13-$E13)/2))&lt;$E13, $F13, (CH13-(($F13-$E13)/2)))), CM13="Advanced 2", (IF((((($D13-$C13)/2))+CG13)&gt;$D13, (IF((CH13+(($F13-$E13)/2))&gt;$F13, $E13, (CH13+(($F13-$E13)/2)))), CH13)), CM13="Advanced 1", (IF((((($D13-$C13)/2))+CG13)&gt;$D13, (IF((CH13-(($F13-$E13)/2))&lt;$E13, $F13, (CH13-(($F13-$E13)/2)))), CH13)))), (NOT((AND(CJ13=TRUE, CK13="Yes")))), CH13)</f>
        <v>8</v>
      </c>
      <c r="CQ13" s="40">
        <f>IFERROR(__xludf.DUMMYFUNCTION("IFS((AND(CJ13=TRUE, CK13=""Yes"")), (IFS(ISBLANK(CM13), CI13, CM13=""Novice 1"", CEILING((CI13*1.05), $H13), CM13=""Novice 2"", CEILING((CI13*1.025), $H13), CM13=""Novice 3"", CI13+$H13, CM13=""Intermediate 2"", (IF((ISBETWEEN(((((BW13-BV13)/2))+CH13), BV"&amp;"13, BW13)), CI13, CI13+$H13)), CM13=""Intermediate 1"", (IF((ISBETWEEN((CH13-((BW13-BV13)/2)), BV13, BW13)), CI13+$H13, (FLOOR((CI13*0.9875), $H13)))), CM13=""Advanced 2"", (IF(AND(((CG13+((BU13-BT13)/2))&gt;BU13), ((CH13+((BW13-BV13)/2))&gt;BW13)), CI13+$H13, "&amp;"(CI13))), CM13=""Advanced 1"", (IFS(CP13&lt;CH13, CI13+$H13, CP13=CH13, (CI13), CP13&gt;CH13, (FLOOR((CI13*0.9875), $H13)))))), (AND(BW13=TRUE, BX13=""No"", CJ13=TRUE, CK13=""No"")), (FLOOR((CI13*0.9), $H13)), (NOT((AND(CJ13=TRUE, CK13=""Yes"")))), CI13)"),0.0)</f>
        <v>0</v>
      </c>
      <c r="CR13" s="41" t="b">
        <v>0</v>
      </c>
      <c r="CS13" s="47"/>
      <c r="CT13" s="47"/>
      <c r="CU13" s="47" t="str">
        <f t="shared" ref="CU13:CU18" si="116">IF((AND(CJ13=TRUE, CK13="No", CR13=TRUE, CS13="No")), (IFS(ISBLANK(CM13), CM13, CM13="Novice 1", "Novice 2", CM13="Novice 2", "Novice 3", CM13="Novice 3", "Intermediate 1", CM13="Intermediate 1", "Intermediate 2", CM13="Intermediate 2", "Advanced 1", CM13="Advanced 1", "Advanced 2", CM13="Advanced 2", "Advanced 2")), CM13)</f>
        <v/>
      </c>
      <c r="CV13" s="45" t="s">
        <v>13</v>
      </c>
      <c r="CW13" s="39">
        <f t="shared" ref="CW13:CW18" si="117">IFS((AND(CR13=TRUE, CS13="Yes")), (ifs(ISBLANK(CU13), CO13, CU13="Novice 1", CO13, CU13="Novice 2", CO13, CU13="Novice 3", CO13, CU13="Intermediate 2", CO13, CU13="Intermediate 1", CO13, CU13="Advanced 2", (IF((CO13+(($D13-$C13)/2))&gt;$D13, $C13, (CO13+(($D13-$C13)/2)))), CU13="Advanced 1", (IF((CO13+(($D13-$C13)/2))&gt;$D13, $C13, (CO13+(($D13-$C13)/2)))))), (NOT((AND(CR13=TRUE, CS13="Yes")))), CO13)</f>
        <v>4</v>
      </c>
      <c r="CX13" s="46">
        <f t="shared" ref="CX13:CX18" si="118">IFS((AND(CR13=TRUE, CS13="Yes")), (IFS(ISBLANK(CU13), CP13, CU13="Novice 1", CP13, CU13="Novice 2", CP13, CU13="Novice 3", CP13, CU13="Intermediate 2", (IF((CP13+(($F13-$E13)/2))&gt;$F13, $E13, (CP13+(($F13-$E13)/2)))), CU13="Intermediate 1", (IF((CP13-(($F13-$E13)/2))&lt;$E13, $F13, (CP13-(($F13-$E13)/2)))), CU13="Advanced 2", (IF((((($D13-$C13)/2))+CO13)&gt;$D13, (IF((CP13+(($F13-$E13)/2))&gt;$F13, $E13, (CP13+(($F13-$E13)/2)))), CP13)), CU13="Advanced 1", (IF((((($D13-$C13)/2))+CO13)&gt;$D13, (IF((CP13-(($F13-$E13)/2))&lt;$E13, $F13, (CP13-(($F13-$E13)/2)))), CP13)))), (NOT((AND(CR13=TRUE, CS13="Yes")))), CP13)</f>
        <v>8</v>
      </c>
      <c r="CY13" s="40">
        <f>IFERROR(__xludf.DUMMYFUNCTION("IFS((AND(CR13=TRUE, CS13=""Yes"")), (IFS(ISBLANK(CU13), CQ13, CU13=""Novice 1"", CEILING((CQ13*1.05), $H13), CU13=""Novice 2"", CEILING((CQ13*1.025), $H13), CU13=""Novice 3"", CQ13+$H13, CU13=""Intermediate 2"", (IF((ISBETWEEN(((((CJ13-CI13)/2))+CP13), CI"&amp;"13, CJ13)), CQ13, CQ13+$H13)), CU13=""Intermediate 1"", (IF((ISBETWEEN((CP13-((CJ13-CI13)/2)), CI13, CJ13)), CQ13+$H13, (FLOOR((CQ13*0.9875), $H13)))), CU13=""Advanced 2"", (IF(AND(((CO13+((CH13-CG13)/2))&gt;CH13), ((CP13+((CJ13-CI13)/2))&gt;CJ13)), CQ13+$H13, "&amp;"(CQ13))), CU13=""Advanced 1"", (IFS(CX13&lt;CP13, CQ13+$H13, CX13=CP13, (CQ13), CX13&gt;CP13, (FLOOR((CQ13*0.9875), $H13)))))), (AND(CJ13=TRUE, CK13=""No"", CR13=TRUE, CS13=""No"")), (FLOOR((CQ13*0.9), $H13)), (NOT((AND(CR13=TRUE, CS13=""Yes"")))), CQ13)"),0.0)</f>
        <v>0</v>
      </c>
      <c r="CZ13" s="41" t="b">
        <v>0</v>
      </c>
      <c r="DA13" s="47"/>
      <c r="DB13" s="47"/>
      <c r="DC13" s="47" t="str">
        <f t="shared" ref="DC13:DC18" si="119">IF((AND(CR13=TRUE, CS13="No", CZ13=TRUE, DA13="No")), (IFS(ISBLANK(CU13), CU13, CU13="Novice 1", "Novice 2", CU13="Novice 2", "Novice 3", CU13="Novice 3", "Intermediate 1", CU13="Intermediate 1", "Intermediate 2", CU13="Intermediate 2", "Advanced 1", CU13="Advanced 1", "Advanced 2", CU13="Advanced 2", "Advanced 2")), CU13)</f>
        <v/>
      </c>
      <c r="DD13" s="45" t="s">
        <v>14</v>
      </c>
      <c r="DE13" s="48">
        <f t="shared" ref="DE13:DE18" si="120">IFS((AND(CZ13=TRUE, DA13="Yes")), (ifs(ISBLANK(DC13), CW13, DC13="Novice 1", CW13, DC13="Novice 2", CW13, DC13="Novice 3", CW13, DC13="Intermediate 2", CW13, DC13="Intermediate 1", CW13, DC13="Advanced 2", (IF((CW13+(($D13-$C13)/2))&gt;$D13, $C13, (CW13+(($D13-$C13)/2)))), DC13="Advanced 1", (IF((CW13+(($D13-$C13)/2))&gt;$D13, $C13, (CW13+(($D13-$C13)/2)))))), (NOT((AND(CZ13=TRUE, DA13="Yes")))), CW13)</f>
        <v>4</v>
      </c>
      <c r="DF13" s="49">
        <f t="shared" ref="DF13:DF18" si="121">IFS((AND(CZ13=TRUE, DA13="Yes")), (IFS(ISBLANK(DC13), CX13, DC13="Novice 1", CX13, DC13="Novice 2", CX13, DC13="Novice 3", CX13, DC13="Intermediate 2", (IF((CX13+(($F13-$E13)/2))&gt;$F13, $E13, (CX13+(($F13-$E13)/2)))), DC13="Intermediate 1", (IF((CX13-(($F13-$E13)/2))&lt;$E13, $F13, (CX13-(($F13-$E13)/2)))), DC13="Advanced 2", (IF((((($D13-$C13)/2))+CW13)&gt;$D13, (IF((CX13+(($F13-$E13)/2))&gt;$F13, $E13, (CX13+(($F13-$E13)/2)))), CX13)), DC13="Advanced 1", (IF((((($D13-$C13)/2))+CW13)&gt;$D13, (IF((CX13-(($F13-$E13)/2))&lt;$E13, $F13, (CX13-(($F13-$E13)/2)))), CX13)))), (NOT((AND(CZ13=TRUE, DA13="Yes")))), CX13)</f>
        <v>8</v>
      </c>
      <c r="DG13" s="50">
        <f>IFERROR(__xludf.DUMMYFUNCTION("IFS((AND(CZ13=TRUE, DA13=""Yes"")), (IFS(ISBLANK(DC13), CY13, DC13=""Novice 1"", CEILING((CY13*1.05), $H13), DC13=""Novice 2"", CEILING((CY13*1.025), $H13), DC13=""Novice 3"", CY13+$H13, DC13=""Intermediate 2"", (IF((ISBETWEEN(((((CR13-CQ13)/2))+CX13), CQ"&amp;"13, CR13)), CY13, CY13+$H13)), DC13=""Intermediate 1"", (IF((ISBETWEEN((CX13-((CR13-CQ13)/2)), CQ13, CR13)), CY13+$H13, (FLOOR((CY13*0.9875), $H13)))), DC13=""Advanced 2"", (IF(AND(((CW13+((CP13-CO13)/2))&gt;CP13), ((CX13+((CR13-CQ13)/2))&gt;CR13)), CY13+$H13, "&amp;"(CY13))), DC13=""Advanced 1"", (IFS(DF13&lt;CX13, CY13+$H13, DF13=CX13, (CY13), DF13&gt;CX13, (FLOOR((CY13*0.9875), $H13)))))), (AND(CR13=TRUE, CS13=""No"", CZ13=TRUE, DA13=""No"")), (FLOOR((CY13*0.9), $H13)), (NOT((AND(CZ13=TRUE, DA13=""Yes"")))), CY13)"),0.0)</f>
        <v>0</v>
      </c>
      <c r="DH13" s="51" t="b">
        <v>0</v>
      </c>
      <c r="DI13" s="52"/>
      <c r="DJ13" s="52"/>
      <c r="DK13" s="52" t="str">
        <f t="shared" ref="DK13:DK18" si="122">IF((AND(CZ13=TRUE, DA13="No", DH13=TRUE, DI13="No")), (IFS(ISBLANK(DC13), DC13, DC13="Novice 1", "Novice 2", DC13="Novice 2", "Novice 3", DC13="Novice 3", "Intermediate 1", DC13="Intermediate 1", "Intermediate 2", DC13="Intermediate 2", "Advanced 1", DC13="Advanced 1", "Advanced 2", DC13="Advanced 2", "Advanced 2")), DC13)</f>
        <v/>
      </c>
      <c r="DL13" s="45" t="s">
        <v>6</v>
      </c>
      <c r="DM13" s="53">
        <f t="shared" ref="DM13:DN13" si="80">IFERROR(DE13/2,DE13)</f>
        <v>2</v>
      </c>
      <c r="DN13" s="53">
        <f t="shared" si="80"/>
        <v>4</v>
      </c>
      <c r="DO13" s="53">
        <f t="shared" ref="DO13:DO18" si="124">DG13</f>
        <v>0</v>
      </c>
      <c r="DP13" s="54"/>
      <c r="DQ13" s="45" t="s">
        <v>15</v>
      </c>
      <c r="DR13" s="39">
        <f t="shared" ref="DR13:DR18" si="125">IFS((AND(DH13=TRUE, DI13="Yes")), (ifs(ISBLANK(DK13), DE13, DK13="Novice 1", DE13, DK13="Novice 2", DE13, DK13="Novice 3", DE13, DK13="Intermediate 2", DE13, DK13="Intermediate 1", DE13, DK13="Advanced 2", (IF((DE13+(($D13-$C13)/2))&gt;$D13, $C13, (DE13+(($D13-$C13)/2)))), DK13="Advanced 1", (IF((DE13+(($D13-$C13)/2))&gt;$D13, $C13, (DE13+(($D13-$C13)/2)))))), (NOT((AND(DH13=TRUE, DI13="Yes")))), DE13)</f>
        <v>4</v>
      </c>
      <c r="DS13" s="46">
        <f t="shared" ref="DS13:DS18" si="126">IFS((AND(DH13=TRUE, DI13="Yes")), (IFS(ISBLANK(DK13), DF13, DK13="Novice 1", DF13, DK13="Novice 2", DF13, DK13="Novice 3", DF13, DK13="Intermediate 2", (IF((DF13+(($F13-$E13)/2))&gt;$F13, $E13, (DF13+(($F13-$E13)/2)))), DK13="Intermediate 1", (IF((DF13-(($F13-$E13)/2))&lt;$E13, $F13, (DF13-(($F13-$E13)/2)))), DK13="Advanced 2", (IF((((($D13-$C13)/2))+DE13)&gt;$D13, (IF((DF13+(($F13-$E13)/2))&gt;$F13, $E13, (DF13+(($F13-$E13)/2)))), DF13)), DK13="Advanced 1", (IF((((($D13-$C13)/2))+DE13)&gt;$D13, (IF((DF13-(($F13-$E13)/2))&lt;$E13, $F13, (DF13-(($F13-$E13)/2)))), DF13)))), (NOT((AND(DH13=TRUE, DI13="Yes")))), DF13)</f>
        <v>8</v>
      </c>
      <c r="DT13" s="40">
        <f>IFERROR(__xludf.DUMMYFUNCTION("IFS((AND(DH13=TRUE, DI13=""Yes"")), (IFS(ISBLANK(DK13), DG13, DK13=""Novice 1"", CEILING((DG13*1.05), $H13), DK13=""Novice 2"", CEILING((DG13*1.025), $H13), DK13=""Novice 3"", DG13+$H13, DK13=""Intermediate 2"", (IF((ISBETWEEN(((((CZ13-CY13)/2))+DF13), CY"&amp;"13, CZ13)), DG13, DG13+$H13)), DK13=""Intermediate 1"", (IF((ISBETWEEN((DF13-((CZ13-CY13)/2)), CY13, CZ13)), DG13+$H13, (FLOOR((DG13*0.9875), $H13)))), DK13=""Advanced 2"", (IF(AND(((DE13+((CX13-CW13)/2))&gt;CX13), ((DF13+((CZ13-CY13)/2))&gt;CZ13)), DG13+$H13, "&amp;"(DG13))), DK13=""Advanced 1"", (IFS(DS13&lt;DF13, DG13+$H13, DS13=DF13, (DG13), DS13&gt;DF13, (FLOOR((DG13*0.9875), $H13)))))), (AND(CZ13=TRUE, DA13=""No"", DH13=TRUE, DI13=""No"")), (FLOOR((DG13*0.9), $H13)), (NOT((AND(DH13=TRUE, DI13=""Yes"")))), DG13)"),0.0)</f>
        <v>0</v>
      </c>
      <c r="DU13" s="41" t="b">
        <v>0</v>
      </c>
      <c r="DV13" s="47"/>
      <c r="DW13" s="47"/>
      <c r="DX13" s="47" t="str">
        <f t="shared" ref="DX13:DX18" si="127">IF((AND(DH13=TRUE, DI13="No", DU13=TRUE, DV13="No")), (IFS(ISBLANK(DK13), DK13, DK13="Novice 1", "Novice 2", DK13="Novice 2", "Novice 3", DK13="Novice 3", "Intermediate 1", DK13="Intermediate 1", "Intermediate 2", DK13="Intermediate 2", "Advanced 1", DK13="Advanced 1", "Advanced 2", DK13="Advanced 2", "Advanced 2")), DK13)</f>
        <v/>
      </c>
      <c r="DY13" s="45" t="s">
        <v>16</v>
      </c>
      <c r="DZ13" s="39">
        <f t="shared" ref="DZ13:DZ18" si="128">IFS((AND(DU13=TRUE, DV13="Yes")), (ifs(ISBLANK(DX13), DR13, DX13="Novice 1", DR13, DX13="Novice 2", DR13, DX13="Novice 3", DR13, DX13="Intermediate 2", DR13, DX13="Intermediate 1", DR13, DX13="Advanced 2", (IF((DR13+(($D13-$C13)/2))&gt;$D13, $C13, (DR13+(($D13-$C13)/2)))), DX13="Advanced 1", (IF((DR13+(($D13-$C13)/2))&gt;$D13, $C13, (DR13+(($D13-$C13)/2)))))), (NOT((AND(DU13=TRUE, DV13="Yes")))), DR13)</f>
        <v>4</v>
      </c>
      <c r="EA13" s="46">
        <f t="shared" ref="EA13:EA18" si="129">IFS((AND(DU13=TRUE, DV13="Yes")), (IFS(ISBLANK(DX13), DS13, DX13="Novice 1", DS13, DX13="Novice 2", DS13, DX13="Novice 3", DS13, DX13="Intermediate 2", (IF((DS13+(($F13-$E13)/2))&gt;$F13, $E13, (DS13+(($F13-$E13)/2)))), DX13="Intermediate 1", (IF((DS13-(($F13-$E13)/2))&lt;$E13, $F13, (DS13-(($F13-$E13)/2)))), DX13="Advanced 2", (IF((((($D13-$C13)/2))+DR13)&gt;$D13, (IF((DS13+(($F13-$E13)/2))&gt;$F13, $E13, (DS13+(($F13-$E13)/2)))), DS13)), DX13="Advanced 1", (IF((((($D13-$C13)/2))+DR13)&gt;$D13, (IF((DS13-(($F13-$E13)/2))&lt;$E13, $F13, (DS13-(($F13-$E13)/2)))), DS13)))), (NOT((AND(DU13=TRUE, DV13="Yes")))), DS13)</f>
        <v>8</v>
      </c>
      <c r="EB13" s="40">
        <f>IFERROR(__xludf.DUMMYFUNCTION("IFS((AND(DU13=TRUE, DV13=""Yes"")), (IFS(ISBLANK(DX13), DT13, DX13=""Novice 1"", CEILING((DT13*1.05), $H13), DX13=""Novice 2"", CEILING((DT13*1.025), $H13), DX13=""Novice 3"", DT13+$H13, DX13=""Intermediate 2"", (IF((ISBETWEEN(((((DH13-DG13)/2))+DS13), DG"&amp;"13, DH13)), DT13, DT13+$H13)), DX13=""Intermediate 1"", (IF((ISBETWEEN((DS13-((DH13-DG13)/2)), DG13, DH13)), DT13+$H13, (FLOOR((DT13*0.9875), $H13)))), DX13=""Advanced 2"", (IF(AND(((DR13+((DF13-DE13)/2))&gt;DF13), ((DS13+((DH13-DG13)/2))&gt;DH13)), DT13+$H13, "&amp;"(DT13))), DX13=""Advanced 1"", (IFS(EA13&lt;DS13, DT13+$H13, EA13=DS13, (DT13), EA13&gt;DS13, (FLOOR((DT13*0.9875), $H13)))))), (AND(DH13=TRUE, DI13=""No"", DU13=TRUE, DV13=""No"")), (FLOOR((DT13*0.9), $H13)), (NOT((AND(DU13=TRUE, DV13=""Yes"")))), DT13)"),0.0)</f>
        <v>0</v>
      </c>
      <c r="EC13" s="41" t="b">
        <v>0</v>
      </c>
      <c r="ED13" s="47"/>
      <c r="EE13" s="47"/>
      <c r="EF13" s="47" t="str">
        <f t="shared" ref="EF13:EF18" si="130">IF((AND(DU13=TRUE, DV13="No", EC13=TRUE, ED13="No")), (IFS(ISBLANK(DX13), DX13, DX13="Novice 1", "Novice 2", DX13="Novice 2", "Novice 3", DX13="Novice 3", "Intermediate 1", DX13="Intermediate 1", "Intermediate 2", DX13="Intermediate 2", "Advanced 1", DX13="Advanced 1", "Advanced 2", DX13="Advanced 2", "Advanced 2")), DX13)</f>
        <v/>
      </c>
      <c r="EG13" s="45" t="s">
        <v>17</v>
      </c>
      <c r="EH13" s="39">
        <f t="shared" ref="EH13:EH18" si="131">IFS((AND(EC13=TRUE, ED13="Yes")), (ifs(ISBLANK(EF13), DZ13, EF13="Novice 1", DZ13, EF13="Novice 2", DZ13, EF13="Novice 3", DZ13, EF13="Intermediate 2", DZ13, EF13="Intermediate 1", DZ13, EF13="Advanced 2", (IF((DZ13+(($D13-$C13)/2))&gt;$D13, $C13, (DZ13+(($D13-$C13)/2)))), EF13="Advanced 1", (IF((DZ13+(($D13-$C13)/2))&gt;$D13, $C13, (DZ13+(($D13-$C13)/2)))))), (NOT((AND(EC13=TRUE, ED13="Yes")))), DZ13)</f>
        <v>4</v>
      </c>
      <c r="EI13" s="46">
        <f t="shared" ref="EI13:EI18" si="132">IFS((AND(EC13=TRUE, ED13="Yes")), (IFS(ISBLANK(EF13), EA13, EF13="Novice 1", EA13, EF13="Novice 2", EA13, EF13="Novice 3", EA13, EF13="Intermediate 2", (IF((EA13+(($F13-$E13)/2))&gt;$F13, $E13, (EA13+(($F13-$E13)/2)))), EF13="Intermediate 1", (IF((EA13-(($F13-$E13)/2))&lt;$E13, $F13, (EA13-(($F13-$E13)/2)))), EF13="Advanced 2", (IF((((($D13-$C13)/2))+DZ13)&gt;$D13, (IF((EA13+(($F13-$E13)/2))&gt;$F13, $E13, (EA13+(($F13-$E13)/2)))), EA13)), EF13="Advanced 1", (IF((((($D13-$C13)/2))+DZ13)&gt;$D13, (IF((EA13-(($F13-$E13)/2))&lt;$E13, $F13, (EA13-(($F13-$E13)/2)))), EA13)))), (NOT((AND(EC13=TRUE, ED13="Yes")))), EA13)</f>
        <v>8</v>
      </c>
      <c r="EJ13" s="40">
        <f>IFERROR(__xludf.DUMMYFUNCTION("IFS((AND(EC13=TRUE, ED13=""Yes"")), (IFS(ISBLANK(EF13), EB13, EF13=""Novice 1"", CEILING((EB13*1.05), $H13), EF13=""Novice 2"", CEILING((EB13*1.025), $H13), EF13=""Novice 3"", EB13+$H13, EF13=""Intermediate 2"", (IF((ISBETWEEN(((((DU13-DT13)/2))+EA13), DT"&amp;"13, DU13)), EB13, EB13+$H13)), EF13=""Intermediate 1"", (IF((ISBETWEEN((EA13-((DU13-DT13)/2)), DT13, DU13)), EB13+$H13, (FLOOR((EB13*0.9875), $H13)))), EF13=""Advanced 2"", (IF(AND(((DZ13+((DS13-DR13)/2))&gt;DS13), ((EA13+((DU13-DT13)/2))&gt;DU13)), EB13+$H13, "&amp;"(EB13))), EF13=""Advanced 1"", (IFS(EI13&lt;EA13, EB13+$H13, EI13=EA13, (EB13), EI13&gt;EA13, (FLOOR((EB13*0.9875), $H13)))))), (AND(DU13=TRUE, DV13=""No"", EC13=TRUE, ED13=""No"")), (FLOOR((EB13*0.9), $H13)), (NOT((AND(EC13=TRUE, ED13=""Yes"")))), EB13)"),0.0)</f>
        <v>0</v>
      </c>
      <c r="EK13" s="41" t="b">
        <v>0</v>
      </c>
      <c r="EL13" s="47"/>
      <c r="EM13" s="47"/>
      <c r="EN13" s="47" t="str">
        <f t="shared" ref="EN13:EN18" si="133">IF((AND(EC13=TRUE, ED13="No", EK13=TRUE, EL13="No")), (IFS(ISBLANK(EF13), EF13, EF13="Novice 1", "Novice 2", EF13="Novice 2", "Novice 3", EF13="Novice 3", "Intermediate 1", EF13="Intermediate 1", "Intermediate 2", EF13="Intermediate 2", "Advanced 1", EF13="Advanced 1", "Advanced 2", EF13="Advanced 2", "Advanced 2")), EF13)</f>
        <v/>
      </c>
      <c r="EO13" s="45" t="s">
        <v>18</v>
      </c>
      <c r="EP13" s="48">
        <f t="shared" ref="EP13:EP18" si="134">IFS((AND(EK13=TRUE, EL13="Yes")), (ifs(ISBLANK(EN13), EH13, EN13="Novice 1", EH13, EN13="Novice 2", EH13, EN13="Novice 3", EH13, EN13="Intermediate 2", EH13, EN13="Intermediate 1", EH13, EN13="Advanced 2", (IF((EH13+(($D13-$C13)/2))&gt;$D13, $C13, (EH13+(($D13-$C13)/2)))), EN13="Advanced 1", (IF((EH13+(($D13-$C13)/2))&gt;$D13, $C13, (EH13+(($D13-$C13)/2)))))), (NOT((AND(EK13=TRUE, EL13="Yes")))), EH13)</f>
        <v>4</v>
      </c>
      <c r="EQ13" s="49">
        <f t="shared" ref="EQ13:EQ18" si="135">IFS((AND(EK13=TRUE, EL13="Yes")), (IFS(ISBLANK(EN13), EI13, EN13="Novice 1", EI13, EN13="Novice 2", EI13, EN13="Novice 3", EI13, EN13="Intermediate 2", (IF((EI13+(($F13-$E13)/2))&gt;$F13, $E13, (EI13+(($F13-$E13)/2)))), EN13="Intermediate 1", (IF((EI13-(($F13-$E13)/2))&lt;$E13, $F13, (EI13-(($F13-$E13)/2)))), EN13="Advanced 2", (IF((((($D13-$C13)/2))+EH13)&gt;$D13, (IF((EI13+(($F13-$E13)/2))&gt;$F13, $E13, (EI13+(($F13-$E13)/2)))), EI13)), EN13="Advanced 1", (IF((((($D13-$C13)/2))+EH13)&gt;$D13, (IF((EI13-(($F13-$E13)/2))&lt;$E13, $F13, (EI13-(($F13-$E13)/2)))), EI13)))), (NOT((AND(EK13=TRUE, EL13="Yes")))), EI13)</f>
        <v>8</v>
      </c>
      <c r="ER13" s="50">
        <f>IFERROR(__xludf.DUMMYFUNCTION("IFS((AND(EK13=TRUE, EL13=""Yes"")), (IFS(ISBLANK(EN13), EJ13, EN13=""Novice 1"", CEILING((EJ13*1.05), $H13), EN13=""Novice 2"", CEILING((EJ13*1.025), $H13), EN13=""Novice 3"", EJ13+$H13, EN13=""Intermediate 2"", (IF((ISBETWEEN(((((EC13-EB13)/2))+EI13), EB"&amp;"13, EC13)), EJ13, EJ13+$H13)), EN13=""Intermediate 1"", (IF((ISBETWEEN((EI13-((EC13-EB13)/2)), EB13, EC13)), EJ13+$H13, (FLOOR((EJ13*0.9875), $H13)))), EN13=""Advanced 2"", (IF(AND(((EH13+((EA13-DZ13)/2))&gt;EA13), ((EI13+((EC13-EB13)/2))&gt;EC13)), EJ13+$H13, "&amp;"(EJ13))), EN13=""Advanced 1"", (IFS(EQ13&lt;EI13, EJ13+$H13, EQ13=EI13, (EJ13), EQ13&gt;EI13, (FLOOR((EJ13*0.9875), $H13)))))), (AND(EC13=TRUE, ED13=""No"", EK13=TRUE, EL13=""No"")), (FLOOR((EJ13*0.9), $H13)), (NOT((AND(EK13=TRUE, EL13=""Yes"")))), EJ13)"),0.0)</f>
        <v>0</v>
      </c>
      <c r="ES13" s="51" t="b">
        <v>0</v>
      </c>
      <c r="ET13" s="52"/>
      <c r="EU13" s="52"/>
      <c r="EV13" s="52" t="str">
        <f t="shared" ref="EV13:EV18" si="136">IF((AND(EK13=TRUE, EL13="No", ES13=TRUE, ET13="No")), (IFS(ISBLANK(EN13), EN13, EN13="Novice 1", "Novice 2", EN13="Novice 2", "Novice 3", EN13="Novice 3", "Intermediate 1", EN13="Intermediate 1", "Intermediate 2", EN13="Intermediate 2", "Advanced 1", EN13="Advanced 1", "Advanced 2", EN13="Advanced 2", "Advanced 2")), EN13)</f>
        <v/>
      </c>
      <c r="EW13" s="45" t="s">
        <v>6</v>
      </c>
      <c r="EX13" s="53">
        <f t="shared" ref="EX13:EY13" si="81">IFERROR(EP13/2,EP13)</f>
        <v>2</v>
      </c>
      <c r="EY13" s="53">
        <f t="shared" si="81"/>
        <v>4</v>
      </c>
      <c r="EZ13" s="53">
        <f t="shared" ref="EZ13:EZ18" si="138">ER13</f>
        <v>0</v>
      </c>
      <c r="FA13" s="54"/>
      <c r="FB13" s="86"/>
      <c r="FC13" s="57"/>
    </row>
    <row r="14" outlineLevel="1">
      <c r="A14" s="81" t="s">
        <v>44</v>
      </c>
      <c r="B14" s="58"/>
      <c r="C14" s="82">
        <v>4.0</v>
      </c>
      <c r="D14" s="83">
        <v>6.0</v>
      </c>
      <c r="E14" s="82">
        <v>8.0</v>
      </c>
      <c r="F14" s="83">
        <v>12.0</v>
      </c>
      <c r="G14" s="83">
        <v>24.0</v>
      </c>
      <c r="H14" s="84"/>
      <c r="I14" s="85"/>
      <c r="J14" s="59"/>
      <c r="K14" s="39">
        <f t="shared" si="82"/>
        <v>4</v>
      </c>
      <c r="L14" s="40">
        <f t="shared" si="83"/>
        <v>8</v>
      </c>
      <c r="M14" s="40">
        <f t="shared" si="84"/>
        <v>24</v>
      </c>
      <c r="N14" s="41" t="b">
        <v>0</v>
      </c>
      <c r="O14" s="42"/>
      <c r="P14" s="43"/>
      <c r="Q14" s="42" t="str">
        <f t="shared" si="85"/>
        <v/>
      </c>
      <c r="R14" s="60"/>
      <c r="S14" s="39">
        <f t="shared" si="86"/>
        <v>4</v>
      </c>
      <c r="T14" s="46">
        <f t="shared" si="87"/>
        <v>8</v>
      </c>
      <c r="U14" s="40">
        <f>IFERROR(__xludf.DUMMYFUNCTION("IFS((AND(N14=TRUE, O14=""Yes"")), (IFS(ISBLANK(Q14), M14, Q14=""Novice 1"", CEILING((M14*1.05), $H14), Q14=""Novice 2"", CEILING((M14*1.025), $H14), Q14=""Novice 3"", M14+$H14, Q14=""Intermediate 2"", (IF((ISBETWEEN(((((F14-E14)/2))+L14), E14, F14)), M14,"&amp;" M14+$H14)), Q14=""Intermediate 1"", (IF((ISBETWEEN((L14-((F14-E14)/2)), E14, F14)), M14+$H14, (FLOOR((M14*0.9875), $H14)))), Q14=""Advanced 2"", (IF(AND(((K14+((D14-C14)/2))&gt;D14), ((L14+((F14-E14)/2))&gt;F14)), M14+$H14, (M14))), Q14=""Advanced 1"", (IFS(T1"&amp;"4&lt;L14, M14+$H14, T14=L14, (M14), T14&gt;L14, (FLOOR((M14*0.9875), $H14)))))), (AND(F14=TRUE, G14=""No"", N14=TRUE, O14=""No"")), (FLOOR((M14*0.9), $H14)), (NOT((AND(N14=TRUE, O14=""Yes"")))), M14)"),24.0)</f>
        <v>24</v>
      </c>
      <c r="V14" s="41" t="b">
        <v>0</v>
      </c>
      <c r="W14" s="47"/>
      <c r="X14" s="47"/>
      <c r="Y14" s="47" t="str">
        <f t="shared" si="88"/>
        <v/>
      </c>
      <c r="Z14" s="60"/>
      <c r="AA14" s="39">
        <f t="shared" si="89"/>
        <v>4</v>
      </c>
      <c r="AB14" s="46">
        <f t="shared" si="90"/>
        <v>8</v>
      </c>
      <c r="AC14" s="40">
        <f>IFERROR(__xludf.DUMMYFUNCTION("IFS((AND(V14=TRUE, W14=""Yes"")), (IFS(ISBLANK(Y14), U14, Y14=""Novice 1"", CEILING((U14*1.05), $H14), Y14=""Novice 2"", CEILING((U14*1.025), $H14), Y14=""Novice 3"", U14+$H14, Y14=""Intermediate 2"", (IF((ISBETWEEN(((((N14-M14)/2))+T14), M14, N14)), U14,"&amp;" U14+$H14)), Y14=""Intermediate 1"", (IF((ISBETWEEN((T14-((N14-M14)/2)), M14, N14)), U14+$H14, (FLOOR((U14*0.9875), $H14)))), Y14=""Advanced 2"", (IF(AND(((S14+((L14-K14)/2))&gt;L14), ((T14+((N14-M14)/2))&gt;N14)), U14+$H14, (U14))), Y14=""Advanced 1"", (IFS(AB"&amp;"14&lt;T14, U14+$H14, AB14=T14, (U14), AB14&gt;T14, (FLOOR((U14*0.9875), $H14)))))), (AND(N14=TRUE, O14=""No"", V14=TRUE, W14=""No"")), (FLOOR((U14*0.9), $H14)), (NOT((AND(V14=TRUE, W14=""Yes"")))), U14)"),24.0)</f>
        <v>24</v>
      </c>
      <c r="AD14" s="41" t="b">
        <v>0</v>
      </c>
      <c r="AE14" s="47"/>
      <c r="AF14" s="47"/>
      <c r="AG14" s="47" t="str">
        <f t="shared" si="91"/>
        <v/>
      </c>
      <c r="AH14" s="60"/>
      <c r="AI14" s="61">
        <f t="shared" si="92"/>
        <v>4</v>
      </c>
      <c r="AJ14" s="62">
        <f t="shared" si="93"/>
        <v>8</v>
      </c>
      <c r="AK14" s="63">
        <f>IFERROR(__xludf.DUMMYFUNCTION("IFS((AND(AD14=TRUE, AE14=""Yes"")), (IFS(ISBLANK(AG14), AC14, AG14=""Novice 1"", CEILING((AC14*1.05), $H14), AG14=""Novice 2"", CEILING((AC14*1.025), $H14), AG14=""Novice 3"", AC14+$H14, AG14=""Intermediate 2"", (IF((ISBETWEEN(((((V14-U14)/2))+AB14), U14,"&amp;" V14)), AC14, AC14+$H14)), AG14=""Intermediate 1"", (IF((ISBETWEEN((AB14-((V14-U14)/2)), U14, V14)), AC14+$H14, (FLOOR((AC14*0.9875), $H14)))), AG14=""Advanced 2"", (IF(AND(((AA14+((T14-S14)/2))&gt;T14), ((AB14+((V14-U14)/2))&gt;V14)), AC14+$H14, (AC14))), AG14"&amp;"=""Advanced 1"", (IFS(AJ14&lt;AB14, AC14+$H14, AJ14=AB14, (AC14), AJ14&gt;AB14, (FLOOR((AC14*0.9875), $H14)))))), (AND(V14=TRUE, W14=""No"", AD14=TRUE, AE14=""No"")), (FLOOR((AC14*0.9), $H14)), (NOT((AND(AD14=TRUE, AE14=""Yes"")))), AC14)"),24.0)</f>
        <v>24</v>
      </c>
      <c r="AL14" s="64" t="b">
        <v>0</v>
      </c>
      <c r="AM14" s="65"/>
      <c r="AN14" s="65"/>
      <c r="AO14" s="65" t="str">
        <f t="shared" si="94"/>
        <v/>
      </c>
      <c r="AP14" s="66"/>
      <c r="AQ14" s="53">
        <f t="shared" ref="AQ14:AR14" si="95">IFERROR(AI14/2,AI14)</f>
        <v>2</v>
      </c>
      <c r="AR14" s="53">
        <f t="shared" si="95"/>
        <v>4</v>
      </c>
      <c r="AS14" s="53">
        <f t="shared" si="96"/>
        <v>24</v>
      </c>
      <c r="AT14" s="67"/>
      <c r="AU14" s="60"/>
      <c r="AV14" s="39">
        <f t="shared" si="97"/>
        <v>4</v>
      </c>
      <c r="AW14" s="46">
        <f t="shared" si="98"/>
        <v>8</v>
      </c>
      <c r="AX14" s="40">
        <f>IFERROR(__xludf.DUMMYFUNCTION("IFS((AND(AL14=TRUE, AM14=""Yes"")), (IFS(ISBLANK(AO14), AK14, AO14=""Novice 1"", CEILING((AK14*1.05), $H14), AO14=""Novice 2"", CEILING((AK14*1.025), $H14), AO14=""Novice 3"", AK14+$H14, AO14=""Intermediate 2"", (IF((ISBETWEEN(((((AD14-AC14)/2))+AJ14), AC"&amp;"14, AD14)), AK14, AK14+$H14)), AO14=""Intermediate 1"", (IF((ISBETWEEN((AJ14-((AD14-AC14)/2)), AC14, AD14)), AK14+$H14, (FLOOR((AK14*0.9875), $H14)))), AO14=""Advanced 2"", (IF(AND(((AI14+((AB14-AA14)/2))&gt;AB14), ((AJ14+((AD14-AC14)/2))&gt;AD14)), AK14+$H14, "&amp;"(AK14))), AO14=""Advanced 1"", (IFS(AW14&lt;AJ14, AK14+$H14, AW14=AJ14, (AK14), AW14&gt;AJ14, (FLOOR((AK14*0.9875), $H14)))))), (AND(AD14=TRUE, AE14=""No"", AL14=TRUE, AM14=""No"")), (FLOOR((AK14*0.9), $H14)), (NOT((AND(AL14=TRUE, AM14=""Yes"")))), AK14)"),24.0)</f>
        <v>24</v>
      </c>
      <c r="AY14" s="41" t="b">
        <v>0</v>
      </c>
      <c r="AZ14" s="47"/>
      <c r="BA14" s="47"/>
      <c r="BB14" s="47" t="str">
        <f t="shared" si="99"/>
        <v/>
      </c>
      <c r="BC14" s="60"/>
      <c r="BD14" s="39">
        <f t="shared" si="100"/>
        <v>4</v>
      </c>
      <c r="BE14" s="46">
        <f t="shared" si="101"/>
        <v>8</v>
      </c>
      <c r="BF14" s="40">
        <f>IFERROR(__xludf.DUMMYFUNCTION("IFS((AND(AY14=TRUE, AZ14=""Yes"")), (IFS(ISBLANK(BB14), AX14, BB14=""Novice 1"", CEILING((AX14*1.05), $H14), BB14=""Novice 2"", CEILING((AX14*1.025), $H14), BB14=""Novice 3"", AX14+$H14, BB14=""Intermediate 2"", (IF((ISBETWEEN(((((AL14-AK14)/2))+AW14), AK"&amp;"14, AL14)), AX14, AX14+$H14)), BB14=""Intermediate 1"", (IF((ISBETWEEN((AW14-((AL14-AK14)/2)), AK14, AL14)), AX14+$H14, (FLOOR((AX14*0.9875), $H14)))), BB14=""Advanced 2"", (IF(AND(((AV14+((AJ14-AI14)/2))&gt;AJ14), ((AW14+((AL14-AK14)/2))&gt;AL14)), AX14+$H14, "&amp;"(AX14))), BB14=""Advanced 1"", (IFS(BE14&lt;AW14, AX14+$H14, BE14=AW14, (AX14), BE14&gt;AW14, (FLOOR((AX14*0.9875), $H14)))))), (AND(AL14=TRUE, AM14=""No"", AY14=TRUE, AZ14=""No"")), (FLOOR((AX14*0.9), $H14)), (NOT((AND(AY14=TRUE, AZ14=""Yes"")))), AX14)"),24.0)</f>
        <v>24</v>
      </c>
      <c r="BG14" s="41" t="b">
        <v>0</v>
      </c>
      <c r="BH14" s="47"/>
      <c r="BI14" s="47"/>
      <c r="BJ14" s="47" t="str">
        <f t="shared" si="102"/>
        <v/>
      </c>
      <c r="BK14" s="60"/>
      <c r="BL14" s="39">
        <f t="shared" si="103"/>
        <v>4</v>
      </c>
      <c r="BM14" s="46">
        <f t="shared" si="104"/>
        <v>8</v>
      </c>
      <c r="BN14" s="40">
        <f>IFERROR(__xludf.DUMMYFUNCTION("IFS((AND(BG14=TRUE, BH14=""Yes"")), (IFS(ISBLANK(BJ14), BF14, BJ14=""Novice 1"", CEILING((BF14*1.05), $H14), BJ14=""Novice 2"", CEILING((BF14*1.025), $H14), BJ14=""Novice 3"", BF14+$H14, BJ14=""Intermediate 2"", (IF((ISBETWEEN(((((AY14-AX14)/2))+BE14), AX"&amp;"14, AY14)), BF14, BF14+$H14)), BJ14=""Intermediate 1"", (IF((ISBETWEEN((BE14-((AY14-AX14)/2)), AX14, AY14)), BF14+$H14, (FLOOR((BF14*0.9875), $H14)))), BJ14=""Advanced 2"", (IF(AND(((BD14+((AW14-AV14)/2))&gt;AW14), ((BE14+((AY14-AX14)/2))&gt;AY14)), BF14+$H14, "&amp;"(BF14))), BJ14=""Advanced 1"", (IFS(BM14&lt;BE14, BF14+$H14, BM14=BE14, (BF14), BM14&gt;BE14, (FLOOR((BF14*0.9875), $H14)))))), (AND(AY14=TRUE, AZ14=""No"", BG14=TRUE, BH14=""No"")), (FLOOR((BF14*0.9), $H14)), (NOT((AND(BG14=TRUE, BH14=""Yes"")))), BF14)"),24.0)</f>
        <v>24</v>
      </c>
      <c r="BO14" s="41" t="b">
        <v>0</v>
      </c>
      <c r="BP14" s="47"/>
      <c r="BQ14" s="47"/>
      <c r="BR14" s="47" t="str">
        <f t="shared" si="105"/>
        <v/>
      </c>
      <c r="BS14" s="60"/>
      <c r="BT14" s="61">
        <f t="shared" si="106"/>
        <v>4</v>
      </c>
      <c r="BU14" s="62">
        <f t="shared" si="107"/>
        <v>8</v>
      </c>
      <c r="BV14" s="63">
        <f>IFERROR(__xludf.DUMMYFUNCTION("IFS((AND(BO14=TRUE, BP14=""Yes"")), (IFS(ISBLANK(BR14), BN14, BR14=""Novice 1"", CEILING((BN14*1.05), $H14), BR14=""Novice 2"", CEILING((BN14*1.025), $H14), BR14=""Novice 3"", BN14+$H14, BR14=""Intermediate 2"", (IF((ISBETWEEN(((((BG14-BF14)/2))+BM14), BF"&amp;"14, BG14)), BN14, BN14+$H14)), BR14=""Intermediate 1"", (IF((ISBETWEEN((BM14-((BG14-BF14)/2)), BF14, BG14)), BN14+$H14, (FLOOR((BN14*0.9875), $H14)))), BR14=""Advanced 2"", (IF(AND(((BL14+((BE14-BD14)/2))&gt;BE14), ((BM14+((BG14-BF14)/2))&gt;BG14)), BN14+$H14, "&amp;"(BN14))), BR14=""Advanced 1"", (IFS(BU14&lt;BM14, BN14+$H14, BU14=BM14, (BN14), BU14&gt;BM14, (FLOOR((BN14*0.9875), $H14)))))), (AND(BG14=TRUE, BH14=""No"", BO14=TRUE, BP14=""No"")), (FLOOR((BN14*0.9), $H14)), (NOT((AND(BO14=TRUE, BP14=""Yes"")))), BN14)"),24.0)</f>
        <v>24</v>
      </c>
      <c r="BW14" s="64" t="b">
        <v>0</v>
      </c>
      <c r="BX14" s="65"/>
      <c r="BY14" s="65"/>
      <c r="BZ14" s="65" t="str">
        <f t="shared" si="108"/>
        <v/>
      </c>
      <c r="CA14" s="66"/>
      <c r="CB14" s="53">
        <f t="shared" ref="CB14:CC14" si="109">IFERROR(BT14/2,BT14)</f>
        <v>2</v>
      </c>
      <c r="CC14" s="53">
        <f t="shared" si="109"/>
        <v>4</v>
      </c>
      <c r="CD14" s="53">
        <f t="shared" si="110"/>
        <v>24</v>
      </c>
      <c r="CE14" s="67"/>
      <c r="CF14" s="60"/>
      <c r="CG14" s="39">
        <f t="shared" si="111"/>
        <v>4</v>
      </c>
      <c r="CH14" s="46">
        <f t="shared" si="112"/>
        <v>8</v>
      </c>
      <c r="CI14" s="40">
        <f>IFERROR(__xludf.DUMMYFUNCTION("IFS((AND(BW14=TRUE, BX14=""Yes"")), (IFS(ISBLANK(BZ14), BV14, BZ14=""Novice 1"", CEILING((BV14*1.05), $H14), BZ14=""Novice 2"", CEILING((BV14*1.025), $H14), BZ14=""Novice 3"", BV14+$H14, BZ14=""Intermediate 2"", (IF((ISBETWEEN(((((BO14-BN14)/2))+BU14), BN"&amp;"14, BO14)), BV14, BV14+$H14)), BZ14=""Intermediate 1"", (IF((ISBETWEEN((BU14-((BO14-BN14)/2)), BN14, BO14)), BV14+$H14, (FLOOR((BV14*0.9875), $H14)))), BZ14=""Advanced 2"", (IF(AND(((BT14+((BM14-BL14)/2))&gt;BM14), ((BU14+((BO14-BN14)/2))&gt;BO14)), BV14+$H14, "&amp;"(BV14))), BZ14=""Advanced 1"", (IFS(CH14&lt;BU14, BV14+$H14, CH14=BU14, (BV14), CH14&gt;BU14, (FLOOR((BV14*0.9875), $H14)))))), (AND(BO14=TRUE, BP14=""No"", BW14=TRUE, BX14=""No"")), (FLOOR((BV14*0.9), $H14)), (NOT((AND(BW14=TRUE, BX14=""Yes"")))), BV14)"),24.0)</f>
        <v>24</v>
      </c>
      <c r="CJ14" s="41" t="b">
        <v>0</v>
      </c>
      <c r="CK14" s="47"/>
      <c r="CL14" s="47"/>
      <c r="CM14" s="47" t="str">
        <f t="shared" si="113"/>
        <v/>
      </c>
      <c r="CN14" s="60"/>
      <c r="CO14" s="39">
        <f t="shared" si="114"/>
        <v>4</v>
      </c>
      <c r="CP14" s="46">
        <f t="shared" si="115"/>
        <v>8</v>
      </c>
      <c r="CQ14" s="40">
        <f>IFERROR(__xludf.DUMMYFUNCTION("IFS((AND(CJ14=TRUE, CK14=""Yes"")), (IFS(ISBLANK(CM14), CI14, CM14=""Novice 1"", CEILING((CI14*1.05), $H14), CM14=""Novice 2"", CEILING((CI14*1.025), $H14), CM14=""Novice 3"", CI14+$H14, CM14=""Intermediate 2"", (IF((ISBETWEEN(((((BW14-BV14)/2))+CH14), BV"&amp;"14, BW14)), CI14, CI14+$H14)), CM14=""Intermediate 1"", (IF((ISBETWEEN((CH14-((BW14-BV14)/2)), BV14, BW14)), CI14+$H14, (FLOOR((CI14*0.9875), $H14)))), CM14=""Advanced 2"", (IF(AND(((CG14+((BU14-BT14)/2))&gt;BU14), ((CH14+((BW14-BV14)/2))&gt;BW14)), CI14+$H14, "&amp;"(CI14))), CM14=""Advanced 1"", (IFS(CP14&lt;CH14, CI14+$H14, CP14=CH14, (CI14), CP14&gt;CH14, (FLOOR((CI14*0.9875), $H14)))))), (AND(BW14=TRUE, BX14=""No"", CJ14=TRUE, CK14=""No"")), (FLOOR((CI14*0.9), $H14)), (NOT((AND(CJ14=TRUE, CK14=""Yes"")))), CI14)"),24.0)</f>
        <v>24</v>
      </c>
      <c r="CR14" s="41" t="b">
        <v>0</v>
      </c>
      <c r="CS14" s="47"/>
      <c r="CT14" s="47"/>
      <c r="CU14" s="47" t="str">
        <f t="shared" si="116"/>
        <v/>
      </c>
      <c r="CV14" s="60"/>
      <c r="CW14" s="39">
        <f t="shared" si="117"/>
        <v>4</v>
      </c>
      <c r="CX14" s="46">
        <f t="shared" si="118"/>
        <v>8</v>
      </c>
      <c r="CY14" s="40">
        <f>IFERROR(__xludf.DUMMYFUNCTION("IFS((AND(CR14=TRUE, CS14=""Yes"")), (IFS(ISBLANK(CU14), CQ14, CU14=""Novice 1"", CEILING((CQ14*1.05), $H14), CU14=""Novice 2"", CEILING((CQ14*1.025), $H14), CU14=""Novice 3"", CQ14+$H14, CU14=""Intermediate 2"", (IF((ISBETWEEN(((((CJ14-CI14)/2))+CP14), CI"&amp;"14, CJ14)), CQ14, CQ14+$H14)), CU14=""Intermediate 1"", (IF((ISBETWEEN((CP14-((CJ14-CI14)/2)), CI14, CJ14)), CQ14+$H14, (FLOOR((CQ14*0.9875), $H14)))), CU14=""Advanced 2"", (IF(AND(((CO14+((CH14-CG14)/2))&gt;CH14), ((CP14+((CJ14-CI14)/2))&gt;CJ14)), CQ14+$H14, "&amp;"(CQ14))), CU14=""Advanced 1"", (IFS(CX14&lt;CP14, CQ14+$H14, CX14=CP14, (CQ14), CX14&gt;CP14, (FLOOR((CQ14*0.9875), $H14)))))), (AND(CJ14=TRUE, CK14=""No"", CR14=TRUE, CS14=""No"")), (FLOOR((CQ14*0.9), $H14)), (NOT((AND(CR14=TRUE, CS14=""Yes"")))), CQ14)"),24.0)</f>
        <v>24</v>
      </c>
      <c r="CZ14" s="41" t="b">
        <v>0</v>
      </c>
      <c r="DA14" s="47"/>
      <c r="DB14" s="47"/>
      <c r="DC14" s="47" t="str">
        <f t="shared" si="119"/>
        <v/>
      </c>
      <c r="DD14" s="60"/>
      <c r="DE14" s="61">
        <f t="shared" si="120"/>
        <v>4</v>
      </c>
      <c r="DF14" s="62">
        <f t="shared" si="121"/>
        <v>8</v>
      </c>
      <c r="DG14" s="63">
        <f>IFERROR(__xludf.DUMMYFUNCTION("IFS((AND(CZ14=TRUE, DA14=""Yes"")), (IFS(ISBLANK(DC14), CY14, DC14=""Novice 1"", CEILING((CY14*1.05), $H14), DC14=""Novice 2"", CEILING((CY14*1.025), $H14), DC14=""Novice 3"", CY14+$H14, DC14=""Intermediate 2"", (IF((ISBETWEEN(((((CR14-CQ14)/2))+CX14), CQ"&amp;"14, CR14)), CY14, CY14+$H14)), DC14=""Intermediate 1"", (IF((ISBETWEEN((CX14-((CR14-CQ14)/2)), CQ14, CR14)), CY14+$H14, (FLOOR((CY14*0.9875), $H14)))), DC14=""Advanced 2"", (IF(AND(((CW14+((CP14-CO14)/2))&gt;CP14), ((CX14+((CR14-CQ14)/2))&gt;CR14)), CY14+$H14, "&amp;"(CY14))), DC14=""Advanced 1"", (IFS(DF14&lt;CX14, CY14+$H14, DF14=CX14, (CY14), DF14&gt;CX14, (FLOOR((CY14*0.9875), $H14)))))), (AND(CR14=TRUE, CS14=""No"", CZ14=TRUE, DA14=""No"")), (FLOOR((CY14*0.9), $H14)), (NOT((AND(CZ14=TRUE, DA14=""Yes"")))), CY14)"),24.0)</f>
        <v>24</v>
      </c>
      <c r="DH14" s="64" t="b">
        <v>0</v>
      </c>
      <c r="DI14" s="65"/>
      <c r="DJ14" s="65"/>
      <c r="DK14" s="65" t="str">
        <f t="shared" si="122"/>
        <v/>
      </c>
      <c r="DL14" s="66"/>
      <c r="DM14" s="53">
        <f t="shared" ref="DM14:DN14" si="123">IFERROR(DE14/2,DE14)</f>
        <v>2</v>
      </c>
      <c r="DN14" s="53">
        <f t="shared" si="123"/>
        <v>4</v>
      </c>
      <c r="DO14" s="53">
        <f t="shared" si="124"/>
        <v>24</v>
      </c>
      <c r="DP14" s="67"/>
      <c r="DQ14" s="60"/>
      <c r="DR14" s="39">
        <f t="shared" si="125"/>
        <v>4</v>
      </c>
      <c r="DS14" s="46">
        <f t="shared" si="126"/>
        <v>8</v>
      </c>
      <c r="DT14" s="40">
        <f>IFERROR(__xludf.DUMMYFUNCTION("IFS((AND(DH14=TRUE, DI14=""Yes"")), (IFS(ISBLANK(DK14), DG14, DK14=""Novice 1"", CEILING((DG14*1.05), $H14), DK14=""Novice 2"", CEILING((DG14*1.025), $H14), DK14=""Novice 3"", DG14+$H14, DK14=""Intermediate 2"", (IF((ISBETWEEN(((((CZ14-CY14)/2))+DF14), CY"&amp;"14, CZ14)), DG14, DG14+$H14)), DK14=""Intermediate 1"", (IF((ISBETWEEN((DF14-((CZ14-CY14)/2)), CY14, CZ14)), DG14+$H14, (FLOOR((DG14*0.9875), $H14)))), DK14=""Advanced 2"", (IF(AND(((DE14+((CX14-CW14)/2))&gt;CX14), ((DF14+((CZ14-CY14)/2))&gt;CZ14)), DG14+$H14, "&amp;"(DG14))), DK14=""Advanced 1"", (IFS(DS14&lt;DF14, DG14+$H14, DS14=DF14, (DG14), DS14&gt;DF14, (FLOOR((DG14*0.9875), $H14)))))), (AND(CZ14=TRUE, DA14=""No"", DH14=TRUE, DI14=""No"")), (FLOOR((DG14*0.9), $H14)), (NOT((AND(DH14=TRUE, DI14=""Yes"")))), DG14)"),24.0)</f>
        <v>24</v>
      </c>
      <c r="DU14" s="41" t="b">
        <v>0</v>
      </c>
      <c r="DV14" s="47"/>
      <c r="DW14" s="47"/>
      <c r="DX14" s="47" t="str">
        <f t="shared" si="127"/>
        <v/>
      </c>
      <c r="DY14" s="60"/>
      <c r="DZ14" s="39">
        <f t="shared" si="128"/>
        <v>4</v>
      </c>
      <c r="EA14" s="46">
        <f t="shared" si="129"/>
        <v>8</v>
      </c>
      <c r="EB14" s="40">
        <f>IFERROR(__xludf.DUMMYFUNCTION("IFS((AND(DU14=TRUE, DV14=""Yes"")), (IFS(ISBLANK(DX14), DT14, DX14=""Novice 1"", CEILING((DT14*1.05), $H14), DX14=""Novice 2"", CEILING((DT14*1.025), $H14), DX14=""Novice 3"", DT14+$H14, DX14=""Intermediate 2"", (IF((ISBETWEEN(((((DH14-DG14)/2))+DS14), DG"&amp;"14, DH14)), DT14, DT14+$H14)), DX14=""Intermediate 1"", (IF((ISBETWEEN((DS14-((DH14-DG14)/2)), DG14, DH14)), DT14+$H14, (FLOOR((DT14*0.9875), $H14)))), DX14=""Advanced 2"", (IF(AND(((DR14+((DF14-DE14)/2))&gt;DF14), ((DS14+((DH14-DG14)/2))&gt;DH14)), DT14+$H14, "&amp;"(DT14))), DX14=""Advanced 1"", (IFS(EA14&lt;DS14, DT14+$H14, EA14=DS14, (DT14), EA14&gt;DS14, (FLOOR((DT14*0.9875), $H14)))))), (AND(DH14=TRUE, DI14=""No"", DU14=TRUE, DV14=""No"")), (FLOOR((DT14*0.9), $H14)), (NOT((AND(DU14=TRUE, DV14=""Yes"")))), DT14)"),24.0)</f>
        <v>24</v>
      </c>
      <c r="EC14" s="41" t="b">
        <v>0</v>
      </c>
      <c r="ED14" s="47"/>
      <c r="EE14" s="47"/>
      <c r="EF14" s="47" t="str">
        <f t="shared" si="130"/>
        <v/>
      </c>
      <c r="EG14" s="60"/>
      <c r="EH14" s="39">
        <f t="shared" si="131"/>
        <v>4</v>
      </c>
      <c r="EI14" s="46">
        <f t="shared" si="132"/>
        <v>8</v>
      </c>
      <c r="EJ14" s="40">
        <f>IFERROR(__xludf.DUMMYFUNCTION("IFS((AND(EC14=TRUE, ED14=""Yes"")), (IFS(ISBLANK(EF14), EB14, EF14=""Novice 1"", CEILING((EB14*1.05), $H14), EF14=""Novice 2"", CEILING((EB14*1.025), $H14), EF14=""Novice 3"", EB14+$H14, EF14=""Intermediate 2"", (IF((ISBETWEEN(((((DU14-DT14)/2))+EA14), DT"&amp;"14, DU14)), EB14, EB14+$H14)), EF14=""Intermediate 1"", (IF((ISBETWEEN((EA14-((DU14-DT14)/2)), DT14, DU14)), EB14+$H14, (FLOOR((EB14*0.9875), $H14)))), EF14=""Advanced 2"", (IF(AND(((DZ14+((DS14-DR14)/2))&gt;DS14), ((EA14+((DU14-DT14)/2))&gt;DU14)), EB14+$H14, "&amp;"(EB14))), EF14=""Advanced 1"", (IFS(EI14&lt;EA14, EB14+$H14, EI14=EA14, (EB14), EI14&gt;EA14, (FLOOR((EB14*0.9875), $H14)))))), (AND(DU14=TRUE, DV14=""No"", EC14=TRUE, ED14=""No"")), (FLOOR((EB14*0.9), $H14)), (NOT((AND(EC14=TRUE, ED14=""Yes"")))), EB14)"),24.0)</f>
        <v>24</v>
      </c>
      <c r="EK14" s="41" t="b">
        <v>0</v>
      </c>
      <c r="EL14" s="47"/>
      <c r="EM14" s="47"/>
      <c r="EN14" s="47" t="str">
        <f t="shared" si="133"/>
        <v/>
      </c>
      <c r="EO14" s="60"/>
      <c r="EP14" s="61">
        <f t="shared" si="134"/>
        <v>4</v>
      </c>
      <c r="EQ14" s="62">
        <f t="shared" si="135"/>
        <v>8</v>
      </c>
      <c r="ER14" s="63">
        <f>IFERROR(__xludf.DUMMYFUNCTION("IFS((AND(EK14=TRUE, EL14=""Yes"")), (IFS(ISBLANK(EN14), EJ14, EN14=""Novice 1"", CEILING((EJ14*1.05), $H14), EN14=""Novice 2"", CEILING((EJ14*1.025), $H14), EN14=""Novice 3"", EJ14+$H14, EN14=""Intermediate 2"", (IF((ISBETWEEN(((((EC14-EB14)/2))+EI14), EB"&amp;"14, EC14)), EJ14, EJ14+$H14)), EN14=""Intermediate 1"", (IF((ISBETWEEN((EI14-((EC14-EB14)/2)), EB14, EC14)), EJ14+$H14, (FLOOR((EJ14*0.9875), $H14)))), EN14=""Advanced 2"", (IF(AND(((EH14+((EA14-DZ14)/2))&gt;EA14), ((EI14+((EC14-EB14)/2))&gt;EC14)), EJ14+$H14, "&amp;"(EJ14))), EN14=""Advanced 1"", (IFS(EQ14&lt;EI14, EJ14+$H14, EQ14=EI14, (EJ14), EQ14&gt;EI14, (FLOOR((EJ14*0.9875), $H14)))))), (AND(EC14=TRUE, ED14=""No"", EK14=TRUE, EL14=""No"")), (FLOOR((EJ14*0.9), $H14)), (NOT((AND(EK14=TRUE, EL14=""Yes"")))), EJ14)"),24.0)</f>
        <v>24</v>
      </c>
      <c r="ES14" s="64" t="b">
        <v>0</v>
      </c>
      <c r="ET14" s="65"/>
      <c r="EU14" s="65"/>
      <c r="EV14" s="65" t="str">
        <f t="shared" si="136"/>
        <v/>
      </c>
      <c r="EW14" s="66"/>
      <c r="EX14" s="53">
        <f t="shared" ref="EX14:EY14" si="137">IFERROR(EP14/2,EP14)</f>
        <v>2</v>
      </c>
      <c r="EY14" s="53">
        <f t="shared" si="137"/>
        <v>4</v>
      </c>
      <c r="EZ14" s="53">
        <f t="shared" si="138"/>
        <v>24</v>
      </c>
      <c r="FA14" s="67"/>
      <c r="FB14" s="86"/>
      <c r="FC14" s="57"/>
    </row>
    <row r="15" outlineLevel="1">
      <c r="A15" s="81" t="s">
        <v>45</v>
      </c>
      <c r="B15" s="58"/>
      <c r="C15" s="82">
        <v>4.0</v>
      </c>
      <c r="D15" s="83">
        <v>6.0</v>
      </c>
      <c r="E15" s="82">
        <v>8.0</v>
      </c>
      <c r="F15" s="83">
        <v>12.0</v>
      </c>
      <c r="G15" s="83">
        <v>11.0</v>
      </c>
      <c r="H15" s="84"/>
      <c r="I15" s="85"/>
      <c r="J15" s="59"/>
      <c r="K15" s="39">
        <f t="shared" si="82"/>
        <v>4</v>
      </c>
      <c r="L15" s="40">
        <f t="shared" si="83"/>
        <v>8</v>
      </c>
      <c r="M15" s="40">
        <f t="shared" si="84"/>
        <v>11</v>
      </c>
      <c r="N15" s="41" t="b">
        <v>0</v>
      </c>
      <c r="O15" s="42"/>
      <c r="P15" s="43"/>
      <c r="Q15" s="42" t="str">
        <f t="shared" si="85"/>
        <v/>
      </c>
      <c r="R15" s="60"/>
      <c r="S15" s="39">
        <f t="shared" si="86"/>
        <v>4</v>
      </c>
      <c r="T15" s="46">
        <f t="shared" si="87"/>
        <v>8</v>
      </c>
      <c r="U15" s="40">
        <f>IFERROR(__xludf.DUMMYFUNCTION("IFS((AND(N15=TRUE, O15=""Yes"")), (IFS(ISBLANK(Q15), M15, Q15=""Novice 1"", CEILING((M15*1.05), $H15), Q15=""Novice 2"", CEILING((M15*1.025), $H15), Q15=""Novice 3"", M15+$H15, Q15=""Intermediate 2"", (IF((ISBETWEEN(((((F15-E15)/2))+L15), E15, F15)), M15,"&amp;" M15+$H15)), Q15=""Intermediate 1"", (IF((ISBETWEEN((L15-((F15-E15)/2)), E15, F15)), M15+$H15, (FLOOR((M15*0.9875), $H15)))), Q15=""Advanced 2"", (IF(AND(((K15+((D15-C15)/2))&gt;D15), ((L15+((F15-E15)/2))&gt;F15)), M15+$H15, (M15))), Q15=""Advanced 1"", (IFS(T1"&amp;"5&lt;L15, M15+$H15, T15=L15, (M15), T15&gt;L15, (FLOOR((M15*0.9875), $H15)))))), (AND(F15=TRUE, G15=""No"", N15=TRUE, O15=""No"")), (FLOOR((M15*0.9), $H15)), (NOT((AND(N15=TRUE, O15=""Yes"")))), M15)"),11.0)</f>
        <v>11</v>
      </c>
      <c r="V15" s="41" t="b">
        <v>0</v>
      </c>
      <c r="W15" s="47"/>
      <c r="X15" s="47"/>
      <c r="Y15" s="47" t="str">
        <f t="shared" si="88"/>
        <v/>
      </c>
      <c r="Z15" s="60"/>
      <c r="AA15" s="39">
        <f t="shared" si="89"/>
        <v>4</v>
      </c>
      <c r="AB15" s="46">
        <f t="shared" si="90"/>
        <v>8</v>
      </c>
      <c r="AC15" s="40">
        <f>IFERROR(__xludf.DUMMYFUNCTION("IFS((AND(V15=TRUE, W15=""Yes"")), (IFS(ISBLANK(Y15), U15, Y15=""Novice 1"", CEILING((U15*1.05), $H15), Y15=""Novice 2"", CEILING((U15*1.025), $H15), Y15=""Novice 3"", U15+$H15, Y15=""Intermediate 2"", (IF((ISBETWEEN(((((N15-M15)/2))+T15), M15, N15)), U15,"&amp;" U15+$H15)), Y15=""Intermediate 1"", (IF((ISBETWEEN((T15-((N15-M15)/2)), M15, N15)), U15+$H15, (FLOOR((U15*0.9875), $H15)))), Y15=""Advanced 2"", (IF(AND(((S15+((L15-K15)/2))&gt;L15), ((T15+((N15-M15)/2))&gt;N15)), U15+$H15, (U15))), Y15=""Advanced 1"", (IFS(AB"&amp;"15&lt;T15, U15+$H15, AB15=T15, (U15), AB15&gt;T15, (FLOOR((U15*0.9875), $H15)))))), (AND(N15=TRUE, O15=""No"", V15=TRUE, W15=""No"")), (FLOOR((U15*0.9), $H15)), (NOT((AND(V15=TRUE, W15=""Yes"")))), U15)"),11.0)</f>
        <v>11</v>
      </c>
      <c r="AD15" s="41" t="b">
        <v>0</v>
      </c>
      <c r="AE15" s="47"/>
      <c r="AF15" s="47"/>
      <c r="AG15" s="47" t="str">
        <f t="shared" si="91"/>
        <v/>
      </c>
      <c r="AH15" s="60"/>
      <c r="AI15" s="48">
        <f t="shared" si="92"/>
        <v>4</v>
      </c>
      <c r="AJ15" s="49">
        <f t="shared" si="93"/>
        <v>8</v>
      </c>
      <c r="AK15" s="50">
        <f>IFERROR(__xludf.DUMMYFUNCTION("IFS((AND(AD15=TRUE, AE15=""Yes"")), (IFS(ISBLANK(AG15), AC15, AG15=""Novice 1"", CEILING((AC15*1.05), $H15), AG15=""Novice 2"", CEILING((AC15*1.025), $H15), AG15=""Novice 3"", AC15+$H15, AG15=""Intermediate 2"", (IF((ISBETWEEN(((((V15-U15)/2))+AB15), U15,"&amp;" V15)), AC15, AC15+$H15)), AG15=""Intermediate 1"", (IF((ISBETWEEN((AB15-((V15-U15)/2)), U15, V15)), AC15+$H15, (FLOOR((AC15*0.9875), $H15)))), AG15=""Advanced 2"", (IF(AND(((AA15+((T15-S15)/2))&gt;T15), ((AB15+((V15-U15)/2))&gt;V15)), AC15+$H15, (AC15))), AG15"&amp;"=""Advanced 1"", (IFS(AJ15&lt;AB15, AC15+$H15, AJ15=AB15, (AC15), AJ15&gt;AB15, (FLOOR((AC15*0.9875), $H15)))))), (AND(V15=TRUE, W15=""No"", AD15=TRUE, AE15=""No"")), (FLOOR((AC15*0.9), $H15)), (NOT((AND(AD15=TRUE, AE15=""Yes"")))), AC15)"),11.0)</f>
        <v>11</v>
      </c>
      <c r="AL15" s="51" t="b">
        <v>0</v>
      </c>
      <c r="AM15" s="52"/>
      <c r="AN15" s="52"/>
      <c r="AO15" s="52" t="str">
        <f t="shared" si="94"/>
        <v/>
      </c>
      <c r="AP15" s="69"/>
      <c r="AQ15" s="53">
        <f t="shared" ref="AQ15:AR15" si="139">IFERROR(AI15/2,AI15)</f>
        <v>2</v>
      </c>
      <c r="AR15" s="53">
        <f t="shared" si="139"/>
        <v>4</v>
      </c>
      <c r="AS15" s="53">
        <f t="shared" si="96"/>
        <v>11</v>
      </c>
      <c r="AT15" s="67"/>
      <c r="AU15" s="60"/>
      <c r="AV15" s="39">
        <f t="shared" si="97"/>
        <v>4</v>
      </c>
      <c r="AW15" s="46">
        <f t="shared" si="98"/>
        <v>8</v>
      </c>
      <c r="AX15" s="40">
        <f>IFERROR(__xludf.DUMMYFUNCTION("IFS((AND(AL15=TRUE, AM15=""Yes"")), (IFS(ISBLANK(AO15), AK15, AO15=""Novice 1"", CEILING((AK15*1.05), $H15), AO15=""Novice 2"", CEILING((AK15*1.025), $H15), AO15=""Novice 3"", AK15+$H15, AO15=""Intermediate 2"", (IF((ISBETWEEN(((((AD15-AC15)/2))+AJ15), AC"&amp;"15, AD15)), AK15, AK15+$H15)), AO15=""Intermediate 1"", (IF((ISBETWEEN((AJ15-((AD15-AC15)/2)), AC15, AD15)), AK15+$H15, (FLOOR((AK15*0.9875), $H15)))), AO15=""Advanced 2"", (IF(AND(((AI15+((AB15-AA15)/2))&gt;AB15), ((AJ15+((AD15-AC15)/2))&gt;AD15)), AK15+$H15, "&amp;"(AK15))), AO15=""Advanced 1"", (IFS(AW15&lt;AJ15, AK15+$H15, AW15=AJ15, (AK15), AW15&gt;AJ15, (FLOOR((AK15*0.9875), $H15)))))), (AND(AD15=TRUE, AE15=""No"", AL15=TRUE, AM15=""No"")), (FLOOR((AK15*0.9), $H15)), (NOT((AND(AL15=TRUE, AM15=""Yes"")))), AK15)"),11.0)</f>
        <v>11</v>
      </c>
      <c r="AY15" s="41" t="b">
        <v>0</v>
      </c>
      <c r="AZ15" s="47"/>
      <c r="BA15" s="47"/>
      <c r="BB15" s="47" t="str">
        <f t="shared" si="99"/>
        <v/>
      </c>
      <c r="BC15" s="60"/>
      <c r="BD15" s="39">
        <f t="shared" si="100"/>
        <v>4</v>
      </c>
      <c r="BE15" s="46">
        <f t="shared" si="101"/>
        <v>8</v>
      </c>
      <c r="BF15" s="40">
        <f>IFERROR(__xludf.DUMMYFUNCTION("IFS((AND(AY15=TRUE, AZ15=""Yes"")), (IFS(ISBLANK(BB15), AX15, BB15=""Novice 1"", CEILING((AX15*1.05), $H15), BB15=""Novice 2"", CEILING((AX15*1.025), $H15), BB15=""Novice 3"", AX15+$H15, BB15=""Intermediate 2"", (IF((ISBETWEEN(((((AL15-AK15)/2))+AW15), AK"&amp;"15, AL15)), AX15, AX15+$H15)), BB15=""Intermediate 1"", (IF((ISBETWEEN((AW15-((AL15-AK15)/2)), AK15, AL15)), AX15+$H15, (FLOOR((AX15*0.9875), $H15)))), BB15=""Advanced 2"", (IF(AND(((AV15+((AJ15-AI15)/2))&gt;AJ15), ((AW15+((AL15-AK15)/2))&gt;AL15)), AX15+$H15, "&amp;"(AX15))), BB15=""Advanced 1"", (IFS(BE15&lt;AW15, AX15+$H15, BE15=AW15, (AX15), BE15&gt;AW15, (FLOOR((AX15*0.9875), $H15)))))), (AND(AL15=TRUE, AM15=""No"", AY15=TRUE, AZ15=""No"")), (FLOOR((AX15*0.9), $H15)), (NOT((AND(AY15=TRUE, AZ15=""Yes"")))), AX15)"),11.0)</f>
        <v>11</v>
      </c>
      <c r="BG15" s="41" t="b">
        <v>0</v>
      </c>
      <c r="BH15" s="47"/>
      <c r="BI15" s="47"/>
      <c r="BJ15" s="47" t="str">
        <f t="shared" si="102"/>
        <v/>
      </c>
      <c r="BK15" s="60"/>
      <c r="BL15" s="39">
        <f t="shared" si="103"/>
        <v>4</v>
      </c>
      <c r="BM15" s="46">
        <f t="shared" si="104"/>
        <v>8</v>
      </c>
      <c r="BN15" s="40">
        <f>IFERROR(__xludf.DUMMYFUNCTION("IFS((AND(BG15=TRUE, BH15=""Yes"")), (IFS(ISBLANK(BJ15), BF15, BJ15=""Novice 1"", CEILING((BF15*1.05), $H15), BJ15=""Novice 2"", CEILING((BF15*1.025), $H15), BJ15=""Novice 3"", BF15+$H15, BJ15=""Intermediate 2"", (IF((ISBETWEEN(((((AY15-AX15)/2))+BE15), AX"&amp;"15, AY15)), BF15, BF15+$H15)), BJ15=""Intermediate 1"", (IF((ISBETWEEN((BE15-((AY15-AX15)/2)), AX15, AY15)), BF15+$H15, (FLOOR((BF15*0.9875), $H15)))), BJ15=""Advanced 2"", (IF(AND(((BD15+((AW15-AV15)/2))&gt;AW15), ((BE15+((AY15-AX15)/2))&gt;AY15)), BF15+$H15, "&amp;"(BF15))), BJ15=""Advanced 1"", (IFS(BM15&lt;BE15, BF15+$H15, BM15=BE15, (BF15), BM15&gt;BE15, (FLOOR((BF15*0.9875), $H15)))))), (AND(AY15=TRUE, AZ15=""No"", BG15=TRUE, BH15=""No"")), (FLOOR((BF15*0.9), $H15)), (NOT((AND(BG15=TRUE, BH15=""Yes"")))), BF15)"),11.0)</f>
        <v>11</v>
      </c>
      <c r="BO15" s="41" t="b">
        <v>0</v>
      </c>
      <c r="BP15" s="47"/>
      <c r="BQ15" s="47"/>
      <c r="BR15" s="47" t="str">
        <f t="shared" si="105"/>
        <v/>
      </c>
      <c r="BS15" s="60"/>
      <c r="BT15" s="48">
        <f t="shared" si="106"/>
        <v>4</v>
      </c>
      <c r="BU15" s="49">
        <f t="shared" si="107"/>
        <v>8</v>
      </c>
      <c r="BV15" s="50">
        <f>IFERROR(__xludf.DUMMYFUNCTION("IFS((AND(BO15=TRUE, BP15=""Yes"")), (IFS(ISBLANK(BR15), BN15, BR15=""Novice 1"", CEILING((BN15*1.05), $H15), BR15=""Novice 2"", CEILING((BN15*1.025), $H15), BR15=""Novice 3"", BN15+$H15, BR15=""Intermediate 2"", (IF((ISBETWEEN(((((BG15-BF15)/2))+BM15), BF"&amp;"15, BG15)), BN15, BN15+$H15)), BR15=""Intermediate 1"", (IF((ISBETWEEN((BM15-((BG15-BF15)/2)), BF15, BG15)), BN15+$H15, (FLOOR((BN15*0.9875), $H15)))), BR15=""Advanced 2"", (IF(AND(((BL15+((BE15-BD15)/2))&gt;BE15), ((BM15+((BG15-BF15)/2))&gt;BG15)), BN15+$H15, "&amp;"(BN15))), BR15=""Advanced 1"", (IFS(BU15&lt;BM15, BN15+$H15, BU15=BM15, (BN15), BU15&gt;BM15, (FLOOR((BN15*0.9875), $H15)))))), (AND(BG15=TRUE, BH15=""No"", BO15=TRUE, BP15=""No"")), (FLOOR((BN15*0.9), $H15)), (NOT((AND(BO15=TRUE, BP15=""Yes"")))), BN15)"),11.0)</f>
        <v>11</v>
      </c>
      <c r="BW15" s="51" t="b">
        <v>0</v>
      </c>
      <c r="BX15" s="52"/>
      <c r="BY15" s="52"/>
      <c r="BZ15" s="52" t="str">
        <f t="shared" si="108"/>
        <v/>
      </c>
      <c r="CA15" s="69"/>
      <c r="CB15" s="53">
        <f t="shared" ref="CB15:CC15" si="140">IFERROR(BT15/2,BT15)</f>
        <v>2</v>
      </c>
      <c r="CC15" s="53">
        <f t="shared" si="140"/>
        <v>4</v>
      </c>
      <c r="CD15" s="53">
        <f t="shared" si="110"/>
        <v>11</v>
      </c>
      <c r="CE15" s="67"/>
      <c r="CF15" s="60"/>
      <c r="CG15" s="39">
        <f t="shared" si="111"/>
        <v>4</v>
      </c>
      <c r="CH15" s="46">
        <f t="shared" si="112"/>
        <v>8</v>
      </c>
      <c r="CI15" s="40">
        <f>IFERROR(__xludf.DUMMYFUNCTION("IFS((AND(BW15=TRUE, BX15=""Yes"")), (IFS(ISBLANK(BZ15), BV15, BZ15=""Novice 1"", CEILING((BV15*1.05), $H15), BZ15=""Novice 2"", CEILING((BV15*1.025), $H15), BZ15=""Novice 3"", BV15+$H15, BZ15=""Intermediate 2"", (IF((ISBETWEEN(((((BO15-BN15)/2))+BU15), BN"&amp;"15, BO15)), BV15, BV15+$H15)), BZ15=""Intermediate 1"", (IF((ISBETWEEN((BU15-((BO15-BN15)/2)), BN15, BO15)), BV15+$H15, (FLOOR((BV15*0.9875), $H15)))), BZ15=""Advanced 2"", (IF(AND(((BT15+((BM15-BL15)/2))&gt;BM15), ((BU15+((BO15-BN15)/2))&gt;BO15)), BV15+$H15, "&amp;"(BV15))), BZ15=""Advanced 1"", (IFS(CH15&lt;BU15, BV15+$H15, CH15=BU15, (BV15), CH15&gt;BU15, (FLOOR((BV15*0.9875), $H15)))))), (AND(BO15=TRUE, BP15=""No"", BW15=TRUE, BX15=""No"")), (FLOOR((BV15*0.9), $H15)), (NOT((AND(BW15=TRUE, BX15=""Yes"")))), BV15)"),11.0)</f>
        <v>11</v>
      </c>
      <c r="CJ15" s="41" t="b">
        <v>0</v>
      </c>
      <c r="CK15" s="47"/>
      <c r="CL15" s="47"/>
      <c r="CM15" s="47" t="str">
        <f t="shared" si="113"/>
        <v/>
      </c>
      <c r="CN15" s="60"/>
      <c r="CO15" s="39">
        <f t="shared" si="114"/>
        <v>4</v>
      </c>
      <c r="CP15" s="46">
        <f t="shared" si="115"/>
        <v>8</v>
      </c>
      <c r="CQ15" s="40">
        <f>IFERROR(__xludf.DUMMYFUNCTION("IFS((AND(CJ15=TRUE, CK15=""Yes"")), (IFS(ISBLANK(CM15), CI15, CM15=""Novice 1"", CEILING((CI15*1.05), $H15), CM15=""Novice 2"", CEILING((CI15*1.025), $H15), CM15=""Novice 3"", CI15+$H15, CM15=""Intermediate 2"", (IF((ISBETWEEN(((((BW15-BV15)/2))+CH15), BV"&amp;"15, BW15)), CI15, CI15+$H15)), CM15=""Intermediate 1"", (IF((ISBETWEEN((CH15-((BW15-BV15)/2)), BV15, BW15)), CI15+$H15, (FLOOR((CI15*0.9875), $H15)))), CM15=""Advanced 2"", (IF(AND(((CG15+((BU15-BT15)/2))&gt;BU15), ((CH15+((BW15-BV15)/2))&gt;BW15)), CI15+$H15, "&amp;"(CI15))), CM15=""Advanced 1"", (IFS(CP15&lt;CH15, CI15+$H15, CP15=CH15, (CI15), CP15&gt;CH15, (FLOOR((CI15*0.9875), $H15)))))), (AND(BW15=TRUE, BX15=""No"", CJ15=TRUE, CK15=""No"")), (FLOOR((CI15*0.9), $H15)), (NOT((AND(CJ15=TRUE, CK15=""Yes"")))), CI15)"),11.0)</f>
        <v>11</v>
      </c>
      <c r="CR15" s="41" t="b">
        <v>0</v>
      </c>
      <c r="CS15" s="47"/>
      <c r="CT15" s="47"/>
      <c r="CU15" s="47" t="str">
        <f t="shared" si="116"/>
        <v/>
      </c>
      <c r="CV15" s="60"/>
      <c r="CW15" s="39">
        <f t="shared" si="117"/>
        <v>4</v>
      </c>
      <c r="CX15" s="46">
        <f t="shared" si="118"/>
        <v>8</v>
      </c>
      <c r="CY15" s="40">
        <f>IFERROR(__xludf.DUMMYFUNCTION("IFS((AND(CR15=TRUE, CS15=""Yes"")), (IFS(ISBLANK(CU15), CQ15, CU15=""Novice 1"", CEILING((CQ15*1.05), $H15), CU15=""Novice 2"", CEILING((CQ15*1.025), $H15), CU15=""Novice 3"", CQ15+$H15, CU15=""Intermediate 2"", (IF((ISBETWEEN(((((CJ15-CI15)/2))+CP15), CI"&amp;"15, CJ15)), CQ15, CQ15+$H15)), CU15=""Intermediate 1"", (IF((ISBETWEEN((CP15-((CJ15-CI15)/2)), CI15, CJ15)), CQ15+$H15, (FLOOR((CQ15*0.9875), $H15)))), CU15=""Advanced 2"", (IF(AND(((CO15+((CH15-CG15)/2))&gt;CH15), ((CP15+((CJ15-CI15)/2))&gt;CJ15)), CQ15+$H15, "&amp;"(CQ15))), CU15=""Advanced 1"", (IFS(CX15&lt;CP15, CQ15+$H15, CX15=CP15, (CQ15), CX15&gt;CP15, (FLOOR((CQ15*0.9875), $H15)))))), (AND(CJ15=TRUE, CK15=""No"", CR15=TRUE, CS15=""No"")), (FLOOR((CQ15*0.9), $H15)), (NOT((AND(CR15=TRUE, CS15=""Yes"")))), CQ15)"),11.0)</f>
        <v>11</v>
      </c>
      <c r="CZ15" s="41" t="b">
        <v>0</v>
      </c>
      <c r="DA15" s="47"/>
      <c r="DB15" s="47"/>
      <c r="DC15" s="47" t="str">
        <f t="shared" si="119"/>
        <v/>
      </c>
      <c r="DD15" s="60"/>
      <c r="DE15" s="48">
        <f t="shared" si="120"/>
        <v>4</v>
      </c>
      <c r="DF15" s="49">
        <f t="shared" si="121"/>
        <v>8</v>
      </c>
      <c r="DG15" s="50">
        <f>IFERROR(__xludf.DUMMYFUNCTION("IFS((AND(CZ15=TRUE, DA15=""Yes"")), (IFS(ISBLANK(DC15), CY15, DC15=""Novice 1"", CEILING((CY15*1.05), $H15), DC15=""Novice 2"", CEILING((CY15*1.025), $H15), DC15=""Novice 3"", CY15+$H15, DC15=""Intermediate 2"", (IF((ISBETWEEN(((((CR15-CQ15)/2))+CX15), CQ"&amp;"15, CR15)), CY15, CY15+$H15)), DC15=""Intermediate 1"", (IF((ISBETWEEN((CX15-((CR15-CQ15)/2)), CQ15, CR15)), CY15+$H15, (FLOOR((CY15*0.9875), $H15)))), DC15=""Advanced 2"", (IF(AND(((CW15+((CP15-CO15)/2))&gt;CP15), ((CX15+((CR15-CQ15)/2))&gt;CR15)), CY15+$H15, "&amp;"(CY15))), DC15=""Advanced 1"", (IFS(DF15&lt;CX15, CY15+$H15, DF15=CX15, (CY15), DF15&gt;CX15, (FLOOR((CY15*0.9875), $H15)))))), (AND(CR15=TRUE, CS15=""No"", CZ15=TRUE, DA15=""No"")), (FLOOR((CY15*0.9), $H15)), (NOT((AND(CZ15=TRUE, DA15=""Yes"")))), CY15)"),11.0)</f>
        <v>11</v>
      </c>
      <c r="DH15" s="51" t="b">
        <v>0</v>
      </c>
      <c r="DI15" s="52"/>
      <c r="DJ15" s="52"/>
      <c r="DK15" s="52" t="str">
        <f t="shared" si="122"/>
        <v/>
      </c>
      <c r="DL15" s="69"/>
      <c r="DM15" s="53">
        <f t="shared" ref="DM15:DN15" si="141">IFERROR(DE15/2,DE15)</f>
        <v>2</v>
      </c>
      <c r="DN15" s="53">
        <f t="shared" si="141"/>
        <v>4</v>
      </c>
      <c r="DO15" s="53">
        <f t="shared" si="124"/>
        <v>11</v>
      </c>
      <c r="DP15" s="67"/>
      <c r="DQ15" s="60"/>
      <c r="DR15" s="39">
        <f t="shared" si="125"/>
        <v>4</v>
      </c>
      <c r="DS15" s="46">
        <f t="shared" si="126"/>
        <v>8</v>
      </c>
      <c r="DT15" s="40">
        <f>IFERROR(__xludf.DUMMYFUNCTION("IFS((AND(DH15=TRUE, DI15=""Yes"")), (IFS(ISBLANK(DK15), DG15, DK15=""Novice 1"", CEILING((DG15*1.05), $H15), DK15=""Novice 2"", CEILING((DG15*1.025), $H15), DK15=""Novice 3"", DG15+$H15, DK15=""Intermediate 2"", (IF((ISBETWEEN(((((CZ15-CY15)/2))+DF15), CY"&amp;"15, CZ15)), DG15, DG15+$H15)), DK15=""Intermediate 1"", (IF((ISBETWEEN((DF15-((CZ15-CY15)/2)), CY15, CZ15)), DG15+$H15, (FLOOR((DG15*0.9875), $H15)))), DK15=""Advanced 2"", (IF(AND(((DE15+((CX15-CW15)/2))&gt;CX15), ((DF15+((CZ15-CY15)/2))&gt;CZ15)), DG15+$H15, "&amp;"(DG15))), DK15=""Advanced 1"", (IFS(DS15&lt;DF15, DG15+$H15, DS15=DF15, (DG15), DS15&gt;DF15, (FLOOR((DG15*0.9875), $H15)))))), (AND(CZ15=TRUE, DA15=""No"", DH15=TRUE, DI15=""No"")), (FLOOR((DG15*0.9), $H15)), (NOT((AND(DH15=TRUE, DI15=""Yes"")))), DG15)"),11.0)</f>
        <v>11</v>
      </c>
      <c r="DU15" s="41" t="b">
        <v>0</v>
      </c>
      <c r="DV15" s="47"/>
      <c r="DW15" s="47"/>
      <c r="DX15" s="47" t="str">
        <f t="shared" si="127"/>
        <v/>
      </c>
      <c r="DY15" s="60"/>
      <c r="DZ15" s="39">
        <f t="shared" si="128"/>
        <v>4</v>
      </c>
      <c r="EA15" s="46">
        <f t="shared" si="129"/>
        <v>8</v>
      </c>
      <c r="EB15" s="40">
        <f>IFERROR(__xludf.DUMMYFUNCTION("IFS((AND(DU15=TRUE, DV15=""Yes"")), (IFS(ISBLANK(DX15), DT15, DX15=""Novice 1"", CEILING((DT15*1.05), $H15), DX15=""Novice 2"", CEILING((DT15*1.025), $H15), DX15=""Novice 3"", DT15+$H15, DX15=""Intermediate 2"", (IF((ISBETWEEN(((((DH15-DG15)/2))+DS15), DG"&amp;"15, DH15)), DT15, DT15+$H15)), DX15=""Intermediate 1"", (IF((ISBETWEEN((DS15-((DH15-DG15)/2)), DG15, DH15)), DT15+$H15, (FLOOR((DT15*0.9875), $H15)))), DX15=""Advanced 2"", (IF(AND(((DR15+((DF15-DE15)/2))&gt;DF15), ((DS15+((DH15-DG15)/2))&gt;DH15)), DT15+$H15, "&amp;"(DT15))), DX15=""Advanced 1"", (IFS(EA15&lt;DS15, DT15+$H15, EA15=DS15, (DT15), EA15&gt;DS15, (FLOOR((DT15*0.9875), $H15)))))), (AND(DH15=TRUE, DI15=""No"", DU15=TRUE, DV15=""No"")), (FLOOR((DT15*0.9), $H15)), (NOT((AND(DU15=TRUE, DV15=""Yes"")))), DT15)"),11.0)</f>
        <v>11</v>
      </c>
      <c r="EC15" s="41" t="b">
        <v>0</v>
      </c>
      <c r="ED15" s="47"/>
      <c r="EE15" s="47"/>
      <c r="EF15" s="47" t="str">
        <f t="shared" si="130"/>
        <v/>
      </c>
      <c r="EG15" s="60"/>
      <c r="EH15" s="39">
        <f t="shared" si="131"/>
        <v>4</v>
      </c>
      <c r="EI15" s="46">
        <f t="shared" si="132"/>
        <v>8</v>
      </c>
      <c r="EJ15" s="40">
        <f>IFERROR(__xludf.DUMMYFUNCTION("IFS((AND(EC15=TRUE, ED15=""Yes"")), (IFS(ISBLANK(EF15), EB15, EF15=""Novice 1"", CEILING((EB15*1.05), $H15), EF15=""Novice 2"", CEILING((EB15*1.025), $H15), EF15=""Novice 3"", EB15+$H15, EF15=""Intermediate 2"", (IF((ISBETWEEN(((((DU15-DT15)/2))+EA15), DT"&amp;"15, DU15)), EB15, EB15+$H15)), EF15=""Intermediate 1"", (IF((ISBETWEEN((EA15-((DU15-DT15)/2)), DT15, DU15)), EB15+$H15, (FLOOR((EB15*0.9875), $H15)))), EF15=""Advanced 2"", (IF(AND(((DZ15+((DS15-DR15)/2))&gt;DS15), ((EA15+((DU15-DT15)/2))&gt;DU15)), EB15+$H15, "&amp;"(EB15))), EF15=""Advanced 1"", (IFS(EI15&lt;EA15, EB15+$H15, EI15=EA15, (EB15), EI15&gt;EA15, (FLOOR((EB15*0.9875), $H15)))))), (AND(DU15=TRUE, DV15=""No"", EC15=TRUE, ED15=""No"")), (FLOOR((EB15*0.9), $H15)), (NOT((AND(EC15=TRUE, ED15=""Yes"")))), EB15)"),11.0)</f>
        <v>11</v>
      </c>
      <c r="EK15" s="41" t="b">
        <v>0</v>
      </c>
      <c r="EL15" s="47"/>
      <c r="EM15" s="47"/>
      <c r="EN15" s="47" t="str">
        <f t="shared" si="133"/>
        <v/>
      </c>
      <c r="EO15" s="60"/>
      <c r="EP15" s="48">
        <f t="shared" si="134"/>
        <v>4</v>
      </c>
      <c r="EQ15" s="49">
        <f t="shared" si="135"/>
        <v>8</v>
      </c>
      <c r="ER15" s="50">
        <f>IFERROR(__xludf.DUMMYFUNCTION("IFS((AND(EK15=TRUE, EL15=""Yes"")), (IFS(ISBLANK(EN15), EJ15, EN15=""Novice 1"", CEILING((EJ15*1.05), $H15), EN15=""Novice 2"", CEILING((EJ15*1.025), $H15), EN15=""Novice 3"", EJ15+$H15, EN15=""Intermediate 2"", (IF((ISBETWEEN(((((EC15-EB15)/2))+EI15), EB"&amp;"15, EC15)), EJ15, EJ15+$H15)), EN15=""Intermediate 1"", (IF((ISBETWEEN((EI15-((EC15-EB15)/2)), EB15, EC15)), EJ15+$H15, (FLOOR((EJ15*0.9875), $H15)))), EN15=""Advanced 2"", (IF(AND(((EH15+((EA15-DZ15)/2))&gt;EA15), ((EI15+((EC15-EB15)/2))&gt;EC15)), EJ15+$H15, "&amp;"(EJ15))), EN15=""Advanced 1"", (IFS(EQ15&lt;EI15, EJ15+$H15, EQ15=EI15, (EJ15), EQ15&gt;EI15, (FLOOR((EJ15*0.9875), $H15)))))), (AND(EC15=TRUE, ED15=""No"", EK15=TRUE, EL15=""No"")), (FLOOR((EJ15*0.9), $H15)), (NOT((AND(EK15=TRUE, EL15=""Yes"")))), EJ15)"),11.0)</f>
        <v>11</v>
      </c>
      <c r="ES15" s="51" t="b">
        <v>0</v>
      </c>
      <c r="ET15" s="52"/>
      <c r="EU15" s="52"/>
      <c r="EV15" s="52" t="str">
        <f t="shared" si="136"/>
        <v/>
      </c>
      <c r="EW15" s="69"/>
      <c r="EX15" s="53">
        <f t="shared" ref="EX15:EY15" si="142">IFERROR(EP15/2,EP15)</f>
        <v>2</v>
      </c>
      <c r="EY15" s="53">
        <f t="shared" si="142"/>
        <v>4</v>
      </c>
      <c r="EZ15" s="53">
        <f t="shared" si="138"/>
        <v>11</v>
      </c>
      <c r="FA15" s="67"/>
      <c r="FB15" s="86"/>
      <c r="FC15" s="57"/>
    </row>
    <row r="16" outlineLevel="1">
      <c r="A16" s="81" t="s">
        <v>46</v>
      </c>
      <c r="B16" s="58"/>
      <c r="C16" s="82">
        <v>4.0</v>
      </c>
      <c r="D16" s="83">
        <v>6.0</v>
      </c>
      <c r="E16" s="82">
        <v>12.0</v>
      </c>
      <c r="F16" s="83">
        <v>20.0</v>
      </c>
      <c r="G16" s="83">
        <v>17.0</v>
      </c>
      <c r="H16" s="84"/>
      <c r="I16" s="85"/>
      <c r="J16" s="59"/>
      <c r="K16" s="39">
        <f t="shared" si="82"/>
        <v>4</v>
      </c>
      <c r="L16" s="40">
        <f t="shared" si="83"/>
        <v>12</v>
      </c>
      <c r="M16" s="40">
        <f t="shared" si="84"/>
        <v>17</v>
      </c>
      <c r="N16" s="41" t="b">
        <v>0</v>
      </c>
      <c r="O16" s="42"/>
      <c r="P16" s="43"/>
      <c r="Q16" s="42" t="str">
        <f t="shared" si="85"/>
        <v/>
      </c>
      <c r="R16" s="60"/>
      <c r="S16" s="39">
        <f t="shared" si="86"/>
        <v>4</v>
      </c>
      <c r="T16" s="46">
        <f t="shared" si="87"/>
        <v>12</v>
      </c>
      <c r="U16" s="40">
        <f>IFERROR(__xludf.DUMMYFUNCTION("IFS((AND(N16=TRUE, O16=""Yes"")), (IFS(ISBLANK(Q16), M16, Q16=""Novice 1"", CEILING((M16*1.05), $H16), Q16=""Novice 2"", CEILING((M16*1.025), $H16), Q16=""Novice 3"", M16+$H16, Q16=""Intermediate 2"", (IF((ISBETWEEN(((((F16-E16)/2))+L16), E16, F16)), M16,"&amp;" M16+$H16)), Q16=""Intermediate 1"", (IF((ISBETWEEN((L16-((F16-E16)/2)), E16, F16)), M16+$H16, (FLOOR((M16*0.9875), $H16)))), Q16=""Advanced 2"", (IF(AND(((K16+((D16-C16)/2))&gt;D16), ((L16+((F16-E16)/2))&gt;F16)), M16+$H16, (M16))), Q16=""Advanced 1"", (IFS(T1"&amp;"6&lt;L16, M16+$H16, T16=L16, (M16), T16&gt;L16, (FLOOR((M16*0.9875), $H16)))))), (AND(F16=TRUE, G16=""No"", N16=TRUE, O16=""No"")), (FLOOR((M16*0.9), $H16)), (NOT((AND(N16=TRUE, O16=""Yes"")))), M16)"),17.0)</f>
        <v>17</v>
      </c>
      <c r="V16" s="41" t="b">
        <v>0</v>
      </c>
      <c r="W16" s="47"/>
      <c r="X16" s="47"/>
      <c r="Y16" s="47" t="str">
        <f t="shared" si="88"/>
        <v/>
      </c>
      <c r="Z16" s="60"/>
      <c r="AA16" s="39">
        <f t="shared" si="89"/>
        <v>4</v>
      </c>
      <c r="AB16" s="46">
        <f t="shared" si="90"/>
        <v>12</v>
      </c>
      <c r="AC16" s="40">
        <f>IFERROR(__xludf.DUMMYFUNCTION("IFS((AND(V16=TRUE, W16=""Yes"")), (IFS(ISBLANK(Y16), U16, Y16=""Novice 1"", CEILING((U16*1.05), $H16), Y16=""Novice 2"", CEILING((U16*1.025), $H16), Y16=""Novice 3"", U16+$H16, Y16=""Intermediate 2"", (IF((ISBETWEEN(((((N16-M16)/2))+T16), M16, N16)), U16,"&amp;" U16+$H16)), Y16=""Intermediate 1"", (IF((ISBETWEEN((T16-((N16-M16)/2)), M16, N16)), U16+$H16, (FLOOR((U16*0.9875), $H16)))), Y16=""Advanced 2"", (IF(AND(((S16+((L16-K16)/2))&gt;L16), ((T16+((N16-M16)/2))&gt;N16)), U16+$H16, (U16))), Y16=""Advanced 1"", (IFS(AB"&amp;"16&lt;T16, U16+$H16, AB16=T16, (U16), AB16&gt;T16, (FLOOR((U16*0.9875), $H16)))))), (AND(N16=TRUE, O16=""No"", V16=TRUE, W16=""No"")), (FLOOR((U16*0.9), $H16)), (NOT((AND(V16=TRUE, W16=""Yes"")))), U16)"),17.0)</f>
        <v>17</v>
      </c>
      <c r="AD16" s="41" t="b">
        <v>0</v>
      </c>
      <c r="AE16" s="47"/>
      <c r="AF16" s="47"/>
      <c r="AG16" s="47" t="str">
        <f t="shared" si="91"/>
        <v/>
      </c>
      <c r="AH16" s="60"/>
      <c r="AI16" s="61">
        <f t="shared" si="92"/>
        <v>4</v>
      </c>
      <c r="AJ16" s="62">
        <f t="shared" si="93"/>
        <v>12</v>
      </c>
      <c r="AK16" s="63">
        <f>IFERROR(__xludf.DUMMYFUNCTION("IFS((AND(AD16=TRUE, AE16=""Yes"")), (IFS(ISBLANK(AG16), AC16, AG16=""Novice 1"", CEILING((AC16*1.05), $H16), AG16=""Novice 2"", CEILING((AC16*1.025), $H16), AG16=""Novice 3"", AC16+$H16, AG16=""Intermediate 2"", (IF((ISBETWEEN(((((V16-U16)/2))+AB16), U16,"&amp;" V16)), AC16, AC16+$H16)), AG16=""Intermediate 1"", (IF((ISBETWEEN((AB16-((V16-U16)/2)), U16, V16)), AC16+$H16, (FLOOR((AC16*0.9875), $H16)))), AG16=""Advanced 2"", (IF(AND(((AA16+((T16-S16)/2))&gt;T16), ((AB16+((V16-U16)/2))&gt;V16)), AC16+$H16, (AC16))), AG16"&amp;"=""Advanced 1"", (IFS(AJ16&lt;AB16, AC16+$H16, AJ16=AB16, (AC16), AJ16&gt;AB16, (FLOOR((AC16*0.9875), $H16)))))), (AND(V16=TRUE, W16=""No"", AD16=TRUE, AE16=""No"")), (FLOOR((AC16*0.9), $H16)), (NOT((AND(AD16=TRUE, AE16=""Yes"")))), AC16)"),17.0)</f>
        <v>17</v>
      </c>
      <c r="AL16" s="64" t="b">
        <v>0</v>
      </c>
      <c r="AM16" s="65"/>
      <c r="AN16" s="65"/>
      <c r="AO16" s="65" t="str">
        <f t="shared" si="94"/>
        <v/>
      </c>
      <c r="AP16" s="66"/>
      <c r="AQ16" s="53">
        <f t="shared" ref="AQ16:AR16" si="143">IFERROR(AI16/2,AI16)</f>
        <v>2</v>
      </c>
      <c r="AR16" s="53">
        <f t="shared" si="143"/>
        <v>6</v>
      </c>
      <c r="AS16" s="53">
        <f t="shared" si="96"/>
        <v>17</v>
      </c>
      <c r="AT16" s="67"/>
      <c r="AU16" s="60"/>
      <c r="AV16" s="39">
        <f t="shared" si="97"/>
        <v>4</v>
      </c>
      <c r="AW16" s="46">
        <f t="shared" si="98"/>
        <v>12</v>
      </c>
      <c r="AX16" s="40">
        <f>IFERROR(__xludf.DUMMYFUNCTION("IFS((AND(AL16=TRUE, AM16=""Yes"")), (IFS(ISBLANK(AO16), AK16, AO16=""Novice 1"", CEILING((AK16*1.05), $H16), AO16=""Novice 2"", CEILING((AK16*1.025), $H16), AO16=""Novice 3"", AK16+$H16, AO16=""Intermediate 2"", (IF((ISBETWEEN(((((AD16-AC16)/2))+AJ16), AC"&amp;"16, AD16)), AK16, AK16+$H16)), AO16=""Intermediate 1"", (IF((ISBETWEEN((AJ16-((AD16-AC16)/2)), AC16, AD16)), AK16+$H16, (FLOOR((AK16*0.9875), $H16)))), AO16=""Advanced 2"", (IF(AND(((AI16+((AB16-AA16)/2))&gt;AB16), ((AJ16+((AD16-AC16)/2))&gt;AD16)), AK16+$H16, "&amp;"(AK16))), AO16=""Advanced 1"", (IFS(AW16&lt;AJ16, AK16+$H16, AW16=AJ16, (AK16), AW16&gt;AJ16, (FLOOR((AK16*0.9875), $H16)))))), (AND(AD16=TRUE, AE16=""No"", AL16=TRUE, AM16=""No"")), (FLOOR((AK16*0.9), $H16)), (NOT((AND(AL16=TRUE, AM16=""Yes"")))), AK16)"),17.0)</f>
        <v>17</v>
      </c>
      <c r="AY16" s="41" t="b">
        <v>0</v>
      </c>
      <c r="AZ16" s="47"/>
      <c r="BA16" s="47"/>
      <c r="BB16" s="47" t="str">
        <f t="shared" si="99"/>
        <v/>
      </c>
      <c r="BC16" s="60"/>
      <c r="BD16" s="39">
        <f t="shared" si="100"/>
        <v>4</v>
      </c>
      <c r="BE16" s="46">
        <f t="shared" si="101"/>
        <v>12</v>
      </c>
      <c r="BF16" s="40">
        <f>IFERROR(__xludf.DUMMYFUNCTION("IFS((AND(AY16=TRUE, AZ16=""Yes"")), (IFS(ISBLANK(BB16), AX16, BB16=""Novice 1"", CEILING((AX16*1.05), $H16), BB16=""Novice 2"", CEILING((AX16*1.025), $H16), BB16=""Novice 3"", AX16+$H16, BB16=""Intermediate 2"", (IF((ISBETWEEN(((((AL16-AK16)/2))+AW16), AK"&amp;"16, AL16)), AX16, AX16+$H16)), BB16=""Intermediate 1"", (IF((ISBETWEEN((AW16-((AL16-AK16)/2)), AK16, AL16)), AX16+$H16, (FLOOR((AX16*0.9875), $H16)))), BB16=""Advanced 2"", (IF(AND(((AV16+((AJ16-AI16)/2))&gt;AJ16), ((AW16+((AL16-AK16)/2))&gt;AL16)), AX16+$H16, "&amp;"(AX16))), BB16=""Advanced 1"", (IFS(BE16&lt;AW16, AX16+$H16, BE16=AW16, (AX16), BE16&gt;AW16, (FLOOR((AX16*0.9875), $H16)))))), (AND(AL16=TRUE, AM16=""No"", AY16=TRUE, AZ16=""No"")), (FLOOR((AX16*0.9), $H16)), (NOT((AND(AY16=TRUE, AZ16=""Yes"")))), AX16)"),17.0)</f>
        <v>17</v>
      </c>
      <c r="BG16" s="41" t="b">
        <v>0</v>
      </c>
      <c r="BH16" s="47"/>
      <c r="BI16" s="47"/>
      <c r="BJ16" s="47" t="str">
        <f t="shared" si="102"/>
        <v/>
      </c>
      <c r="BK16" s="60"/>
      <c r="BL16" s="39">
        <f t="shared" si="103"/>
        <v>4</v>
      </c>
      <c r="BM16" s="46">
        <f t="shared" si="104"/>
        <v>12</v>
      </c>
      <c r="BN16" s="40">
        <f>IFERROR(__xludf.DUMMYFUNCTION("IFS((AND(BG16=TRUE, BH16=""Yes"")), (IFS(ISBLANK(BJ16), BF16, BJ16=""Novice 1"", CEILING((BF16*1.05), $H16), BJ16=""Novice 2"", CEILING((BF16*1.025), $H16), BJ16=""Novice 3"", BF16+$H16, BJ16=""Intermediate 2"", (IF((ISBETWEEN(((((AY16-AX16)/2))+BE16), AX"&amp;"16, AY16)), BF16, BF16+$H16)), BJ16=""Intermediate 1"", (IF((ISBETWEEN((BE16-((AY16-AX16)/2)), AX16, AY16)), BF16+$H16, (FLOOR((BF16*0.9875), $H16)))), BJ16=""Advanced 2"", (IF(AND(((BD16+((AW16-AV16)/2))&gt;AW16), ((BE16+((AY16-AX16)/2))&gt;AY16)), BF16+$H16, "&amp;"(BF16))), BJ16=""Advanced 1"", (IFS(BM16&lt;BE16, BF16+$H16, BM16=BE16, (BF16), BM16&gt;BE16, (FLOOR((BF16*0.9875), $H16)))))), (AND(AY16=TRUE, AZ16=""No"", BG16=TRUE, BH16=""No"")), (FLOOR((BF16*0.9), $H16)), (NOT((AND(BG16=TRUE, BH16=""Yes"")))), BF16)"),17.0)</f>
        <v>17</v>
      </c>
      <c r="BO16" s="41" t="b">
        <v>0</v>
      </c>
      <c r="BP16" s="47"/>
      <c r="BQ16" s="47"/>
      <c r="BR16" s="47" t="str">
        <f t="shared" si="105"/>
        <v/>
      </c>
      <c r="BS16" s="60"/>
      <c r="BT16" s="61">
        <f t="shared" si="106"/>
        <v>4</v>
      </c>
      <c r="BU16" s="62">
        <f t="shared" si="107"/>
        <v>12</v>
      </c>
      <c r="BV16" s="63">
        <f>IFERROR(__xludf.DUMMYFUNCTION("IFS((AND(BO16=TRUE, BP16=""Yes"")), (IFS(ISBLANK(BR16), BN16, BR16=""Novice 1"", CEILING((BN16*1.05), $H16), BR16=""Novice 2"", CEILING((BN16*1.025), $H16), BR16=""Novice 3"", BN16+$H16, BR16=""Intermediate 2"", (IF((ISBETWEEN(((((BG16-BF16)/2))+BM16), BF"&amp;"16, BG16)), BN16, BN16+$H16)), BR16=""Intermediate 1"", (IF((ISBETWEEN((BM16-((BG16-BF16)/2)), BF16, BG16)), BN16+$H16, (FLOOR((BN16*0.9875), $H16)))), BR16=""Advanced 2"", (IF(AND(((BL16+((BE16-BD16)/2))&gt;BE16), ((BM16+((BG16-BF16)/2))&gt;BG16)), BN16+$H16, "&amp;"(BN16))), BR16=""Advanced 1"", (IFS(BU16&lt;BM16, BN16+$H16, BU16=BM16, (BN16), BU16&gt;BM16, (FLOOR((BN16*0.9875), $H16)))))), (AND(BG16=TRUE, BH16=""No"", BO16=TRUE, BP16=""No"")), (FLOOR((BN16*0.9), $H16)), (NOT((AND(BO16=TRUE, BP16=""Yes"")))), BN16)"),17.0)</f>
        <v>17</v>
      </c>
      <c r="BW16" s="64" t="b">
        <v>0</v>
      </c>
      <c r="BX16" s="65"/>
      <c r="BY16" s="65"/>
      <c r="BZ16" s="65" t="str">
        <f t="shared" si="108"/>
        <v/>
      </c>
      <c r="CA16" s="66"/>
      <c r="CB16" s="53">
        <f t="shared" ref="CB16:CC16" si="144">IFERROR(BT16/2,BT16)</f>
        <v>2</v>
      </c>
      <c r="CC16" s="53">
        <f t="shared" si="144"/>
        <v>6</v>
      </c>
      <c r="CD16" s="53">
        <f t="shared" si="110"/>
        <v>17</v>
      </c>
      <c r="CE16" s="67"/>
      <c r="CF16" s="60"/>
      <c r="CG16" s="39">
        <f t="shared" si="111"/>
        <v>4</v>
      </c>
      <c r="CH16" s="46">
        <f t="shared" si="112"/>
        <v>12</v>
      </c>
      <c r="CI16" s="40">
        <f>IFERROR(__xludf.DUMMYFUNCTION("IFS((AND(BW16=TRUE, BX16=""Yes"")), (IFS(ISBLANK(BZ16), BV16, BZ16=""Novice 1"", CEILING((BV16*1.05), $H16), BZ16=""Novice 2"", CEILING((BV16*1.025), $H16), BZ16=""Novice 3"", BV16+$H16, BZ16=""Intermediate 2"", (IF((ISBETWEEN(((((BO16-BN16)/2))+BU16), BN"&amp;"16, BO16)), BV16, BV16+$H16)), BZ16=""Intermediate 1"", (IF((ISBETWEEN((BU16-((BO16-BN16)/2)), BN16, BO16)), BV16+$H16, (FLOOR((BV16*0.9875), $H16)))), BZ16=""Advanced 2"", (IF(AND(((BT16+((BM16-BL16)/2))&gt;BM16), ((BU16+((BO16-BN16)/2))&gt;BO16)), BV16+$H16, "&amp;"(BV16))), BZ16=""Advanced 1"", (IFS(CH16&lt;BU16, BV16+$H16, CH16=BU16, (BV16), CH16&gt;BU16, (FLOOR((BV16*0.9875), $H16)))))), (AND(BO16=TRUE, BP16=""No"", BW16=TRUE, BX16=""No"")), (FLOOR((BV16*0.9), $H16)), (NOT((AND(BW16=TRUE, BX16=""Yes"")))), BV16)"),17.0)</f>
        <v>17</v>
      </c>
      <c r="CJ16" s="41" t="b">
        <v>0</v>
      </c>
      <c r="CK16" s="47"/>
      <c r="CL16" s="47"/>
      <c r="CM16" s="47" t="str">
        <f t="shared" si="113"/>
        <v/>
      </c>
      <c r="CN16" s="60"/>
      <c r="CO16" s="39">
        <f t="shared" si="114"/>
        <v>4</v>
      </c>
      <c r="CP16" s="46">
        <f t="shared" si="115"/>
        <v>12</v>
      </c>
      <c r="CQ16" s="40">
        <f>IFERROR(__xludf.DUMMYFUNCTION("IFS((AND(CJ16=TRUE, CK16=""Yes"")), (IFS(ISBLANK(CM16), CI16, CM16=""Novice 1"", CEILING((CI16*1.05), $H16), CM16=""Novice 2"", CEILING((CI16*1.025), $H16), CM16=""Novice 3"", CI16+$H16, CM16=""Intermediate 2"", (IF((ISBETWEEN(((((BW16-BV16)/2))+CH16), BV"&amp;"16, BW16)), CI16, CI16+$H16)), CM16=""Intermediate 1"", (IF((ISBETWEEN((CH16-((BW16-BV16)/2)), BV16, BW16)), CI16+$H16, (FLOOR((CI16*0.9875), $H16)))), CM16=""Advanced 2"", (IF(AND(((CG16+((BU16-BT16)/2))&gt;BU16), ((CH16+((BW16-BV16)/2))&gt;BW16)), CI16+$H16, "&amp;"(CI16))), CM16=""Advanced 1"", (IFS(CP16&lt;CH16, CI16+$H16, CP16=CH16, (CI16), CP16&gt;CH16, (FLOOR((CI16*0.9875), $H16)))))), (AND(BW16=TRUE, BX16=""No"", CJ16=TRUE, CK16=""No"")), (FLOOR((CI16*0.9), $H16)), (NOT((AND(CJ16=TRUE, CK16=""Yes"")))), CI16)"),17.0)</f>
        <v>17</v>
      </c>
      <c r="CR16" s="41" t="b">
        <v>0</v>
      </c>
      <c r="CS16" s="47"/>
      <c r="CT16" s="47"/>
      <c r="CU16" s="47" t="str">
        <f t="shared" si="116"/>
        <v/>
      </c>
      <c r="CV16" s="60"/>
      <c r="CW16" s="39">
        <f t="shared" si="117"/>
        <v>4</v>
      </c>
      <c r="CX16" s="46">
        <f t="shared" si="118"/>
        <v>12</v>
      </c>
      <c r="CY16" s="40">
        <f>IFERROR(__xludf.DUMMYFUNCTION("IFS((AND(CR16=TRUE, CS16=""Yes"")), (IFS(ISBLANK(CU16), CQ16, CU16=""Novice 1"", CEILING((CQ16*1.05), $H16), CU16=""Novice 2"", CEILING((CQ16*1.025), $H16), CU16=""Novice 3"", CQ16+$H16, CU16=""Intermediate 2"", (IF((ISBETWEEN(((((CJ16-CI16)/2))+CP16), CI"&amp;"16, CJ16)), CQ16, CQ16+$H16)), CU16=""Intermediate 1"", (IF((ISBETWEEN((CP16-((CJ16-CI16)/2)), CI16, CJ16)), CQ16+$H16, (FLOOR((CQ16*0.9875), $H16)))), CU16=""Advanced 2"", (IF(AND(((CO16+((CH16-CG16)/2))&gt;CH16), ((CP16+((CJ16-CI16)/2))&gt;CJ16)), CQ16+$H16, "&amp;"(CQ16))), CU16=""Advanced 1"", (IFS(CX16&lt;CP16, CQ16+$H16, CX16=CP16, (CQ16), CX16&gt;CP16, (FLOOR((CQ16*0.9875), $H16)))))), (AND(CJ16=TRUE, CK16=""No"", CR16=TRUE, CS16=""No"")), (FLOOR((CQ16*0.9), $H16)), (NOT((AND(CR16=TRUE, CS16=""Yes"")))), CQ16)"),17.0)</f>
        <v>17</v>
      </c>
      <c r="CZ16" s="41" t="b">
        <v>0</v>
      </c>
      <c r="DA16" s="47"/>
      <c r="DB16" s="47"/>
      <c r="DC16" s="47" t="str">
        <f t="shared" si="119"/>
        <v/>
      </c>
      <c r="DD16" s="60"/>
      <c r="DE16" s="61">
        <f t="shared" si="120"/>
        <v>4</v>
      </c>
      <c r="DF16" s="62">
        <f t="shared" si="121"/>
        <v>12</v>
      </c>
      <c r="DG16" s="63">
        <f>IFERROR(__xludf.DUMMYFUNCTION("IFS((AND(CZ16=TRUE, DA16=""Yes"")), (IFS(ISBLANK(DC16), CY16, DC16=""Novice 1"", CEILING((CY16*1.05), $H16), DC16=""Novice 2"", CEILING((CY16*1.025), $H16), DC16=""Novice 3"", CY16+$H16, DC16=""Intermediate 2"", (IF((ISBETWEEN(((((CR16-CQ16)/2))+CX16), CQ"&amp;"16, CR16)), CY16, CY16+$H16)), DC16=""Intermediate 1"", (IF((ISBETWEEN((CX16-((CR16-CQ16)/2)), CQ16, CR16)), CY16+$H16, (FLOOR((CY16*0.9875), $H16)))), DC16=""Advanced 2"", (IF(AND(((CW16+((CP16-CO16)/2))&gt;CP16), ((CX16+((CR16-CQ16)/2))&gt;CR16)), CY16+$H16, "&amp;"(CY16))), DC16=""Advanced 1"", (IFS(DF16&lt;CX16, CY16+$H16, DF16=CX16, (CY16), DF16&gt;CX16, (FLOOR((CY16*0.9875), $H16)))))), (AND(CR16=TRUE, CS16=""No"", CZ16=TRUE, DA16=""No"")), (FLOOR((CY16*0.9), $H16)), (NOT((AND(CZ16=TRUE, DA16=""Yes"")))), CY16)"),17.0)</f>
        <v>17</v>
      </c>
      <c r="DH16" s="64" t="b">
        <v>0</v>
      </c>
      <c r="DI16" s="65"/>
      <c r="DJ16" s="65"/>
      <c r="DK16" s="65" t="str">
        <f t="shared" si="122"/>
        <v/>
      </c>
      <c r="DL16" s="66"/>
      <c r="DM16" s="53">
        <f t="shared" ref="DM16:DN16" si="145">IFERROR(DE16/2,DE16)</f>
        <v>2</v>
      </c>
      <c r="DN16" s="53">
        <f t="shared" si="145"/>
        <v>6</v>
      </c>
      <c r="DO16" s="53">
        <f t="shared" si="124"/>
        <v>17</v>
      </c>
      <c r="DP16" s="67"/>
      <c r="DQ16" s="60"/>
      <c r="DR16" s="39">
        <f t="shared" si="125"/>
        <v>4</v>
      </c>
      <c r="DS16" s="46">
        <f t="shared" si="126"/>
        <v>12</v>
      </c>
      <c r="DT16" s="40">
        <f>IFERROR(__xludf.DUMMYFUNCTION("IFS((AND(DH16=TRUE, DI16=""Yes"")), (IFS(ISBLANK(DK16), DG16, DK16=""Novice 1"", CEILING((DG16*1.05), $H16), DK16=""Novice 2"", CEILING((DG16*1.025), $H16), DK16=""Novice 3"", DG16+$H16, DK16=""Intermediate 2"", (IF((ISBETWEEN(((((CZ16-CY16)/2))+DF16), CY"&amp;"16, CZ16)), DG16, DG16+$H16)), DK16=""Intermediate 1"", (IF((ISBETWEEN((DF16-((CZ16-CY16)/2)), CY16, CZ16)), DG16+$H16, (FLOOR((DG16*0.9875), $H16)))), DK16=""Advanced 2"", (IF(AND(((DE16+((CX16-CW16)/2))&gt;CX16), ((DF16+((CZ16-CY16)/2))&gt;CZ16)), DG16+$H16, "&amp;"(DG16))), DK16=""Advanced 1"", (IFS(DS16&lt;DF16, DG16+$H16, DS16=DF16, (DG16), DS16&gt;DF16, (FLOOR((DG16*0.9875), $H16)))))), (AND(CZ16=TRUE, DA16=""No"", DH16=TRUE, DI16=""No"")), (FLOOR((DG16*0.9), $H16)), (NOT((AND(DH16=TRUE, DI16=""Yes"")))), DG16)"),17.0)</f>
        <v>17</v>
      </c>
      <c r="DU16" s="41" t="b">
        <v>0</v>
      </c>
      <c r="DV16" s="47"/>
      <c r="DW16" s="47"/>
      <c r="DX16" s="47" t="str">
        <f t="shared" si="127"/>
        <v/>
      </c>
      <c r="DY16" s="60"/>
      <c r="DZ16" s="39">
        <f t="shared" si="128"/>
        <v>4</v>
      </c>
      <c r="EA16" s="46">
        <f t="shared" si="129"/>
        <v>12</v>
      </c>
      <c r="EB16" s="40">
        <f>IFERROR(__xludf.DUMMYFUNCTION("IFS((AND(DU16=TRUE, DV16=""Yes"")), (IFS(ISBLANK(DX16), DT16, DX16=""Novice 1"", CEILING((DT16*1.05), $H16), DX16=""Novice 2"", CEILING((DT16*1.025), $H16), DX16=""Novice 3"", DT16+$H16, DX16=""Intermediate 2"", (IF((ISBETWEEN(((((DH16-DG16)/2))+DS16), DG"&amp;"16, DH16)), DT16, DT16+$H16)), DX16=""Intermediate 1"", (IF((ISBETWEEN((DS16-((DH16-DG16)/2)), DG16, DH16)), DT16+$H16, (FLOOR((DT16*0.9875), $H16)))), DX16=""Advanced 2"", (IF(AND(((DR16+((DF16-DE16)/2))&gt;DF16), ((DS16+((DH16-DG16)/2))&gt;DH16)), DT16+$H16, "&amp;"(DT16))), DX16=""Advanced 1"", (IFS(EA16&lt;DS16, DT16+$H16, EA16=DS16, (DT16), EA16&gt;DS16, (FLOOR((DT16*0.9875), $H16)))))), (AND(DH16=TRUE, DI16=""No"", DU16=TRUE, DV16=""No"")), (FLOOR((DT16*0.9), $H16)), (NOT((AND(DU16=TRUE, DV16=""Yes"")))), DT16)"),17.0)</f>
        <v>17</v>
      </c>
      <c r="EC16" s="41" t="b">
        <v>0</v>
      </c>
      <c r="ED16" s="47"/>
      <c r="EE16" s="47"/>
      <c r="EF16" s="47" t="str">
        <f t="shared" si="130"/>
        <v/>
      </c>
      <c r="EG16" s="60"/>
      <c r="EH16" s="39">
        <f t="shared" si="131"/>
        <v>4</v>
      </c>
      <c r="EI16" s="46">
        <f t="shared" si="132"/>
        <v>12</v>
      </c>
      <c r="EJ16" s="40">
        <f>IFERROR(__xludf.DUMMYFUNCTION("IFS((AND(EC16=TRUE, ED16=""Yes"")), (IFS(ISBLANK(EF16), EB16, EF16=""Novice 1"", CEILING((EB16*1.05), $H16), EF16=""Novice 2"", CEILING((EB16*1.025), $H16), EF16=""Novice 3"", EB16+$H16, EF16=""Intermediate 2"", (IF((ISBETWEEN(((((DU16-DT16)/2))+EA16), DT"&amp;"16, DU16)), EB16, EB16+$H16)), EF16=""Intermediate 1"", (IF((ISBETWEEN((EA16-((DU16-DT16)/2)), DT16, DU16)), EB16+$H16, (FLOOR((EB16*0.9875), $H16)))), EF16=""Advanced 2"", (IF(AND(((DZ16+((DS16-DR16)/2))&gt;DS16), ((EA16+((DU16-DT16)/2))&gt;DU16)), EB16+$H16, "&amp;"(EB16))), EF16=""Advanced 1"", (IFS(EI16&lt;EA16, EB16+$H16, EI16=EA16, (EB16), EI16&gt;EA16, (FLOOR((EB16*0.9875), $H16)))))), (AND(DU16=TRUE, DV16=""No"", EC16=TRUE, ED16=""No"")), (FLOOR((EB16*0.9), $H16)), (NOT((AND(EC16=TRUE, ED16=""Yes"")))), EB16)"),17.0)</f>
        <v>17</v>
      </c>
      <c r="EK16" s="41" t="b">
        <v>0</v>
      </c>
      <c r="EL16" s="47"/>
      <c r="EM16" s="47"/>
      <c r="EN16" s="47" t="str">
        <f t="shared" si="133"/>
        <v/>
      </c>
      <c r="EO16" s="60"/>
      <c r="EP16" s="61">
        <f t="shared" si="134"/>
        <v>4</v>
      </c>
      <c r="EQ16" s="62">
        <f t="shared" si="135"/>
        <v>12</v>
      </c>
      <c r="ER16" s="63">
        <f>IFERROR(__xludf.DUMMYFUNCTION("IFS((AND(EK16=TRUE, EL16=""Yes"")), (IFS(ISBLANK(EN16), EJ16, EN16=""Novice 1"", CEILING((EJ16*1.05), $H16), EN16=""Novice 2"", CEILING((EJ16*1.025), $H16), EN16=""Novice 3"", EJ16+$H16, EN16=""Intermediate 2"", (IF((ISBETWEEN(((((EC16-EB16)/2))+EI16), EB"&amp;"16, EC16)), EJ16, EJ16+$H16)), EN16=""Intermediate 1"", (IF((ISBETWEEN((EI16-((EC16-EB16)/2)), EB16, EC16)), EJ16+$H16, (FLOOR((EJ16*0.9875), $H16)))), EN16=""Advanced 2"", (IF(AND(((EH16+((EA16-DZ16)/2))&gt;EA16), ((EI16+((EC16-EB16)/2))&gt;EC16)), EJ16+$H16, "&amp;"(EJ16))), EN16=""Advanced 1"", (IFS(EQ16&lt;EI16, EJ16+$H16, EQ16=EI16, (EJ16), EQ16&gt;EI16, (FLOOR((EJ16*0.9875), $H16)))))), (AND(EC16=TRUE, ED16=""No"", EK16=TRUE, EL16=""No"")), (FLOOR((EJ16*0.9), $H16)), (NOT((AND(EK16=TRUE, EL16=""Yes"")))), EJ16)"),17.0)</f>
        <v>17</v>
      </c>
      <c r="ES16" s="64" t="b">
        <v>0</v>
      </c>
      <c r="ET16" s="65"/>
      <c r="EU16" s="65"/>
      <c r="EV16" s="65" t="str">
        <f t="shared" si="136"/>
        <v/>
      </c>
      <c r="EW16" s="66"/>
      <c r="EX16" s="53">
        <f t="shared" ref="EX16:EY16" si="146">IFERROR(EP16/2,EP16)</f>
        <v>2</v>
      </c>
      <c r="EY16" s="53">
        <f t="shared" si="146"/>
        <v>6</v>
      </c>
      <c r="EZ16" s="53">
        <f t="shared" si="138"/>
        <v>17</v>
      </c>
      <c r="FA16" s="67"/>
      <c r="FB16" s="86"/>
      <c r="FC16" s="57"/>
    </row>
    <row r="17" outlineLevel="1">
      <c r="A17" s="81" t="s">
        <v>47</v>
      </c>
      <c r="B17" s="58"/>
      <c r="C17" s="82">
        <v>4.0</v>
      </c>
      <c r="D17" s="83">
        <v>6.0</v>
      </c>
      <c r="E17" s="82">
        <v>12.0</v>
      </c>
      <c r="F17" s="83">
        <v>20.0</v>
      </c>
      <c r="G17" s="83">
        <v>10.0</v>
      </c>
      <c r="H17" s="84"/>
      <c r="I17" s="85"/>
      <c r="J17" s="59"/>
      <c r="K17" s="39">
        <f t="shared" si="82"/>
        <v>4</v>
      </c>
      <c r="L17" s="40">
        <f t="shared" si="83"/>
        <v>12</v>
      </c>
      <c r="M17" s="40">
        <f t="shared" si="84"/>
        <v>10</v>
      </c>
      <c r="N17" s="41" t="b">
        <v>0</v>
      </c>
      <c r="O17" s="42"/>
      <c r="P17" s="43"/>
      <c r="Q17" s="42" t="str">
        <f t="shared" si="85"/>
        <v/>
      </c>
      <c r="R17" s="60"/>
      <c r="S17" s="39">
        <f t="shared" si="86"/>
        <v>4</v>
      </c>
      <c r="T17" s="46">
        <f t="shared" si="87"/>
        <v>12</v>
      </c>
      <c r="U17" s="40">
        <f>IFERROR(__xludf.DUMMYFUNCTION("IFS((AND(N17=TRUE, O17=""Yes"")), (IFS(ISBLANK(Q17), M17, Q17=""Novice 1"", CEILING((M17*1.05), $H17), Q17=""Novice 2"", CEILING((M17*1.025), $H17), Q17=""Novice 3"", M17+$H17, Q17=""Intermediate 2"", (IF((ISBETWEEN(((((F17-E17)/2))+L17), E17, F17)), M17,"&amp;" M17+$H17)), Q17=""Intermediate 1"", (IF((ISBETWEEN((L17-((F17-E17)/2)), E17, F17)), M17+$H17, (FLOOR((M17*0.9875), $H17)))), Q17=""Advanced 2"", (IF(AND(((K17+((D17-C17)/2))&gt;D17), ((L17+((F17-E17)/2))&gt;F17)), M17+$H17, (M17))), Q17=""Advanced 1"", (IFS(T1"&amp;"7&lt;L17, M17+$H17, T17=L17, (M17), T17&gt;L17, (FLOOR((M17*0.9875), $H17)))))), (AND(F17=TRUE, G17=""No"", N17=TRUE, O17=""No"")), (FLOOR((M17*0.9), $H17)), (NOT((AND(N17=TRUE, O17=""Yes"")))), M17)"),10.0)</f>
        <v>10</v>
      </c>
      <c r="V17" s="41" t="b">
        <v>0</v>
      </c>
      <c r="W17" s="47"/>
      <c r="X17" s="47"/>
      <c r="Y17" s="47" t="str">
        <f t="shared" si="88"/>
        <v/>
      </c>
      <c r="Z17" s="60"/>
      <c r="AA17" s="39">
        <f t="shared" si="89"/>
        <v>4</v>
      </c>
      <c r="AB17" s="46">
        <f t="shared" si="90"/>
        <v>12</v>
      </c>
      <c r="AC17" s="40">
        <f>IFERROR(__xludf.DUMMYFUNCTION("IFS((AND(V17=TRUE, W17=""Yes"")), (IFS(ISBLANK(Y17), U17, Y17=""Novice 1"", CEILING((U17*1.05), $H17), Y17=""Novice 2"", CEILING((U17*1.025), $H17), Y17=""Novice 3"", U17+$H17, Y17=""Intermediate 2"", (IF((ISBETWEEN(((((N17-M17)/2))+T17), M17, N17)), U17,"&amp;" U17+$H17)), Y17=""Intermediate 1"", (IF((ISBETWEEN((T17-((N17-M17)/2)), M17, N17)), U17+$H17, (FLOOR((U17*0.9875), $H17)))), Y17=""Advanced 2"", (IF(AND(((S17+((L17-K17)/2))&gt;L17), ((T17+((N17-M17)/2))&gt;N17)), U17+$H17, (U17))), Y17=""Advanced 1"", (IFS(AB"&amp;"17&lt;T17, U17+$H17, AB17=T17, (U17), AB17&gt;T17, (FLOOR((U17*0.9875), $H17)))))), (AND(N17=TRUE, O17=""No"", V17=TRUE, W17=""No"")), (FLOOR((U17*0.9), $H17)), (NOT((AND(V17=TRUE, W17=""Yes"")))), U17)"),10.0)</f>
        <v>10</v>
      </c>
      <c r="AD17" s="41" t="b">
        <v>0</v>
      </c>
      <c r="AE17" s="47"/>
      <c r="AF17" s="47"/>
      <c r="AG17" s="47" t="str">
        <f t="shared" si="91"/>
        <v/>
      </c>
      <c r="AH17" s="60"/>
      <c r="AI17" s="48">
        <f t="shared" si="92"/>
        <v>4</v>
      </c>
      <c r="AJ17" s="49">
        <f t="shared" si="93"/>
        <v>12</v>
      </c>
      <c r="AK17" s="50">
        <f>IFERROR(__xludf.DUMMYFUNCTION("IFS((AND(AD17=TRUE, AE17=""Yes"")), (IFS(ISBLANK(AG17), AC17, AG17=""Novice 1"", CEILING((AC17*1.05), $H17), AG17=""Novice 2"", CEILING((AC17*1.025), $H17), AG17=""Novice 3"", AC17+$H17, AG17=""Intermediate 2"", (IF((ISBETWEEN(((((V17-U17)/2))+AB17), U17,"&amp;" V17)), AC17, AC17+$H17)), AG17=""Intermediate 1"", (IF((ISBETWEEN((AB17-((V17-U17)/2)), U17, V17)), AC17+$H17, (FLOOR((AC17*0.9875), $H17)))), AG17=""Advanced 2"", (IF(AND(((AA17+((T17-S17)/2))&gt;T17), ((AB17+((V17-U17)/2))&gt;V17)), AC17+$H17, (AC17))), AG17"&amp;"=""Advanced 1"", (IFS(AJ17&lt;AB17, AC17+$H17, AJ17=AB17, (AC17), AJ17&gt;AB17, (FLOOR((AC17*0.9875), $H17)))))), (AND(V17=TRUE, W17=""No"", AD17=TRUE, AE17=""No"")), (FLOOR((AC17*0.9), $H17)), (NOT((AND(AD17=TRUE, AE17=""Yes"")))), AC17)"),10.0)</f>
        <v>10</v>
      </c>
      <c r="AL17" s="51" t="b">
        <v>0</v>
      </c>
      <c r="AM17" s="52"/>
      <c r="AN17" s="52"/>
      <c r="AO17" s="52" t="str">
        <f t="shared" si="94"/>
        <v/>
      </c>
      <c r="AP17" s="69"/>
      <c r="AQ17" s="53">
        <f t="shared" ref="AQ17:AR17" si="147">IFERROR(AI17/2,AI17)</f>
        <v>2</v>
      </c>
      <c r="AR17" s="53">
        <f t="shared" si="147"/>
        <v>6</v>
      </c>
      <c r="AS17" s="53">
        <f t="shared" si="96"/>
        <v>10</v>
      </c>
      <c r="AT17" s="67"/>
      <c r="AU17" s="60"/>
      <c r="AV17" s="39">
        <f t="shared" si="97"/>
        <v>4</v>
      </c>
      <c r="AW17" s="46">
        <f t="shared" si="98"/>
        <v>12</v>
      </c>
      <c r="AX17" s="40">
        <f>IFERROR(__xludf.DUMMYFUNCTION("IFS((AND(AL17=TRUE, AM17=""Yes"")), (IFS(ISBLANK(AO17), AK17, AO17=""Novice 1"", CEILING((AK17*1.05), $H17), AO17=""Novice 2"", CEILING((AK17*1.025), $H17), AO17=""Novice 3"", AK17+$H17, AO17=""Intermediate 2"", (IF((ISBETWEEN(((((AD17-AC17)/2))+AJ17), AC"&amp;"17, AD17)), AK17, AK17+$H17)), AO17=""Intermediate 1"", (IF((ISBETWEEN((AJ17-((AD17-AC17)/2)), AC17, AD17)), AK17+$H17, (FLOOR((AK17*0.9875), $H17)))), AO17=""Advanced 2"", (IF(AND(((AI17+((AB17-AA17)/2))&gt;AB17), ((AJ17+((AD17-AC17)/2))&gt;AD17)), AK17+$H17, "&amp;"(AK17))), AO17=""Advanced 1"", (IFS(AW17&lt;AJ17, AK17+$H17, AW17=AJ17, (AK17), AW17&gt;AJ17, (FLOOR((AK17*0.9875), $H17)))))), (AND(AD17=TRUE, AE17=""No"", AL17=TRUE, AM17=""No"")), (FLOOR((AK17*0.9), $H17)), (NOT((AND(AL17=TRUE, AM17=""Yes"")))), AK17)"),10.0)</f>
        <v>10</v>
      </c>
      <c r="AY17" s="41" t="b">
        <v>0</v>
      </c>
      <c r="AZ17" s="47"/>
      <c r="BA17" s="47"/>
      <c r="BB17" s="47" t="str">
        <f t="shared" si="99"/>
        <v/>
      </c>
      <c r="BC17" s="60"/>
      <c r="BD17" s="39">
        <f t="shared" si="100"/>
        <v>4</v>
      </c>
      <c r="BE17" s="46">
        <f t="shared" si="101"/>
        <v>12</v>
      </c>
      <c r="BF17" s="40">
        <f>IFERROR(__xludf.DUMMYFUNCTION("IFS((AND(AY17=TRUE, AZ17=""Yes"")), (IFS(ISBLANK(BB17), AX17, BB17=""Novice 1"", CEILING((AX17*1.05), $H17), BB17=""Novice 2"", CEILING((AX17*1.025), $H17), BB17=""Novice 3"", AX17+$H17, BB17=""Intermediate 2"", (IF((ISBETWEEN(((((AL17-AK17)/2))+AW17), AK"&amp;"17, AL17)), AX17, AX17+$H17)), BB17=""Intermediate 1"", (IF((ISBETWEEN((AW17-((AL17-AK17)/2)), AK17, AL17)), AX17+$H17, (FLOOR((AX17*0.9875), $H17)))), BB17=""Advanced 2"", (IF(AND(((AV17+((AJ17-AI17)/2))&gt;AJ17), ((AW17+((AL17-AK17)/2))&gt;AL17)), AX17+$H17, "&amp;"(AX17))), BB17=""Advanced 1"", (IFS(BE17&lt;AW17, AX17+$H17, BE17=AW17, (AX17), BE17&gt;AW17, (FLOOR((AX17*0.9875), $H17)))))), (AND(AL17=TRUE, AM17=""No"", AY17=TRUE, AZ17=""No"")), (FLOOR((AX17*0.9), $H17)), (NOT((AND(AY17=TRUE, AZ17=""Yes"")))), AX17)"),10.0)</f>
        <v>10</v>
      </c>
      <c r="BG17" s="41" t="b">
        <v>0</v>
      </c>
      <c r="BH17" s="47"/>
      <c r="BI17" s="47"/>
      <c r="BJ17" s="47" t="str">
        <f t="shared" si="102"/>
        <v/>
      </c>
      <c r="BK17" s="60"/>
      <c r="BL17" s="39">
        <f t="shared" si="103"/>
        <v>4</v>
      </c>
      <c r="BM17" s="46">
        <f t="shared" si="104"/>
        <v>12</v>
      </c>
      <c r="BN17" s="40">
        <f>IFERROR(__xludf.DUMMYFUNCTION("IFS((AND(BG17=TRUE, BH17=""Yes"")), (IFS(ISBLANK(BJ17), BF17, BJ17=""Novice 1"", CEILING((BF17*1.05), $H17), BJ17=""Novice 2"", CEILING((BF17*1.025), $H17), BJ17=""Novice 3"", BF17+$H17, BJ17=""Intermediate 2"", (IF((ISBETWEEN(((((AY17-AX17)/2))+BE17), AX"&amp;"17, AY17)), BF17, BF17+$H17)), BJ17=""Intermediate 1"", (IF((ISBETWEEN((BE17-((AY17-AX17)/2)), AX17, AY17)), BF17+$H17, (FLOOR((BF17*0.9875), $H17)))), BJ17=""Advanced 2"", (IF(AND(((BD17+((AW17-AV17)/2))&gt;AW17), ((BE17+((AY17-AX17)/2))&gt;AY17)), BF17+$H17, "&amp;"(BF17))), BJ17=""Advanced 1"", (IFS(BM17&lt;BE17, BF17+$H17, BM17=BE17, (BF17), BM17&gt;BE17, (FLOOR((BF17*0.9875), $H17)))))), (AND(AY17=TRUE, AZ17=""No"", BG17=TRUE, BH17=""No"")), (FLOOR((BF17*0.9), $H17)), (NOT((AND(BG17=TRUE, BH17=""Yes"")))), BF17)"),10.0)</f>
        <v>10</v>
      </c>
      <c r="BO17" s="41" t="b">
        <v>0</v>
      </c>
      <c r="BP17" s="47"/>
      <c r="BQ17" s="47"/>
      <c r="BR17" s="47" t="str">
        <f t="shared" si="105"/>
        <v/>
      </c>
      <c r="BS17" s="60"/>
      <c r="BT17" s="48">
        <f t="shared" si="106"/>
        <v>4</v>
      </c>
      <c r="BU17" s="49">
        <f t="shared" si="107"/>
        <v>12</v>
      </c>
      <c r="BV17" s="50">
        <f>IFERROR(__xludf.DUMMYFUNCTION("IFS((AND(BO17=TRUE, BP17=""Yes"")), (IFS(ISBLANK(BR17), BN17, BR17=""Novice 1"", CEILING((BN17*1.05), $H17), BR17=""Novice 2"", CEILING((BN17*1.025), $H17), BR17=""Novice 3"", BN17+$H17, BR17=""Intermediate 2"", (IF((ISBETWEEN(((((BG17-BF17)/2))+BM17), BF"&amp;"17, BG17)), BN17, BN17+$H17)), BR17=""Intermediate 1"", (IF((ISBETWEEN((BM17-((BG17-BF17)/2)), BF17, BG17)), BN17+$H17, (FLOOR((BN17*0.9875), $H17)))), BR17=""Advanced 2"", (IF(AND(((BL17+((BE17-BD17)/2))&gt;BE17), ((BM17+((BG17-BF17)/2))&gt;BG17)), BN17+$H17, "&amp;"(BN17))), BR17=""Advanced 1"", (IFS(BU17&lt;BM17, BN17+$H17, BU17=BM17, (BN17), BU17&gt;BM17, (FLOOR((BN17*0.9875), $H17)))))), (AND(BG17=TRUE, BH17=""No"", BO17=TRUE, BP17=""No"")), (FLOOR((BN17*0.9), $H17)), (NOT((AND(BO17=TRUE, BP17=""Yes"")))), BN17)"),10.0)</f>
        <v>10</v>
      </c>
      <c r="BW17" s="51" t="b">
        <v>0</v>
      </c>
      <c r="BX17" s="52"/>
      <c r="BY17" s="52"/>
      <c r="BZ17" s="52" t="str">
        <f t="shared" si="108"/>
        <v/>
      </c>
      <c r="CA17" s="69"/>
      <c r="CB17" s="53">
        <f t="shared" ref="CB17:CC17" si="148">IFERROR(BT17/2,BT17)</f>
        <v>2</v>
      </c>
      <c r="CC17" s="53">
        <f t="shared" si="148"/>
        <v>6</v>
      </c>
      <c r="CD17" s="53">
        <f t="shared" si="110"/>
        <v>10</v>
      </c>
      <c r="CE17" s="67"/>
      <c r="CF17" s="60"/>
      <c r="CG17" s="39">
        <f t="shared" si="111"/>
        <v>4</v>
      </c>
      <c r="CH17" s="46">
        <f t="shared" si="112"/>
        <v>12</v>
      </c>
      <c r="CI17" s="40">
        <f>IFERROR(__xludf.DUMMYFUNCTION("IFS((AND(BW17=TRUE, BX17=""Yes"")), (IFS(ISBLANK(BZ17), BV17, BZ17=""Novice 1"", CEILING((BV17*1.05), $H17), BZ17=""Novice 2"", CEILING((BV17*1.025), $H17), BZ17=""Novice 3"", BV17+$H17, BZ17=""Intermediate 2"", (IF((ISBETWEEN(((((BO17-BN17)/2))+BU17), BN"&amp;"17, BO17)), BV17, BV17+$H17)), BZ17=""Intermediate 1"", (IF((ISBETWEEN((BU17-((BO17-BN17)/2)), BN17, BO17)), BV17+$H17, (FLOOR((BV17*0.9875), $H17)))), BZ17=""Advanced 2"", (IF(AND(((BT17+((BM17-BL17)/2))&gt;BM17), ((BU17+((BO17-BN17)/2))&gt;BO17)), BV17+$H17, "&amp;"(BV17))), BZ17=""Advanced 1"", (IFS(CH17&lt;BU17, BV17+$H17, CH17=BU17, (BV17), CH17&gt;BU17, (FLOOR((BV17*0.9875), $H17)))))), (AND(BO17=TRUE, BP17=""No"", BW17=TRUE, BX17=""No"")), (FLOOR((BV17*0.9), $H17)), (NOT((AND(BW17=TRUE, BX17=""Yes"")))), BV17)"),10.0)</f>
        <v>10</v>
      </c>
      <c r="CJ17" s="41" t="b">
        <v>0</v>
      </c>
      <c r="CK17" s="47"/>
      <c r="CL17" s="47"/>
      <c r="CM17" s="47" t="str">
        <f t="shared" si="113"/>
        <v/>
      </c>
      <c r="CN17" s="60"/>
      <c r="CO17" s="39">
        <f t="shared" si="114"/>
        <v>4</v>
      </c>
      <c r="CP17" s="46">
        <f t="shared" si="115"/>
        <v>12</v>
      </c>
      <c r="CQ17" s="40">
        <f>IFERROR(__xludf.DUMMYFUNCTION("IFS((AND(CJ17=TRUE, CK17=""Yes"")), (IFS(ISBLANK(CM17), CI17, CM17=""Novice 1"", CEILING((CI17*1.05), $H17), CM17=""Novice 2"", CEILING((CI17*1.025), $H17), CM17=""Novice 3"", CI17+$H17, CM17=""Intermediate 2"", (IF((ISBETWEEN(((((BW17-BV17)/2))+CH17), BV"&amp;"17, BW17)), CI17, CI17+$H17)), CM17=""Intermediate 1"", (IF((ISBETWEEN((CH17-((BW17-BV17)/2)), BV17, BW17)), CI17+$H17, (FLOOR((CI17*0.9875), $H17)))), CM17=""Advanced 2"", (IF(AND(((CG17+((BU17-BT17)/2))&gt;BU17), ((CH17+((BW17-BV17)/2))&gt;BW17)), CI17+$H17, "&amp;"(CI17))), CM17=""Advanced 1"", (IFS(CP17&lt;CH17, CI17+$H17, CP17=CH17, (CI17), CP17&gt;CH17, (FLOOR((CI17*0.9875), $H17)))))), (AND(BW17=TRUE, BX17=""No"", CJ17=TRUE, CK17=""No"")), (FLOOR((CI17*0.9), $H17)), (NOT((AND(CJ17=TRUE, CK17=""Yes"")))), CI17)"),10.0)</f>
        <v>10</v>
      </c>
      <c r="CR17" s="41" t="b">
        <v>0</v>
      </c>
      <c r="CS17" s="47"/>
      <c r="CT17" s="47"/>
      <c r="CU17" s="47" t="str">
        <f t="shared" si="116"/>
        <v/>
      </c>
      <c r="CV17" s="60"/>
      <c r="CW17" s="39">
        <f t="shared" si="117"/>
        <v>4</v>
      </c>
      <c r="CX17" s="46">
        <f t="shared" si="118"/>
        <v>12</v>
      </c>
      <c r="CY17" s="40">
        <f>IFERROR(__xludf.DUMMYFUNCTION("IFS((AND(CR17=TRUE, CS17=""Yes"")), (IFS(ISBLANK(CU17), CQ17, CU17=""Novice 1"", CEILING((CQ17*1.05), $H17), CU17=""Novice 2"", CEILING((CQ17*1.025), $H17), CU17=""Novice 3"", CQ17+$H17, CU17=""Intermediate 2"", (IF((ISBETWEEN(((((CJ17-CI17)/2))+CP17), CI"&amp;"17, CJ17)), CQ17, CQ17+$H17)), CU17=""Intermediate 1"", (IF((ISBETWEEN((CP17-((CJ17-CI17)/2)), CI17, CJ17)), CQ17+$H17, (FLOOR((CQ17*0.9875), $H17)))), CU17=""Advanced 2"", (IF(AND(((CO17+((CH17-CG17)/2))&gt;CH17), ((CP17+((CJ17-CI17)/2))&gt;CJ17)), CQ17+$H17, "&amp;"(CQ17))), CU17=""Advanced 1"", (IFS(CX17&lt;CP17, CQ17+$H17, CX17=CP17, (CQ17), CX17&gt;CP17, (FLOOR((CQ17*0.9875), $H17)))))), (AND(CJ17=TRUE, CK17=""No"", CR17=TRUE, CS17=""No"")), (FLOOR((CQ17*0.9), $H17)), (NOT((AND(CR17=TRUE, CS17=""Yes"")))), CQ17)"),10.0)</f>
        <v>10</v>
      </c>
      <c r="CZ17" s="41" t="b">
        <v>0</v>
      </c>
      <c r="DA17" s="47"/>
      <c r="DB17" s="47"/>
      <c r="DC17" s="47" t="str">
        <f t="shared" si="119"/>
        <v/>
      </c>
      <c r="DD17" s="60"/>
      <c r="DE17" s="48">
        <f t="shared" si="120"/>
        <v>4</v>
      </c>
      <c r="DF17" s="49">
        <f t="shared" si="121"/>
        <v>12</v>
      </c>
      <c r="DG17" s="50">
        <f>IFERROR(__xludf.DUMMYFUNCTION("IFS((AND(CZ17=TRUE, DA17=""Yes"")), (IFS(ISBLANK(DC17), CY17, DC17=""Novice 1"", CEILING((CY17*1.05), $H17), DC17=""Novice 2"", CEILING((CY17*1.025), $H17), DC17=""Novice 3"", CY17+$H17, DC17=""Intermediate 2"", (IF((ISBETWEEN(((((CR17-CQ17)/2))+CX17), CQ"&amp;"17, CR17)), CY17, CY17+$H17)), DC17=""Intermediate 1"", (IF((ISBETWEEN((CX17-((CR17-CQ17)/2)), CQ17, CR17)), CY17+$H17, (FLOOR((CY17*0.9875), $H17)))), DC17=""Advanced 2"", (IF(AND(((CW17+((CP17-CO17)/2))&gt;CP17), ((CX17+((CR17-CQ17)/2))&gt;CR17)), CY17+$H17, "&amp;"(CY17))), DC17=""Advanced 1"", (IFS(DF17&lt;CX17, CY17+$H17, DF17=CX17, (CY17), DF17&gt;CX17, (FLOOR((CY17*0.9875), $H17)))))), (AND(CR17=TRUE, CS17=""No"", CZ17=TRUE, DA17=""No"")), (FLOOR((CY17*0.9), $H17)), (NOT((AND(CZ17=TRUE, DA17=""Yes"")))), CY17)"),10.0)</f>
        <v>10</v>
      </c>
      <c r="DH17" s="51" t="b">
        <v>0</v>
      </c>
      <c r="DI17" s="52"/>
      <c r="DJ17" s="52"/>
      <c r="DK17" s="52" t="str">
        <f t="shared" si="122"/>
        <v/>
      </c>
      <c r="DL17" s="69"/>
      <c r="DM17" s="53">
        <f t="shared" ref="DM17:DN17" si="149">IFERROR(DE17/2,DE17)</f>
        <v>2</v>
      </c>
      <c r="DN17" s="53">
        <f t="shared" si="149"/>
        <v>6</v>
      </c>
      <c r="DO17" s="53">
        <f t="shared" si="124"/>
        <v>10</v>
      </c>
      <c r="DP17" s="67"/>
      <c r="DQ17" s="60"/>
      <c r="DR17" s="39">
        <f t="shared" si="125"/>
        <v>4</v>
      </c>
      <c r="DS17" s="46">
        <f t="shared" si="126"/>
        <v>12</v>
      </c>
      <c r="DT17" s="40">
        <f>IFERROR(__xludf.DUMMYFUNCTION("IFS((AND(DH17=TRUE, DI17=""Yes"")), (IFS(ISBLANK(DK17), DG17, DK17=""Novice 1"", CEILING((DG17*1.05), $H17), DK17=""Novice 2"", CEILING((DG17*1.025), $H17), DK17=""Novice 3"", DG17+$H17, DK17=""Intermediate 2"", (IF((ISBETWEEN(((((CZ17-CY17)/2))+DF17), CY"&amp;"17, CZ17)), DG17, DG17+$H17)), DK17=""Intermediate 1"", (IF((ISBETWEEN((DF17-((CZ17-CY17)/2)), CY17, CZ17)), DG17+$H17, (FLOOR((DG17*0.9875), $H17)))), DK17=""Advanced 2"", (IF(AND(((DE17+((CX17-CW17)/2))&gt;CX17), ((DF17+((CZ17-CY17)/2))&gt;CZ17)), DG17+$H17, "&amp;"(DG17))), DK17=""Advanced 1"", (IFS(DS17&lt;DF17, DG17+$H17, DS17=DF17, (DG17), DS17&gt;DF17, (FLOOR((DG17*0.9875), $H17)))))), (AND(CZ17=TRUE, DA17=""No"", DH17=TRUE, DI17=""No"")), (FLOOR((DG17*0.9), $H17)), (NOT((AND(DH17=TRUE, DI17=""Yes"")))), DG17)"),10.0)</f>
        <v>10</v>
      </c>
      <c r="DU17" s="41" t="b">
        <v>0</v>
      </c>
      <c r="DV17" s="47"/>
      <c r="DW17" s="47"/>
      <c r="DX17" s="47" t="str">
        <f t="shared" si="127"/>
        <v/>
      </c>
      <c r="DY17" s="60"/>
      <c r="DZ17" s="39">
        <f t="shared" si="128"/>
        <v>4</v>
      </c>
      <c r="EA17" s="46">
        <f t="shared" si="129"/>
        <v>12</v>
      </c>
      <c r="EB17" s="40">
        <f>IFERROR(__xludf.DUMMYFUNCTION("IFS((AND(DU17=TRUE, DV17=""Yes"")), (IFS(ISBLANK(DX17), DT17, DX17=""Novice 1"", CEILING((DT17*1.05), $H17), DX17=""Novice 2"", CEILING((DT17*1.025), $H17), DX17=""Novice 3"", DT17+$H17, DX17=""Intermediate 2"", (IF((ISBETWEEN(((((DH17-DG17)/2))+DS17), DG"&amp;"17, DH17)), DT17, DT17+$H17)), DX17=""Intermediate 1"", (IF((ISBETWEEN((DS17-((DH17-DG17)/2)), DG17, DH17)), DT17+$H17, (FLOOR((DT17*0.9875), $H17)))), DX17=""Advanced 2"", (IF(AND(((DR17+((DF17-DE17)/2))&gt;DF17), ((DS17+((DH17-DG17)/2))&gt;DH17)), DT17+$H17, "&amp;"(DT17))), DX17=""Advanced 1"", (IFS(EA17&lt;DS17, DT17+$H17, EA17=DS17, (DT17), EA17&gt;DS17, (FLOOR((DT17*0.9875), $H17)))))), (AND(DH17=TRUE, DI17=""No"", DU17=TRUE, DV17=""No"")), (FLOOR((DT17*0.9), $H17)), (NOT((AND(DU17=TRUE, DV17=""Yes"")))), DT17)"),10.0)</f>
        <v>10</v>
      </c>
      <c r="EC17" s="41" t="b">
        <v>0</v>
      </c>
      <c r="ED17" s="47"/>
      <c r="EE17" s="47"/>
      <c r="EF17" s="47" t="str">
        <f t="shared" si="130"/>
        <v/>
      </c>
      <c r="EG17" s="60"/>
      <c r="EH17" s="39">
        <f t="shared" si="131"/>
        <v>4</v>
      </c>
      <c r="EI17" s="46">
        <f t="shared" si="132"/>
        <v>12</v>
      </c>
      <c r="EJ17" s="40">
        <f>IFERROR(__xludf.DUMMYFUNCTION("IFS((AND(EC17=TRUE, ED17=""Yes"")), (IFS(ISBLANK(EF17), EB17, EF17=""Novice 1"", CEILING((EB17*1.05), $H17), EF17=""Novice 2"", CEILING((EB17*1.025), $H17), EF17=""Novice 3"", EB17+$H17, EF17=""Intermediate 2"", (IF((ISBETWEEN(((((DU17-DT17)/2))+EA17), DT"&amp;"17, DU17)), EB17, EB17+$H17)), EF17=""Intermediate 1"", (IF((ISBETWEEN((EA17-((DU17-DT17)/2)), DT17, DU17)), EB17+$H17, (FLOOR((EB17*0.9875), $H17)))), EF17=""Advanced 2"", (IF(AND(((DZ17+((DS17-DR17)/2))&gt;DS17), ((EA17+((DU17-DT17)/2))&gt;DU17)), EB17+$H17, "&amp;"(EB17))), EF17=""Advanced 1"", (IFS(EI17&lt;EA17, EB17+$H17, EI17=EA17, (EB17), EI17&gt;EA17, (FLOOR((EB17*0.9875), $H17)))))), (AND(DU17=TRUE, DV17=""No"", EC17=TRUE, ED17=""No"")), (FLOOR((EB17*0.9), $H17)), (NOT((AND(EC17=TRUE, ED17=""Yes"")))), EB17)"),10.0)</f>
        <v>10</v>
      </c>
      <c r="EK17" s="41" t="b">
        <v>0</v>
      </c>
      <c r="EL17" s="47"/>
      <c r="EM17" s="47"/>
      <c r="EN17" s="47" t="str">
        <f t="shared" si="133"/>
        <v/>
      </c>
      <c r="EO17" s="60"/>
      <c r="EP17" s="48">
        <f t="shared" si="134"/>
        <v>4</v>
      </c>
      <c r="EQ17" s="49">
        <f t="shared" si="135"/>
        <v>12</v>
      </c>
      <c r="ER17" s="50">
        <f>IFERROR(__xludf.DUMMYFUNCTION("IFS((AND(EK17=TRUE, EL17=""Yes"")), (IFS(ISBLANK(EN17), EJ17, EN17=""Novice 1"", CEILING((EJ17*1.05), $H17), EN17=""Novice 2"", CEILING((EJ17*1.025), $H17), EN17=""Novice 3"", EJ17+$H17, EN17=""Intermediate 2"", (IF((ISBETWEEN(((((EC17-EB17)/2))+EI17), EB"&amp;"17, EC17)), EJ17, EJ17+$H17)), EN17=""Intermediate 1"", (IF((ISBETWEEN((EI17-((EC17-EB17)/2)), EB17, EC17)), EJ17+$H17, (FLOOR((EJ17*0.9875), $H17)))), EN17=""Advanced 2"", (IF(AND(((EH17+((EA17-DZ17)/2))&gt;EA17), ((EI17+((EC17-EB17)/2))&gt;EC17)), EJ17+$H17, "&amp;"(EJ17))), EN17=""Advanced 1"", (IFS(EQ17&lt;EI17, EJ17+$H17, EQ17=EI17, (EJ17), EQ17&gt;EI17, (FLOOR((EJ17*0.9875), $H17)))))), (AND(EC17=TRUE, ED17=""No"", EK17=TRUE, EL17=""No"")), (FLOOR((EJ17*0.9), $H17)), (NOT((AND(EK17=TRUE, EL17=""Yes"")))), EJ17)"),10.0)</f>
        <v>10</v>
      </c>
      <c r="ES17" s="51" t="b">
        <v>0</v>
      </c>
      <c r="ET17" s="52"/>
      <c r="EU17" s="52"/>
      <c r="EV17" s="52" t="str">
        <f t="shared" si="136"/>
        <v/>
      </c>
      <c r="EW17" s="69"/>
      <c r="EX17" s="53">
        <f t="shared" ref="EX17:EY17" si="150">IFERROR(EP17/2,EP17)</f>
        <v>2</v>
      </c>
      <c r="EY17" s="53">
        <f t="shared" si="150"/>
        <v>6</v>
      </c>
      <c r="EZ17" s="53">
        <f t="shared" si="138"/>
        <v>10</v>
      </c>
      <c r="FA17" s="67"/>
      <c r="FB17" s="86"/>
      <c r="FC17" s="57"/>
    </row>
    <row r="18" outlineLevel="1">
      <c r="A18" s="81" t="s">
        <v>48</v>
      </c>
      <c r="B18" s="14"/>
      <c r="C18" s="82">
        <v>4.0</v>
      </c>
      <c r="D18" s="83">
        <v>4.0</v>
      </c>
      <c r="E18" s="82">
        <v>8.0</v>
      </c>
      <c r="F18" s="83">
        <v>12.0</v>
      </c>
      <c r="G18" s="83">
        <v>15.0</v>
      </c>
      <c r="H18" s="84"/>
      <c r="I18" s="85"/>
      <c r="J18" s="70"/>
      <c r="K18" s="39">
        <f t="shared" si="82"/>
        <v>4</v>
      </c>
      <c r="L18" s="40">
        <f t="shared" si="83"/>
        <v>8</v>
      </c>
      <c r="M18" s="40">
        <f t="shared" si="84"/>
        <v>15</v>
      </c>
      <c r="N18" s="41" t="b">
        <v>0</v>
      </c>
      <c r="O18" s="42"/>
      <c r="P18" s="43"/>
      <c r="Q18" s="42" t="str">
        <f t="shared" si="85"/>
        <v/>
      </c>
      <c r="R18" s="71"/>
      <c r="S18" s="39">
        <f t="shared" si="86"/>
        <v>4</v>
      </c>
      <c r="T18" s="46">
        <f t="shared" si="87"/>
        <v>8</v>
      </c>
      <c r="U18" s="40">
        <f>IFERROR(__xludf.DUMMYFUNCTION("IFS((AND(N18=TRUE, O18=""Yes"")), (IFS(ISBLANK(Q18), M18, Q18=""Novice 1"", CEILING((M18*1.05), $H18), Q18=""Novice 2"", CEILING((M18*1.025), $H18), Q18=""Novice 3"", M18+$H18, Q18=""Intermediate 2"", (IF((ISBETWEEN(((((F18-E18)/2))+L18), E18, F18)), M18,"&amp;" M18+$H18)), Q18=""Intermediate 1"", (IF((ISBETWEEN((L18-((F18-E18)/2)), E18, F18)), M18+$H18, (FLOOR((M18*0.9875), $H18)))), Q18=""Advanced 2"", (IF(AND(((K18+((D18-C18)/2))&gt;D18), ((L18+((F18-E18)/2))&gt;F18)), M18+$H18, (M18))), Q18=""Advanced 1"", (IFS(T1"&amp;"8&lt;L18, M18+$H18, T18=L18, (M18), T18&gt;L18, (FLOOR((M18*0.9875), $H18)))))), (AND(F18=TRUE, G18=""No"", N18=TRUE, O18=""No"")), (FLOOR((M18*0.9), $H18)), (NOT((AND(N18=TRUE, O18=""Yes"")))), M18)"),15.0)</f>
        <v>15</v>
      </c>
      <c r="V18" s="41" t="b">
        <v>0</v>
      </c>
      <c r="W18" s="47"/>
      <c r="X18" s="47"/>
      <c r="Y18" s="47" t="str">
        <f t="shared" si="88"/>
        <v/>
      </c>
      <c r="Z18" s="71"/>
      <c r="AA18" s="39">
        <f t="shared" si="89"/>
        <v>4</v>
      </c>
      <c r="AB18" s="46">
        <f t="shared" si="90"/>
        <v>8</v>
      </c>
      <c r="AC18" s="40">
        <f>IFERROR(__xludf.DUMMYFUNCTION("IFS((AND(V18=TRUE, W18=""Yes"")), (IFS(ISBLANK(Y18), U18, Y18=""Novice 1"", CEILING((U18*1.05), $H18), Y18=""Novice 2"", CEILING((U18*1.025), $H18), Y18=""Novice 3"", U18+$H18, Y18=""Intermediate 2"", (IF((ISBETWEEN(((((N18-M18)/2))+T18), M18, N18)), U18,"&amp;" U18+$H18)), Y18=""Intermediate 1"", (IF((ISBETWEEN((T18-((N18-M18)/2)), M18, N18)), U18+$H18, (FLOOR((U18*0.9875), $H18)))), Y18=""Advanced 2"", (IF(AND(((S18+((L18-K18)/2))&gt;L18), ((T18+((N18-M18)/2))&gt;N18)), U18+$H18, (U18))), Y18=""Advanced 1"", (IFS(AB"&amp;"18&lt;T18, U18+$H18, AB18=T18, (U18), AB18&gt;T18, (FLOOR((U18*0.9875), $H18)))))), (AND(N18=TRUE, O18=""No"", V18=TRUE, W18=""No"")), (FLOOR((U18*0.9), $H18)), (NOT((AND(V18=TRUE, W18=""Yes"")))), U18)"),15.0)</f>
        <v>15</v>
      </c>
      <c r="AD18" s="41" t="b">
        <v>0</v>
      </c>
      <c r="AE18" s="47"/>
      <c r="AF18" s="47"/>
      <c r="AG18" s="47" t="str">
        <f t="shared" si="91"/>
        <v/>
      </c>
      <c r="AH18" s="71"/>
      <c r="AI18" s="61">
        <f t="shared" si="92"/>
        <v>4</v>
      </c>
      <c r="AJ18" s="62">
        <f t="shared" si="93"/>
        <v>8</v>
      </c>
      <c r="AK18" s="63">
        <f>IFERROR(__xludf.DUMMYFUNCTION("IFS((AND(AD18=TRUE, AE18=""Yes"")), (IFS(ISBLANK(AG18), AC18, AG18=""Novice 1"", CEILING((AC18*1.05), $H18), AG18=""Novice 2"", CEILING((AC18*1.025), $H18), AG18=""Novice 3"", AC18+$H18, AG18=""Intermediate 2"", (IF((ISBETWEEN(((((V18-U18)/2))+AB18), U18,"&amp;" V18)), AC18, AC18+$H18)), AG18=""Intermediate 1"", (IF((ISBETWEEN((AB18-((V18-U18)/2)), U18, V18)), AC18+$H18, (FLOOR((AC18*0.9875), $H18)))), AG18=""Advanced 2"", (IF(AND(((AA18+((T18-S18)/2))&gt;T18), ((AB18+((V18-U18)/2))&gt;V18)), AC18+$H18, (AC18))), AG18"&amp;"=""Advanced 1"", (IFS(AJ18&lt;AB18, AC18+$H18, AJ18=AB18, (AC18), AJ18&gt;AB18, (FLOOR((AC18*0.9875), $H18)))))), (AND(V18=TRUE, W18=""No"", AD18=TRUE, AE18=""No"")), (FLOOR((AC18*0.9), $H18)), (NOT((AND(AD18=TRUE, AE18=""Yes"")))), AC18)"),15.0)</f>
        <v>15</v>
      </c>
      <c r="AL18" s="64" t="b">
        <v>0</v>
      </c>
      <c r="AM18" s="65"/>
      <c r="AN18" s="65"/>
      <c r="AO18" s="65" t="str">
        <f t="shared" si="94"/>
        <v/>
      </c>
      <c r="AP18" s="72"/>
      <c r="AQ18" s="53">
        <f t="shared" ref="AQ18:AR18" si="151">IFERROR(AI18/2,AI18)</f>
        <v>2</v>
      </c>
      <c r="AR18" s="53">
        <f t="shared" si="151"/>
        <v>4</v>
      </c>
      <c r="AS18" s="53">
        <f t="shared" si="96"/>
        <v>15</v>
      </c>
      <c r="AT18" s="67"/>
      <c r="AU18" s="71"/>
      <c r="AV18" s="39">
        <f t="shared" si="97"/>
        <v>4</v>
      </c>
      <c r="AW18" s="46">
        <f t="shared" si="98"/>
        <v>8</v>
      </c>
      <c r="AX18" s="40">
        <f>IFERROR(__xludf.DUMMYFUNCTION("IFS((AND(AL18=TRUE, AM18=""Yes"")), (IFS(ISBLANK(AO18), AK18, AO18=""Novice 1"", CEILING((AK18*1.05), $H18), AO18=""Novice 2"", CEILING((AK18*1.025), $H18), AO18=""Novice 3"", AK18+$H18, AO18=""Intermediate 2"", (IF((ISBETWEEN(((((AD18-AC18)/2))+AJ18), AC"&amp;"18, AD18)), AK18, AK18+$H18)), AO18=""Intermediate 1"", (IF((ISBETWEEN((AJ18-((AD18-AC18)/2)), AC18, AD18)), AK18+$H18, (FLOOR((AK18*0.9875), $H18)))), AO18=""Advanced 2"", (IF(AND(((AI18+((AB18-AA18)/2))&gt;AB18), ((AJ18+((AD18-AC18)/2))&gt;AD18)), AK18+$H18, "&amp;"(AK18))), AO18=""Advanced 1"", (IFS(AW18&lt;AJ18, AK18+$H18, AW18=AJ18, (AK18), AW18&gt;AJ18, (FLOOR((AK18*0.9875), $H18)))))), (AND(AD18=TRUE, AE18=""No"", AL18=TRUE, AM18=""No"")), (FLOOR((AK18*0.9), $H18)), (NOT((AND(AL18=TRUE, AM18=""Yes"")))), AK18)"),15.0)</f>
        <v>15</v>
      </c>
      <c r="AY18" s="41" t="b">
        <v>0</v>
      </c>
      <c r="AZ18" s="47"/>
      <c r="BA18" s="47"/>
      <c r="BB18" s="47" t="str">
        <f t="shared" si="99"/>
        <v/>
      </c>
      <c r="BC18" s="71"/>
      <c r="BD18" s="39">
        <f t="shared" si="100"/>
        <v>4</v>
      </c>
      <c r="BE18" s="46">
        <f t="shared" si="101"/>
        <v>8</v>
      </c>
      <c r="BF18" s="40">
        <f>IFERROR(__xludf.DUMMYFUNCTION("IFS((AND(AY18=TRUE, AZ18=""Yes"")), (IFS(ISBLANK(BB18), AX18, BB18=""Novice 1"", CEILING((AX18*1.05), $H18), BB18=""Novice 2"", CEILING((AX18*1.025), $H18), BB18=""Novice 3"", AX18+$H18, BB18=""Intermediate 2"", (IF((ISBETWEEN(((((AL18-AK18)/2))+AW18), AK"&amp;"18, AL18)), AX18, AX18+$H18)), BB18=""Intermediate 1"", (IF((ISBETWEEN((AW18-((AL18-AK18)/2)), AK18, AL18)), AX18+$H18, (FLOOR((AX18*0.9875), $H18)))), BB18=""Advanced 2"", (IF(AND(((AV18+((AJ18-AI18)/2))&gt;AJ18), ((AW18+((AL18-AK18)/2))&gt;AL18)), AX18+$H18, "&amp;"(AX18))), BB18=""Advanced 1"", (IFS(BE18&lt;AW18, AX18+$H18, BE18=AW18, (AX18), BE18&gt;AW18, (FLOOR((AX18*0.9875), $H18)))))), (AND(AL18=TRUE, AM18=""No"", AY18=TRUE, AZ18=""No"")), (FLOOR((AX18*0.9), $H18)), (NOT((AND(AY18=TRUE, AZ18=""Yes"")))), AX18)"),15.0)</f>
        <v>15</v>
      </c>
      <c r="BG18" s="41" t="b">
        <v>0</v>
      </c>
      <c r="BH18" s="47"/>
      <c r="BI18" s="47"/>
      <c r="BJ18" s="47" t="str">
        <f t="shared" si="102"/>
        <v/>
      </c>
      <c r="BK18" s="71"/>
      <c r="BL18" s="39">
        <f t="shared" si="103"/>
        <v>4</v>
      </c>
      <c r="BM18" s="46">
        <f t="shared" si="104"/>
        <v>8</v>
      </c>
      <c r="BN18" s="40">
        <f>IFERROR(__xludf.DUMMYFUNCTION("IFS((AND(BG18=TRUE, BH18=""Yes"")), (IFS(ISBLANK(BJ18), BF18, BJ18=""Novice 1"", CEILING((BF18*1.05), $H18), BJ18=""Novice 2"", CEILING((BF18*1.025), $H18), BJ18=""Novice 3"", BF18+$H18, BJ18=""Intermediate 2"", (IF((ISBETWEEN(((((AY18-AX18)/2))+BE18), AX"&amp;"18, AY18)), BF18, BF18+$H18)), BJ18=""Intermediate 1"", (IF((ISBETWEEN((BE18-((AY18-AX18)/2)), AX18, AY18)), BF18+$H18, (FLOOR((BF18*0.9875), $H18)))), BJ18=""Advanced 2"", (IF(AND(((BD18+((AW18-AV18)/2))&gt;AW18), ((BE18+((AY18-AX18)/2))&gt;AY18)), BF18+$H18, "&amp;"(BF18))), BJ18=""Advanced 1"", (IFS(BM18&lt;BE18, BF18+$H18, BM18=BE18, (BF18), BM18&gt;BE18, (FLOOR((BF18*0.9875), $H18)))))), (AND(AY18=TRUE, AZ18=""No"", BG18=TRUE, BH18=""No"")), (FLOOR((BF18*0.9), $H18)), (NOT((AND(BG18=TRUE, BH18=""Yes"")))), BF18)"),15.0)</f>
        <v>15</v>
      </c>
      <c r="BO18" s="41" t="b">
        <v>0</v>
      </c>
      <c r="BP18" s="47"/>
      <c r="BQ18" s="47"/>
      <c r="BR18" s="47" t="str">
        <f t="shared" si="105"/>
        <v/>
      </c>
      <c r="BS18" s="71"/>
      <c r="BT18" s="61">
        <f t="shared" si="106"/>
        <v>4</v>
      </c>
      <c r="BU18" s="62">
        <f t="shared" si="107"/>
        <v>8</v>
      </c>
      <c r="BV18" s="63">
        <f>IFERROR(__xludf.DUMMYFUNCTION("IFS((AND(BO18=TRUE, BP18=""Yes"")), (IFS(ISBLANK(BR18), BN18, BR18=""Novice 1"", CEILING((BN18*1.05), $H18), BR18=""Novice 2"", CEILING((BN18*1.025), $H18), BR18=""Novice 3"", BN18+$H18, BR18=""Intermediate 2"", (IF((ISBETWEEN(((((BG18-BF18)/2))+BM18), BF"&amp;"18, BG18)), BN18, BN18+$H18)), BR18=""Intermediate 1"", (IF((ISBETWEEN((BM18-((BG18-BF18)/2)), BF18, BG18)), BN18+$H18, (FLOOR((BN18*0.9875), $H18)))), BR18=""Advanced 2"", (IF(AND(((BL18+((BE18-BD18)/2))&gt;BE18), ((BM18+((BG18-BF18)/2))&gt;BG18)), BN18+$H18, "&amp;"(BN18))), BR18=""Advanced 1"", (IFS(BU18&lt;BM18, BN18+$H18, BU18=BM18, (BN18), BU18&gt;BM18, (FLOOR((BN18*0.9875), $H18)))))), (AND(BG18=TRUE, BH18=""No"", BO18=TRUE, BP18=""No"")), (FLOOR((BN18*0.9), $H18)), (NOT((AND(BO18=TRUE, BP18=""Yes"")))), BN18)"),15.0)</f>
        <v>15</v>
      </c>
      <c r="BW18" s="64" t="b">
        <v>0</v>
      </c>
      <c r="BX18" s="65"/>
      <c r="BY18" s="65"/>
      <c r="BZ18" s="65" t="str">
        <f t="shared" si="108"/>
        <v/>
      </c>
      <c r="CA18" s="72"/>
      <c r="CB18" s="53">
        <f t="shared" ref="CB18:CC18" si="152">IFERROR(BT18/2,BT18)</f>
        <v>2</v>
      </c>
      <c r="CC18" s="53">
        <f t="shared" si="152"/>
        <v>4</v>
      </c>
      <c r="CD18" s="53">
        <f t="shared" si="110"/>
        <v>15</v>
      </c>
      <c r="CE18" s="67"/>
      <c r="CF18" s="71"/>
      <c r="CG18" s="39">
        <f t="shared" si="111"/>
        <v>4</v>
      </c>
      <c r="CH18" s="46">
        <f t="shared" si="112"/>
        <v>8</v>
      </c>
      <c r="CI18" s="40">
        <f>IFERROR(__xludf.DUMMYFUNCTION("IFS((AND(BW18=TRUE, BX18=""Yes"")), (IFS(ISBLANK(BZ18), BV18, BZ18=""Novice 1"", CEILING((BV18*1.05), $H18), BZ18=""Novice 2"", CEILING((BV18*1.025), $H18), BZ18=""Novice 3"", BV18+$H18, BZ18=""Intermediate 2"", (IF((ISBETWEEN(((((BO18-BN18)/2))+BU18), BN"&amp;"18, BO18)), BV18, BV18+$H18)), BZ18=""Intermediate 1"", (IF((ISBETWEEN((BU18-((BO18-BN18)/2)), BN18, BO18)), BV18+$H18, (FLOOR((BV18*0.9875), $H18)))), BZ18=""Advanced 2"", (IF(AND(((BT18+((BM18-BL18)/2))&gt;BM18), ((BU18+((BO18-BN18)/2))&gt;BO18)), BV18+$H18, "&amp;"(BV18))), BZ18=""Advanced 1"", (IFS(CH18&lt;BU18, BV18+$H18, CH18=BU18, (BV18), CH18&gt;BU18, (FLOOR((BV18*0.9875), $H18)))))), (AND(BO18=TRUE, BP18=""No"", BW18=TRUE, BX18=""No"")), (FLOOR((BV18*0.9), $H18)), (NOT((AND(BW18=TRUE, BX18=""Yes"")))), BV18)"),15.0)</f>
        <v>15</v>
      </c>
      <c r="CJ18" s="41" t="b">
        <v>0</v>
      </c>
      <c r="CK18" s="47"/>
      <c r="CL18" s="47"/>
      <c r="CM18" s="47" t="str">
        <f t="shared" si="113"/>
        <v/>
      </c>
      <c r="CN18" s="71"/>
      <c r="CO18" s="39">
        <f t="shared" si="114"/>
        <v>4</v>
      </c>
      <c r="CP18" s="46">
        <f t="shared" si="115"/>
        <v>8</v>
      </c>
      <c r="CQ18" s="40">
        <f>IFERROR(__xludf.DUMMYFUNCTION("IFS((AND(CJ18=TRUE, CK18=""Yes"")), (IFS(ISBLANK(CM18), CI18, CM18=""Novice 1"", CEILING((CI18*1.05), $H18), CM18=""Novice 2"", CEILING((CI18*1.025), $H18), CM18=""Novice 3"", CI18+$H18, CM18=""Intermediate 2"", (IF((ISBETWEEN(((((BW18-BV18)/2))+CH18), BV"&amp;"18, BW18)), CI18, CI18+$H18)), CM18=""Intermediate 1"", (IF((ISBETWEEN((CH18-((BW18-BV18)/2)), BV18, BW18)), CI18+$H18, (FLOOR((CI18*0.9875), $H18)))), CM18=""Advanced 2"", (IF(AND(((CG18+((BU18-BT18)/2))&gt;BU18), ((CH18+((BW18-BV18)/2))&gt;BW18)), CI18+$H18, "&amp;"(CI18))), CM18=""Advanced 1"", (IFS(CP18&lt;CH18, CI18+$H18, CP18=CH18, (CI18), CP18&gt;CH18, (FLOOR((CI18*0.9875), $H18)))))), (AND(BW18=TRUE, BX18=""No"", CJ18=TRUE, CK18=""No"")), (FLOOR((CI18*0.9), $H18)), (NOT((AND(CJ18=TRUE, CK18=""Yes"")))), CI18)"),15.0)</f>
        <v>15</v>
      </c>
      <c r="CR18" s="41" t="b">
        <v>0</v>
      </c>
      <c r="CS18" s="47"/>
      <c r="CT18" s="47"/>
      <c r="CU18" s="47" t="str">
        <f t="shared" si="116"/>
        <v/>
      </c>
      <c r="CV18" s="71"/>
      <c r="CW18" s="39">
        <f t="shared" si="117"/>
        <v>4</v>
      </c>
      <c r="CX18" s="46">
        <f t="shared" si="118"/>
        <v>8</v>
      </c>
      <c r="CY18" s="40">
        <f>IFERROR(__xludf.DUMMYFUNCTION("IFS((AND(CR18=TRUE, CS18=""Yes"")), (IFS(ISBLANK(CU18), CQ18, CU18=""Novice 1"", CEILING((CQ18*1.05), $H18), CU18=""Novice 2"", CEILING((CQ18*1.025), $H18), CU18=""Novice 3"", CQ18+$H18, CU18=""Intermediate 2"", (IF((ISBETWEEN(((((CJ18-CI18)/2))+CP18), CI"&amp;"18, CJ18)), CQ18, CQ18+$H18)), CU18=""Intermediate 1"", (IF((ISBETWEEN((CP18-((CJ18-CI18)/2)), CI18, CJ18)), CQ18+$H18, (FLOOR((CQ18*0.9875), $H18)))), CU18=""Advanced 2"", (IF(AND(((CO18+((CH18-CG18)/2))&gt;CH18), ((CP18+((CJ18-CI18)/2))&gt;CJ18)), CQ18+$H18, "&amp;"(CQ18))), CU18=""Advanced 1"", (IFS(CX18&lt;CP18, CQ18+$H18, CX18=CP18, (CQ18), CX18&gt;CP18, (FLOOR((CQ18*0.9875), $H18)))))), (AND(CJ18=TRUE, CK18=""No"", CR18=TRUE, CS18=""No"")), (FLOOR((CQ18*0.9), $H18)), (NOT((AND(CR18=TRUE, CS18=""Yes"")))), CQ18)"),15.0)</f>
        <v>15</v>
      </c>
      <c r="CZ18" s="41" t="b">
        <v>0</v>
      </c>
      <c r="DA18" s="47"/>
      <c r="DB18" s="47"/>
      <c r="DC18" s="47" t="str">
        <f t="shared" si="119"/>
        <v/>
      </c>
      <c r="DD18" s="71"/>
      <c r="DE18" s="61">
        <f t="shared" si="120"/>
        <v>4</v>
      </c>
      <c r="DF18" s="62">
        <f t="shared" si="121"/>
        <v>8</v>
      </c>
      <c r="DG18" s="63">
        <f>IFERROR(__xludf.DUMMYFUNCTION("IFS((AND(CZ18=TRUE, DA18=""Yes"")), (IFS(ISBLANK(DC18), CY18, DC18=""Novice 1"", CEILING((CY18*1.05), $H18), DC18=""Novice 2"", CEILING((CY18*1.025), $H18), DC18=""Novice 3"", CY18+$H18, DC18=""Intermediate 2"", (IF((ISBETWEEN(((((CR18-CQ18)/2))+CX18), CQ"&amp;"18, CR18)), CY18, CY18+$H18)), DC18=""Intermediate 1"", (IF((ISBETWEEN((CX18-((CR18-CQ18)/2)), CQ18, CR18)), CY18+$H18, (FLOOR((CY18*0.9875), $H18)))), DC18=""Advanced 2"", (IF(AND(((CW18+((CP18-CO18)/2))&gt;CP18), ((CX18+((CR18-CQ18)/2))&gt;CR18)), CY18+$H18, "&amp;"(CY18))), DC18=""Advanced 1"", (IFS(DF18&lt;CX18, CY18+$H18, DF18=CX18, (CY18), DF18&gt;CX18, (FLOOR((CY18*0.9875), $H18)))))), (AND(CR18=TRUE, CS18=""No"", CZ18=TRUE, DA18=""No"")), (FLOOR((CY18*0.9), $H18)), (NOT((AND(CZ18=TRUE, DA18=""Yes"")))), CY18)"),15.0)</f>
        <v>15</v>
      </c>
      <c r="DH18" s="64" t="b">
        <v>0</v>
      </c>
      <c r="DI18" s="65"/>
      <c r="DJ18" s="65"/>
      <c r="DK18" s="65" t="str">
        <f t="shared" si="122"/>
        <v/>
      </c>
      <c r="DL18" s="72"/>
      <c r="DM18" s="53">
        <f t="shared" ref="DM18:DN18" si="153">IFERROR(DE18/2,DE18)</f>
        <v>2</v>
      </c>
      <c r="DN18" s="53">
        <f t="shared" si="153"/>
        <v>4</v>
      </c>
      <c r="DO18" s="53">
        <f t="shared" si="124"/>
        <v>15</v>
      </c>
      <c r="DP18" s="67"/>
      <c r="DQ18" s="71"/>
      <c r="DR18" s="39">
        <f t="shared" si="125"/>
        <v>4</v>
      </c>
      <c r="DS18" s="46">
        <f t="shared" si="126"/>
        <v>8</v>
      </c>
      <c r="DT18" s="40">
        <f>IFERROR(__xludf.DUMMYFUNCTION("IFS((AND(DH18=TRUE, DI18=""Yes"")), (IFS(ISBLANK(DK18), DG18, DK18=""Novice 1"", CEILING((DG18*1.05), $H18), DK18=""Novice 2"", CEILING((DG18*1.025), $H18), DK18=""Novice 3"", DG18+$H18, DK18=""Intermediate 2"", (IF((ISBETWEEN(((((CZ18-CY18)/2))+DF18), CY"&amp;"18, CZ18)), DG18, DG18+$H18)), DK18=""Intermediate 1"", (IF((ISBETWEEN((DF18-((CZ18-CY18)/2)), CY18, CZ18)), DG18+$H18, (FLOOR((DG18*0.9875), $H18)))), DK18=""Advanced 2"", (IF(AND(((DE18+((CX18-CW18)/2))&gt;CX18), ((DF18+((CZ18-CY18)/2))&gt;CZ18)), DG18+$H18, "&amp;"(DG18))), DK18=""Advanced 1"", (IFS(DS18&lt;DF18, DG18+$H18, DS18=DF18, (DG18), DS18&gt;DF18, (FLOOR((DG18*0.9875), $H18)))))), (AND(CZ18=TRUE, DA18=""No"", DH18=TRUE, DI18=""No"")), (FLOOR((DG18*0.9), $H18)), (NOT((AND(DH18=TRUE, DI18=""Yes"")))), DG18)"),15.0)</f>
        <v>15</v>
      </c>
      <c r="DU18" s="41" t="b">
        <v>0</v>
      </c>
      <c r="DV18" s="47"/>
      <c r="DW18" s="47"/>
      <c r="DX18" s="47" t="str">
        <f t="shared" si="127"/>
        <v/>
      </c>
      <c r="DY18" s="71"/>
      <c r="DZ18" s="39">
        <f t="shared" si="128"/>
        <v>4</v>
      </c>
      <c r="EA18" s="46">
        <f t="shared" si="129"/>
        <v>8</v>
      </c>
      <c r="EB18" s="40">
        <f>IFERROR(__xludf.DUMMYFUNCTION("IFS((AND(DU18=TRUE, DV18=""Yes"")), (IFS(ISBLANK(DX18), DT18, DX18=""Novice 1"", CEILING((DT18*1.05), $H18), DX18=""Novice 2"", CEILING((DT18*1.025), $H18), DX18=""Novice 3"", DT18+$H18, DX18=""Intermediate 2"", (IF((ISBETWEEN(((((DH18-DG18)/2))+DS18), DG"&amp;"18, DH18)), DT18, DT18+$H18)), DX18=""Intermediate 1"", (IF((ISBETWEEN((DS18-((DH18-DG18)/2)), DG18, DH18)), DT18+$H18, (FLOOR((DT18*0.9875), $H18)))), DX18=""Advanced 2"", (IF(AND(((DR18+((DF18-DE18)/2))&gt;DF18), ((DS18+((DH18-DG18)/2))&gt;DH18)), DT18+$H18, "&amp;"(DT18))), DX18=""Advanced 1"", (IFS(EA18&lt;DS18, DT18+$H18, EA18=DS18, (DT18), EA18&gt;DS18, (FLOOR((DT18*0.9875), $H18)))))), (AND(DH18=TRUE, DI18=""No"", DU18=TRUE, DV18=""No"")), (FLOOR((DT18*0.9), $H18)), (NOT((AND(DU18=TRUE, DV18=""Yes"")))), DT18)"),15.0)</f>
        <v>15</v>
      </c>
      <c r="EC18" s="41" t="b">
        <v>0</v>
      </c>
      <c r="ED18" s="47"/>
      <c r="EE18" s="47"/>
      <c r="EF18" s="47" t="str">
        <f t="shared" si="130"/>
        <v/>
      </c>
      <c r="EG18" s="71"/>
      <c r="EH18" s="39">
        <f t="shared" si="131"/>
        <v>4</v>
      </c>
      <c r="EI18" s="46">
        <f t="shared" si="132"/>
        <v>8</v>
      </c>
      <c r="EJ18" s="40">
        <f>IFERROR(__xludf.DUMMYFUNCTION("IFS((AND(EC18=TRUE, ED18=""Yes"")), (IFS(ISBLANK(EF18), EB18, EF18=""Novice 1"", CEILING((EB18*1.05), $H18), EF18=""Novice 2"", CEILING((EB18*1.025), $H18), EF18=""Novice 3"", EB18+$H18, EF18=""Intermediate 2"", (IF((ISBETWEEN(((((DU18-DT18)/2))+EA18), DT"&amp;"18, DU18)), EB18, EB18+$H18)), EF18=""Intermediate 1"", (IF((ISBETWEEN((EA18-((DU18-DT18)/2)), DT18, DU18)), EB18+$H18, (FLOOR((EB18*0.9875), $H18)))), EF18=""Advanced 2"", (IF(AND(((DZ18+((DS18-DR18)/2))&gt;DS18), ((EA18+((DU18-DT18)/2))&gt;DU18)), EB18+$H18, "&amp;"(EB18))), EF18=""Advanced 1"", (IFS(EI18&lt;EA18, EB18+$H18, EI18=EA18, (EB18), EI18&gt;EA18, (FLOOR((EB18*0.9875), $H18)))))), (AND(DU18=TRUE, DV18=""No"", EC18=TRUE, ED18=""No"")), (FLOOR((EB18*0.9), $H18)), (NOT((AND(EC18=TRUE, ED18=""Yes"")))), EB18)"),15.0)</f>
        <v>15</v>
      </c>
      <c r="EK18" s="41" t="b">
        <v>0</v>
      </c>
      <c r="EL18" s="47"/>
      <c r="EM18" s="47"/>
      <c r="EN18" s="47" t="str">
        <f t="shared" si="133"/>
        <v/>
      </c>
      <c r="EO18" s="71"/>
      <c r="EP18" s="61">
        <f t="shared" si="134"/>
        <v>4</v>
      </c>
      <c r="EQ18" s="62">
        <f t="shared" si="135"/>
        <v>8</v>
      </c>
      <c r="ER18" s="63">
        <f>IFERROR(__xludf.DUMMYFUNCTION("IFS((AND(EK18=TRUE, EL18=""Yes"")), (IFS(ISBLANK(EN18), EJ18, EN18=""Novice 1"", CEILING((EJ18*1.05), $H18), EN18=""Novice 2"", CEILING((EJ18*1.025), $H18), EN18=""Novice 3"", EJ18+$H18, EN18=""Intermediate 2"", (IF((ISBETWEEN(((((EC18-EB18)/2))+EI18), EB"&amp;"18, EC18)), EJ18, EJ18+$H18)), EN18=""Intermediate 1"", (IF((ISBETWEEN((EI18-((EC18-EB18)/2)), EB18, EC18)), EJ18+$H18, (FLOOR((EJ18*0.9875), $H18)))), EN18=""Advanced 2"", (IF(AND(((EH18+((EA18-DZ18)/2))&gt;EA18), ((EI18+((EC18-EB18)/2))&gt;EC18)), EJ18+$H18, "&amp;"(EJ18))), EN18=""Advanced 1"", (IFS(EQ18&lt;EI18, EJ18+$H18, EQ18=EI18, (EJ18), EQ18&gt;EI18, (FLOOR((EJ18*0.9875), $H18)))))), (AND(EC18=TRUE, ED18=""No"", EK18=TRUE, EL18=""No"")), (FLOOR((EJ18*0.9), $H18)), (NOT((AND(EK18=TRUE, EL18=""Yes"")))), EJ18)"),15.0)</f>
        <v>15</v>
      </c>
      <c r="ES18" s="64" t="b">
        <v>0</v>
      </c>
      <c r="ET18" s="65"/>
      <c r="EU18" s="65"/>
      <c r="EV18" s="65" t="str">
        <f t="shared" si="136"/>
        <v/>
      </c>
      <c r="EW18" s="72"/>
      <c r="EX18" s="53">
        <f t="shared" ref="EX18:EY18" si="154">IFERROR(EP18/2,EP18)</f>
        <v>2</v>
      </c>
      <c r="EY18" s="53">
        <f t="shared" si="154"/>
        <v>4</v>
      </c>
      <c r="EZ18" s="53">
        <f t="shared" si="138"/>
        <v>15</v>
      </c>
      <c r="FA18" s="67"/>
      <c r="FB18" s="86"/>
      <c r="FC18" s="57"/>
    </row>
    <row r="19" outlineLevel="1">
      <c r="A19" s="81" t="s">
        <v>49</v>
      </c>
      <c r="B19" s="87"/>
      <c r="C19" s="82">
        <v>4.0</v>
      </c>
      <c r="D19" s="82">
        <v>6.0</v>
      </c>
      <c r="E19" s="82">
        <v>12.0</v>
      </c>
      <c r="F19" s="82">
        <v>20.0</v>
      </c>
      <c r="G19" s="82">
        <v>8.0</v>
      </c>
      <c r="H19" s="88"/>
      <c r="I19" s="85"/>
      <c r="J19" s="73"/>
      <c r="K19" s="39">
        <f t="shared" si="82"/>
        <v>4</v>
      </c>
      <c r="L19" s="40">
        <f t="shared" si="83"/>
        <v>12</v>
      </c>
      <c r="M19" s="40">
        <f t="shared" si="84"/>
        <v>8</v>
      </c>
      <c r="N19" s="41" t="b">
        <v>0</v>
      </c>
      <c r="O19" s="42"/>
      <c r="P19" s="43"/>
      <c r="Q19" s="42"/>
      <c r="R19" s="73"/>
      <c r="S19" s="46"/>
      <c r="T19" s="46"/>
      <c r="U19" s="40"/>
      <c r="V19" s="41" t="b">
        <v>0</v>
      </c>
      <c r="W19" s="47"/>
      <c r="X19" s="47"/>
      <c r="Y19" s="47"/>
      <c r="Z19" s="73"/>
      <c r="AA19" s="46"/>
      <c r="AB19" s="46"/>
      <c r="AC19" s="40"/>
      <c r="AD19" s="41" t="b">
        <v>0</v>
      </c>
      <c r="AE19" s="47"/>
      <c r="AF19" s="47"/>
      <c r="AG19" s="47"/>
      <c r="AH19" s="73"/>
      <c r="AI19" s="49"/>
      <c r="AJ19" s="49"/>
      <c r="AK19" s="50"/>
      <c r="AL19" s="51" t="b">
        <v>0</v>
      </c>
      <c r="AM19" s="52"/>
      <c r="AN19" s="52"/>
      <c r="AO19" s="52"/>
      <c r="AP19" s="73"/>
      <c r="AQ19" s="75"/>
      <c r="AR19" s="75"/>
      <c r="AS19" s="75"/>
      <c r="AT19" s="76"/>
      <c r="AU19" s="73"/>
      <c r="AV19" s="46"/>
      <c r="AW19" s="46"/>
      <c r="AX19" s="40"/>
      <c r="AY19" s="41" t="b">
        <v>0</v>
      </c>
      <c r="AZ19" s="47"/>
      <c r="BA19" s="47"/>
      <c r="BB19" s="47"/>
      <c r="BC19" s="73"/>
      <c r="BD19" s="46"/>
      <c r="BE19" s="46"/>
      <c r="BF19" s="40"/>
      <c r="BG19" s="41" t="b">
        <v>0</v>
      </c>
      <c r="BH19" s="47"/>
      <c r="BI19" s="47"/>
      <c r="BJ19" s="47"/>
      <c r="BK19" s="73"/>
      <c r="BL19" s="46"/>
      <c r="BM19" s="46"/>
      <c r="BN19" s="40"/>
      <c r="BO19" s="41" t="b">
        <v>0</v>
      </c>
      <c r="BP19" s="47"/>
      <c r="BQ19" s="47"/>
      <c r="BR19" s="47"/>
      <c r="BS19" s="73"/>
      <c r="BT19" s="49"/>
      <c r="BU19" s="49"/>
      <c r="BV19" s="50"/>
      <c r="BW19" s="51" t="b">
        <v>0</v>
      </c>
      <c r="BX19" s="52"/>
      <c r="BY19" s="52"/>
      <c r="BZ19" s="52"/>
      <c r="CA19" s="73"/>
      <c r="CB19" s="75"/>
      <c r="CC19" s="75"/>
      <c r="CD19" s="75"/>
      <c r="CE19" s="76"/>
      <c r="CF19" s="73"/>
      <c r="CG19" s="46"/>
      <c r="CH19" s="46"/>
      <c r="CI19" s="40"/>
      <c r="CJ19" s="41" t="b">
        <v>0</v>
      </c>
      <c r="CK19" s="47"/>
      <c r="CL19" s="47"/>
      <c r="CM19" s="47"/>
      <c r="CN19" s="73"/>
      <c r="CO19" s="46"/>
      <c r="CP19" s="46"/>
      <c r="CQ19" s="40"/>
      <c r="CR19" s="41" t="b">
        <v>0</v>
      </c>
      <c r="CS19" s="47"/>
      <c r="CT19" s="47"/>
      <c r="CU19" s="47"/>
      <c r="CV19" s="73"/>
      <c r="CW19" s="46"/>
      <c r="CX19" s="46"/>
      <c r="CY19" s="40"/>
      <c r="CZ19" s="41" t="b">
        <v>0</v>
      </c>
      <c r="DA19" s="47"/>
      <c r="DB19" s="47"/>
      <c r="DC19" s="47"/>
      <c r="DD19" s="73"/>
      <c r="DE19" s="49"/>
      <c r="DF19" s="49"/>
      <c r="DG19" s="50"/>
      <c r="DH19" s="51" t="b">
        <v>0</v>
      </c>
      <c r="DI19" s="52"/>
      <c r="DJ19" s="52"/>
      <c r="DK19" s="52"/>
      <c r="DL19" s="73"/>
      <c r="DM19" s="75"/>
      <c r="DN19" s="75"/>
      <c r="DO19" s="75"/>
      <c r="DP19" s="76"/>
      <c r="DQ19" s="73"/>
      <c r="DR19" s="46"/>
      <c r="DS19" s="46"/>
      <c r="DT19" s="40"/>
      <c r="DU19" s="41" t="b">
        <v>0</v>
      </c>
      <c r="DV19" s="47"/>
      <c r="DW19" s="47"/>
      <c r="DX19" s="47"/>
      <c r="DY19" s="73"/>
      <c r="DZ19" s="46"/>
      <c r="EA19" s="46"/>
      <c r="EB19" s="40"/>
      <c r="EC19" s="41" t="b">
        <v>0</v>
      </c>
      <c r="ED19" s="47"/>
      <c r="EE19" s="47"/>
      <c r="EF19" s="47"/>
      <c r="EG19" s="73"/>
      <c r="EH19" s="46"/>
      <c r="EI19" s="46"/>
      <c r="EJ19" s="40"/>
      <c r="EK19" s="41" t="b">
        <v>0</v>
      </c>
      <c r="EL19" s="47"/>
      <c r="EM19" s="47"/>
      <c r="EN19" s="47"/>
      <c r="EO19" s="73"/>
      <c r="EP19" s="49"/>
      <c r="EQ19" s="49"/>
      <c r="ER19" s="50"/>
      <c r="ES19" s="51" t="b">
        <v>0</v>
      </c>
      <c r="ET19" s="52"/>
      <c r="EU19" s="52"/>
      <c r="EV19" s="52"/>
      <c r="EW19" s="73"/>
      <c r="EX19" s="75"/>
      <c r="EY19" s="75"/>
      <c r="EZ19" s="75"/>
      <c r="FA19" s="76"/>
      <c r="FB19" s="86"/>
      <c r="FC19" s="31"/>
    </row>
    <row r="20" outlineLevel="1">
      <c r="A20" s="81" t="s">
        <v>50</v>
      </c>
      <c r="B20" s="87"/>
      <c r="C20" s="82">
        <v>4.0</v>
      </c>
      <c r="D20" s="82">
        <v>6.0</v>
      </c>
      <c r="E20" s="82">
        <v>12.0</v>
      </c>
      <c r="F20" s="82">
        <v>20.0</v>
      </c>
      <c r="G20" s="82">
        <v>10.0</v>
      </c>
      <c r="H20" s="88"/>
      <c r="I20" s="85"/>
      <c r="J20" s="73"/>
      <c r="K20" s="39">
        <f t="shared" si="82"/>
        <v>4</v>
      </c>
      <c r="L20" s="40">
        <f t="shared" si="83"/>
        <v>12</v>
      </c>
      <c r="M20" s="40">
        <f t="shared" si="84"/>
        <v>10</v>
      </c>
      <c r="N20" s="41" t="b">
        <v>0</v>
      </c>
      <c r="O20" s="42"/>
      <c r="P20" s="43"/>
      <c r="Q20" s="42"/>
      <c r="R20" s="73"/>
      <c r="S20" s="46"/>
      <c r="T20" s="46"/>
      <c r="U20" s="40"/>
      <c r="V20" s="41" t="b">
        <v>0</v>
      </c>
      <c r="W20" s="47"/>
      <c r="X20" s="47"/>
      <c r="Y20" s="47"/>
      <c r="Z20" s="73"/>
      <c r="AA20" s="46"/>
      <c r="AB20" s="46"/>
      <c r="AC20" s="40"/>
      <c r="AD20" s="41" t="b">
        <v>0</v>
      </c>
      <c r="AE20" s="47"/>
      <c r="AF20" s="47"/>
      <c r="AG20" s="47"/>
      <c r="AH20" s="73"/>
      <c r="AI20" s="62"/>
      <c r="AJ20" s="62"/>
      <c r="AK20" s="63"/>
      <c r="AL20" s="64" t="b">
        <v>0</v>
      </c>
      <c r="AM20" s="65"/>
      <c r="AN20" s="65"/>
      <c r="AO20" s="65"/>
      <c r="AP20" s="73"/>
      <c r="AQ20" s="75"/>
      <c r="AR20" s="75"/>
      <c r="AS20" s="75"/>
      <c r="AT20" s="76"/>
      <c r="AU20" s="73"/>
      <c r="AV20" s="46"/>
      <c r="AW20" s="46"/>
      <c r="AX20" s="40"/>
      <c r="AY20" s="41" t="b">
        <v>0</v>
      </c>
      <c r="AZ20" s="47"/>
      <c r="BA20" s="47"/>
      <c r="BB20" s="47"/>
      <c r="BC20" s="73"/>
      <c r="BD20" s="46"/>
      <c r="BE20" s="46"/>
      <c r="BF20" s="40"/>
      <c r="BG20" s="41" t="b">
        <v>0</v>
      </c>
      <c r="BH20" s="47"/>
      <c r="BI20" s="47"/>
      <c r="BJ20" s="47"/>
      <c r="BK20" s="73"/>
      <c r="BL20" s="46"/>
      <c r="BM20" s="46"/>
      <c r="BN20" s="40"/>
      <c r="BO20" s="41" t="b">
        <v>0</v>
      </c>
      <c r="BP20" s="47"/>
      <c r="BQ20" s="47"/>
      <c r="BR20" s="47"/>
      <c r="BS20" s="73"/>
      <c r="BT20" s="62"/>
      <c r="BU20" s="62"/>
      <c r="BV20" s="63"/>
      <c r="BW20" s="64" t="b">
        <v>0</v>
      </c>
      <c r="BX20" s="65"/>
      <c r="BY20" s="65"/>
      <c r="BZ20" s="65"/>
      <c r="CA20" s="73"/>
      <c r="CB20" s="75"/>
      <c r="CC20" s="75"/>
      <c r="CD20" s="75"/>
      <c r="CE20" s="76"/>
      <c r="CF20" s="73"/>
      <c r="CG20" s="46"/>
      <c r="CH20" s="46"/>
      <c r="CI20" s="40"/>
      <c r="CJ20" s="41" t="b">
        <v>0</v>
      </c>
      <c r="CK20" s="47"/>
      <c r="CL20" s="47"/>
      <c r="CM20" s="47"/>
      <c r="CN20" s="73"/>
      <c r="CO20" s="46"/>
      <c r="CP20" s="46"/>
      <c r="CQ20" s="40"/>
      <c r="CR20" s="41" t="b">
        <v>0</v>
      </c>
      <c r="CS20" s="47"/>
      <c r="CT20" s="47"/>
      <c r="CU20" s="47"/>
      <c r="CV20" s="73"/>
      <c r="CW20" s="46"/>
      <c r="CX20" s="46"/>
      <c r="CY20" s="40"/>
      <c r="CZ20" s="41" t="b">
        <v>0</v>
      </c>
      <c r="DA20" s="47"/>
      <c r="DB20" s="47"/>
      <c r="DC20" s="47"/>
      <c r="DD20" s="73"/>
      <c r="DE20" s="62"/>
      <c r="DF20" s="62"/>
      <c r="DG20" s="63"/>
      <c r="DH20" s="64" t="b">
        <v>0</v>
      </c>
      <c r="DI20" s="65"/>
      <c r="DJ20" s="65"/>
      <c r="DK20" s="65"/>
      <c r="DL20" s="73"/>
      <c r="DM20" s="75"/>
      <c r="DN20" s="75"/>
      <c r="DO20" s="75"/>
      <c r="DP20" s="76"/>
      <c r="DQ20" s="73"/>
      <c r="DR20" s="46"/>
      <c r="DS20" s="46"/>
      <c r="DT20" s="40"/>
      <c r="DU20" s="41" t="b">
        <v>0</v>
      </c>
      <c r="DV20" s="47"/>
      <c r="DW20" s="47"/>
      <c r="DX20" s="47"/>
      <c r="DY20" s="73"/>
      <c r="DZ20" s="46"/>
      <c r="EA20" s="46"/>
      <c r="EB20" s="40"/>
      <c r="EC20" s="41" t="b">
        <v>0</v>
      </c>
      <c r="ED20" s="47"/>
      <c r="EE20" s="47"/>
      <c r="EF20" s="47"/>
      <c r="EG20" s="73"/>
      <c r="EH20" s="46"/>
      <c r="EI20" s="46"/>
      <c r="EJ20" s="40"/>
      <c r="EK20" s="41" t="b">
        <v>0</v>
      </c>
      <c r="EL20" s="47"/>
      <c r="EM20" s="47"/>
      <c r="EN20" s="47"/>
      <c r="EO20" s="73"/>
      <c r="EP20" s="62"/>
      <c r="EQ20" s="62"/>
      <c r="ER20" s="63"/>
      <c r="ES20" s="64" t="b">
        <v>0</v>
      </c>
      <c r="ET20" s="65"/>
      <c r="EU20" s="65"/>
      <c r="EV20" s="65"/>
      <c r="EW20" s="73"/>
      <c r="EX20" s="75"/>
      <c r="EY20" s="75"/>
      <c r="EZ20" s="75"/>
      <c r="FA20" s="76"/>
      <c r="FB20" s="86"/>
      <c r="FC20" s="31"/>
    </row>
    <row r="21">
      <c r="A21" s="23" t="s">
        <v>51</v>
      </c>
      <c r="B21" s="89"/>
      <c r="C21" s="79"/>
      <c r="D21" s="79"/>
      <c r="E21" s="79"/>
      <c r="F21" s="79"/>
      <c r="G21" s="79"/>
      <c r="H21" s="79"/>
      <c r="I21" s="79"/>
      <c r="J21" s="90"/>
      <c r="K21" s="91"/>
      <c r="L21" s="91"/>
      <c r="M21" s="91"/>
      <c r="N21" s="91"/>
      <c r="O21" s="92"/>
      <c r="P21" s="92"/>
      <c r="Q21" s="92"/>
      <c r="R21" s="90"/>
      <c r="S21" s="93"/>
      <c r="T21" s="93"/>
      <c r="U21" s="93"/>
      <c r="V21" s="93"/>
      <c r="W21" s="93"/>
      <c r="X21" s="93"/>
      <c r="Y21" s="93"/>
      <c r="Z21" s="90"/>
      <c r="AA21" s="93"/>
      <c r="AB21" s="93"/>
      <c r="AC21" s="93"/>
      <c r="AD21" s="93"/>
      <c r="AE21" s="93"/>
      <c r="AF21" s="93"/>
      <c r="AG21" s="93"/>
      <c r="AH21" s="90"/>
      <c r="AI21" s="93"/>
      <c r="AJ21" s="93"/>
      <c r="AK21" s="93"/>
      <c r="AL21" s="93"/>
      <c r="AM21" s="93"/>
      <c r="AN21" s="93"/>
      <c r="AO21" s="93"/>
      <c r="AP21" s="90"/>
      <c r="AQ21" s="94"/>
      <c r="AR21" s="94"/>
      <c r="AS21" s="94"/>
      <c r="AT21" s="94"/>
      <c r="AU21" s="90"/>
      <c r="AV21" s="93"/>
      <c r="AW21" s="93"/>
      <c r="AX21" s="93"/>
      <c r="AY21" s="93"/>
      <c r="AZ21" s="93"/>
      <c r="BA21" s="93"/>
      <c r="BB21" s="93"/>
      <c r="BC21" s="90"/>
      <c r="BD21" s="93"/>
      <c r="BE21" s="93"/>
      <c r="BF21" s="93"/>
      <c r="BG21" s="93"/>
      <c r="BH21" s="93"/>
      <c r="BI21" s="93"/>
      <c r="BJ21" s="93"/>
      <c r="BK21" s="90"/>
      <c r="BL21" s="93"/>
      <c r="BM21" s="93"/>
      <c r="BN21" s="93"/>
      <c r="BO21" s="93"/>
      <c r="BP21" s="93"/>
      <c r="BQ21" s="93"/>
      <c r="BR21" s="93"/>
      <c r="BS21" s="90"/>
      <c r="BT21" s="93"/>
      <c r="BU21" s="93"/>
      <c r="BV21" s="93"/>
      <c r="BW21" s="93"/>
      <c r="BX21" s="93"/>
      <c r="BY21" s="93"/>
      <c r="BZ21" s="93"/>
      <c r="CA21" s="90"/>
      <c r="CB21" s="94"/>
      <c r="CC21" s="94"/>
      <c r="CD21" s="94"/>
      <c r="CE21" s="94"/>
      <c r="CF21" s="90"/>
      <c r="CG21" s="93"/>
      <c r="CH21" s="93"/>
      <c r="CI21" s="93"/>
      <c r="CJ21" s="93"/>
      <c r="CK21" s="93"/>
      <c r="CL21" s="93"/>
      <c r="CM21" s="93"/>
      <c r="CN21" s="90"/>
      <c r="CO21" s="93"/>
      <c r="CP21" s="93"/>
      <c r="CQ21" s="93"/>
      <c r="CR21" s="93"/>
      <c r="CS21" s="93"/>
      <c r="CT21" s="93"/>
      <c r="CU21" s="93"/>
      <c r="CV21" s="90"/>
      <c r="CW21" s="93"/>
      <c r="CX21" s="93"/>
      <c r="CY21" s="93"/>
      <c r="CZ21" s="93"/>
      <c r="DA21" s="93"/>
      <c r="DB21" s="93"/>
      <c r="DC21" s="93"/>
      <c r="DD21" s="90"/>
      <c r="DE21" s="93"/>
      <c r="DF21" s="93"/>
      <c r="DG21" s="93"/>
      <c r="DH21" s="93"/>
      <c r="DI21" s="93"/>
      <c r="DJ21" s="93"/>
      <c r="DK21" s="93"/>
      <c r="DL21" s="90"/>
      <c r="DM21" s="94"/>
      <c r="DN21" s="94"/>
      <c r="DO21" s="94"/>
      <c r="DP21" s="94"/>
      <c r="DQ21" s="90"/>
      <c r="DR21" s="93"/>
      <c r="DS21" s="93"/>
      <c r="DT21" s="93"/>
      <c r="DU21" s="93"/>
      <c r="DV21" s="93"/>
      <c r="DW21" s="93"/>
      <c r="DX21" s="93"/>
      <c r="DY21" s="90"/>
      <c r="DZ21" s="93"/>
      <c r="EA21" s="93"/>
      <c r="EB21" s="93"/>
      <c r="EC21" s="93"/>
      <c r="ED21" s="93"/>
      <c r="EE21" s="93"/>
      <c r="EF21" s="93"/>
      <c r="EG21" s="90"/>
      <c r="EH21" s="93"/>
      <c r="EI21" s="93"/>
      <c r="EJ21" s="93"/>
      <c r="EK21" s="93"/>
      <c r="EL21" s="93"/>
      <c r="EM21" s="93"/>
      <c r="EN21" s="93"/>
      <c r="EO21" s="90"/>
      <c r="EP21" s="93"/>
      <c r="EQ21" s="93"/>
      <c r="ER21" s="93"/>
      <c r="ES21" s="93"/>
      <c r="ET21" s="93"/>
      <c r="EU21" s="93"/>
      <c r="EV21" s="93"/>
      <c r="EW21" s="90"/>
      <c r="EX21" s="94"/>
      <c r="EY21" s="94"/>
      <c r="EZ21" s="94"/>
      <c r="FA21" s="94"/>
      <c r="FB21" s="86"/>
      <c r="FC21" s="31"/>
    </row>
    <row r="22" outlineLevel="1">
      <c r="A22" s="81" t="s">
        <v>52</v>
      </c>
      <c r="B22" s="33"/>
      <c r="C22" s="82" t="s">
        <v>53</v>
      </c>
      <c r="D22" s="83" t="s">
        <v>53</v>
      </c>
      <c r="E22" s="82" t="s">
        <v>53</v>
      </c>
      <c r="F22" s="83" t="s">
        <v>53</v>
      </c>
      <c r="G22" s="83" t="s">
        <v>53</v>
      </c>
      <c r="H22" s="84"/>
      <c r="I22" s="85"/>
      <c r="J22" s="38"/>
      <c r="K22" s="39" t="str">
        <f>ifs(ISBLANK(I22), C22, I22="Novice 1", C22, I22="Novice 2", C22, I22="Novice 3", C22, I22="Intermediate 2", C22, I22="Intermediate 1", C22, I22="Advanced 2", C22, I22="Advanced 1", C22)</f>
        <v>---</v>
      </c>
      <c r="L22" s="40" t="str">
        <f>ifs(ISBLANK(I22), E22, I22="Novice 1", E22, I22="Novice 2", E22, I22="Novice 3", E22, I22="Intermediate 2", E22, I22="Intermediate 1", F22, I22="Advanced 2", E22, I22="Advanced 1", F22)</f>
        <v>---</v>
      </c>
      <c r="M22" s="40" t="str">
        <f>G22</f>
        <v>---</v>
      </c>
      <c r="N22" s="41" t="b">
        <v>0</v>
      </c>
      <c r="O22" s="42"/>
      <c r="P22" s="43"/>
      <c r="Q22" s="42" t="str">
        <f>I22</f>
        <v/>
      </c>
      <c r="R22" s="45"/>
      <c r="S22" s="39" t="str">
        <f>IFS((AND(N22=TRUE, O22="Yes")), (ifs(ISBLANK(Q22), K22, Q22="Novice 1", K22, Q22="Novice 2", K22, Q22="Novice 3", K22, Q22="Intermediate 2", K22, Q22="Intermediate 1", K22, Q22="Advanced 2", (IF((K22+(($D22-$C22)/2))&gt;$D22, $C22, (K22+(($D22-$C22)/2)))), Q22="Advanced 1", (IF((K22+(($D22-$C22)/2))&gt;$D22, $C22, (K22+(($D22-$C22)/2)))))), (NOT((AND(N22=TRUE, O22="Yes")))), K22)</f>
        <v>---</v>
      </c>
      <c r="T22" s="46" t="str">
        <f>IFS((AND(N22=TRUE, O22="Yes")), (IFS(ISBLANK(Q22), L22, Q22="Novice 1", L22, Q22="Novice 2", L22, Q22="Novice 3", L22, Q22="Intermediate 2", (IF((L22+(($F22-$E22)/2))&gt;$F22, $E22, (L22+(($F22-$E22)/2)))), Q22="Intermediate 1", (IF((L22-(($F22-$E22)/2))&lt;$E22, $F22, (L22-(($F22-$E22)/2)))), Q22="Advanced 2", (IF((((($D22-$C22)/2))+K22)&gt;$D22, (IF((L22+(($F22-$E22)/2))&gt;$F22, $E22, (L22+(($F22-$E22)/2)))), L22)), Q22="Advanced 1", (IF((((($D22-$C22)/2))+K22)&gt;$D22, (IF((L22-(($F22-$E22)/2))&lt;$E22, $F22, (L22-(($F22-$E22)/2)))), L22)))), (NOT((AND(N22=TRUE, O22="Yes")))), L22)</f>
        <v>---</v>
      </c>
      <c r="U22" s="40" t="str">
        <f>IFERROR(__xludf.DUMMYFUNCTION("IFS((AND(N22=TRUE, O22=""Yes"")), (IFS(ISBLANK(Q22), M22, Q22=""Novice 1"", CEILING((M22*1.05), $H22), Q22=""Novice 2"", CEILING((M22*1.025), $H22), Q22=""Novice 3"", M22+$H22, Q22=""Intermediate 2"", (IF((ISBETWEEN(((((F22-E22)/2))+L22), E22, F22)), M22,"&amp;" M22+$H22)), Q22=""Intermediate 1"", (IF((ISBETWEEN((L22-((F22-E22)/2)), E22, F22)), M22+$H22, (FLOOR((M22*0.9875), $H22)))), Q22=""Advanced 2"", (IF(AND(((K22+((D22-C22)/2))&gt;D22), ((L22+((F22-E22)/2))&gt;F22)), M22+$H22, (M22))), Q22=""Advanced 1"", (IFS(T2"&amp;"2&lt;L22, M22+$H22, T22=L22, (M22), T22&gt;L22, (FLOOR((M22*0.9875), $H22)))))), (AND(F22=TRUE, G22=""No"", N22=TRUE, O22=""No"")), (FLOOR((M22*0.9), $H22)), (NOT((AND(N22=TRUE, O22=""Yes"")))), M22)"),"---")</f>
        <v>---</v>
      </c>
      <c r="V22" s="41" t="b">
        <v>0</v>
      </c>
      <c r="W22" s="47"/>
      <c r="X22" s="47"/>
      <c r="Y22" s="47" t="str">
        <f>IF((AND(N22=TRUE, O22="No", V22=TRUE, W22="No")), (IFS(ISBLANK(Q22), Q22, Q22="Novice 1", "Novice 2", Q22="Novice 2", "Novice 3", Q22="Novice 3", "Intermediate 1", Q22="Intermediate 1", "Intermediate 2", Q22="Intermediate 2", "Advanced 1", Q22="Advanced 1", "Advanced 2", Q22="Advanced 2", "Advanced 2")), Q22)</f>
        <v/>
      </c>
      <c r="Z22" s="45"/>
      <c r="AA22" s="39" t="str">
        <f>IFS((AND(V22=TRUE, W22="Yes")), (ifs(ISBLANK(Y22), S22, Y22="Novice 1", S22, Y22="Novice 2", S22, Y22="Novice 3", S22, Y22="Intermediate 2", S22, Y22="Intermediate 1", S22, Y22="Advanced 2", (IF((S22+(($D22-$C22)/2))&gt;$D22, $C22, (S22+(($D22-$C22)/2)))), Y22="Advanced 1", (IF((S22+(($D22-$C22)/2))&gt;$D22, $C22, (S22+(($D22-$C22)/2)))))), (NOT((AND(V22=TRUE, W22="Yes")))), S22)</f>
        <v>---</v>
      </c>
      <c r="AB22" s="46" t="str">
        <f>IFS((AND(V22=TRUE, W22="Yes")), (IFS(ISBLANK(Y22), T22, Y22="Novice 1", T22, Y22="Novice 2", T22, Y22="Novice 3", T22, Y22="Intermediate 2", (IF((T22+(($F22-$E22)/2))&gt;$F22, $E22, (T22+(($F22-$E22)/2)))), Y22="Intermediate 1", (IF((T22-(($F22-$E22)/2))&lt;$E22, $F22, (T22-(($F22-$E22)/2)))), Y22="Advanced 2", (IF((((($D22-$C22)/2))+S22)&gt;$D22, (IF((T22+(($F22-$E22)/2))&gt;$F22, $E22, (T22+(($F22-$E22)/2)))), T22)), Y22="Advanced 1", (IF((((($D22-$C22)/2))+S22)&gt;$D22, (IF((T22-(($F22-$E22)/2))&lt;$E22, $F22, (T22-(($F22-$E22)/2)))), T22)))), (NOT((AND(V22=TRUE, W22="Yes")))), T22)</f>
        <v>---</v>
      </c>
      <c r="AC22" s="40" t="str">
        <f>IFERROR(__xludf.DUMMYFUNCTION("IFS((AND(V22=TRUE, W22=""Yes"")), (IFS(ISBLANK(Y22), U22, Y22=""Novice 1"", CEILING((U22*1.05), $H22), Y22=""Novice 2"", CEILING((U22*1.025), $H22), Y22=""Novice 3"", U22+$H22, Y22=""Intermediate 2"", (IF((ISBETWEEN(((((N22-M22)/2))+T22), M22, N22)), U22,"&amp;" U22+$H22)), Y22=""Intermediate 1"", (IF((ISBETWEEN((T22-((N22-M22)/2)), M22, N22)), U22+$H22, (FLOOR((U22*0.9875), $H22)))), Y22=""Advanced 2"", (IF(AND(((S22+((L22-K22)/2))&gt;L22), ((T22+((N22-M22)/2))&gt;N22)), U22+$H22, (U22))), Y22=""Advanced 1"", (IFS(AB"&amp;"22&lt;T22, U22+$H22, AB22=T22, (U22), AB22&gt;T22, (FLOOR((U22*0.9875), $H22)))))), (AND(N22=TRUE, O22=""No"", V22=TRUE, W22=""No"")), (FLOOR((U22*0.9), $H22)), (NOT((AND(V22=TRUE, W22=""Yes"")))), U22)"),"---")</f>
        <v>---</v>
      </c>
      <c r="AD22" s="41" t="b">
        <v>0</v>
      </c>
      <c r="AE22" s="47"/>
      <c r="AF22" s="47"/>
      <c r="AG22" s="47" t="str">
        <f>IF((AND(V22=TRUE, W22="No", AD22=TRUE, AE22="No")), (IFS(ISBLANK(Y22), Y22, Y22="Novice 1", "Novice 2", Y22="Novice 2", "Novice 3", Y22="Novice 3", "Intermediate 1", Y22="Intermediate 1", "Intermediate 2", Y22="Intermediate 2", "Advanced 1", Y22="Advanced 1", "Advanced 2", Y22="Advanced 2", "Advanced 2")), Y22)</f>
        <v/>
      </c>
      <c r="AH22" s="45"/>
      <c r="AI22" s="48" t="str">
        <f>IFS((AND(AD22=TRUE, AE22="Yes")), (ifs(ISBLANK(AG22), AA22, AG22="Novice 1", AA22, AG22="Novice 2", AA22, AG22="Novice 3", AA22, AG22="Intermediate 2", AA22, AG22="Intermediate 1", AA22, AG22="Advanced 2", (IF((AA22+(($D22-$C22)/2))&gt;$D22, $C22, (AA22+(($D22-$C22)/2)))), AG22="Advanced 1", (IF((AA22+(($D22-$C22)/2))&gt;$D22, $C22, (AA22+(($D22-$C22)/2)))))), (NOT((AND(AD22=TRUE, AE22="Yes")))), AA22)</f>
        <v>---</v>
      </c>
      <c r="AJ22" s="49" t="str">
        <f>IFS((AND(AD22=TRUE, AE22="Yes")), (IFS(ISBLANK(AG22), AB22, AG22="Novice 1", AB22, AG22="Novice 2", AB22, AG22="Novice 3", AB22, AG22="Intermediate 2", (IF((AB22+(($F22-$E22)/2))&gt;$F22, $E22, (AB22+(($F22-$E22)/2)))), AG22="Intermediate 1", (IF((AB22-(($F22-$E22)/2))&lt;$E22, $F22, (AB22-(($F22-$E22)/2)))), AG22="Advanced 2", (IF((((($D22-$C22)/2))+AA22)&gt;$D22, (IF((AB22+(($F22-$E22)/2))&gt;$F22, $E22, (AB22+(($F22-$E22)/2)))), AB22)), AG22="Advanced 1", (IF((((($D22-$C22)/2))+AA22)&gt;$D22, (IF((AB22-(($F22-$E22)/2))&lt;$E22, $F22, (AB22-(($F22-$E22)/2)))), AB22)))), (NOT((AND(AD22=TRUE, AE22="Yes")))), AB22)</f>
        <v>---</v>
      </c>
      <c r="AK22" s="50" t="str">
        <f>IFERROR(__xludf.DUMMYFUNCTION("IFS((AND(AD22=TRUE, AE22=""Yes"")), (IFS(ISBLANK(AG22), AC22, AG22=""Novice 1"", CEILING((AC22*1.05), $H22), AG22=""Novice 2"", CEILING((AC22*1.025), $H22), AG22=""Novice 3"", AC22+$H22, AG22=""Intermediate 2"", (IF((ISBETWEEN(((((V22-U22)/2))+AB22), U22,"&amp;" V22)), AC22, AC22+$H22)), AG22=""Intermediate 1"", (IF((ISBETWEEN((AB22-((V22-U22)/2)), U22, V22)), AC22+$H22, (FLOOR((AC22*0.9875), $H22)))), AG22=""Advanced 2"", (IF(AND(((AA22+((T22-S22)/2))&gt;T22), ((AB22+((V22-U22)/2))&gt;V22)), AC22+$H22, (AC22))), AG22"&amp;"=""Advanced 1"", (IFS(AJ22&lt;AB22, AC22+$H22, AJ22=AB22, (AC22), AJ22&gt;AB22, (FLOOR((AC22*0.9875), $H22)))))), (AND(V22=TRUE, W22=""No"", AD22=TRUE, AE22=""No"")), (FLOOR((AC22*0.9), $H22)), (NOT((AND(AD22=TRUE, AE22=""Yes"")))), AC22)"),"---")</f>
        <v>---</v>
      </c>
      <c r="AL22" s="51" t="b">
        <v>0</v>
      </c>
      <c r="AM22" s="52"/>
      <c r="AN22" s="52"/>
      <c r="AO22" s="52" t="str">
        <f>IF((AND(AD22=TRUE, AE22="No", AL22=TRUE, AM22="No")), (IFS(ISBLANK(AG22), AG22, AG22="Novice 1", "Novice 2", AG22="Novice 2", "Novice 3", AG22="Novice 3", "Intermediate 1", AG22="Intermediate 1", "Intermediate 2", AG22="Intermediate 2", "Advanced 1", AG22="Advanced 1", "Advanced 2", AG22="Advanced 2", "Advanced 2")), AG22)</f>
        <v/>
      </c>
      <c r="AP22" s="45"/>
      <c r="AQ22" s="53" t="str">
        <f t="shared" ref="AQ22:AR22" si="155">IFERROR(AI22/2,AI22)</f>
        <v>---</v>
      </c>
      <c r="AR22" s="53" t="str">
        <f t="shared" si="155"/>
        <v>---</v>
      </c>
      <c r="AS22" s="53" t="str">
        <f>AK22</f>
        <v>---</v>
      </c>
      <c r="AT22" s="67"/>
      <c r="AU22" s="45"/>
      <c r="AV22" s="39" t="str">
        <f>IFS((AND(AL22=TRUE, AM22="Yes")), (ifs(ISBLANK(AO22), AI22, AO22="Novice 1", AI22, AO22="Novice 2", AI22, AO22="Novice 3", AI22, AO22="Intermediate 2", AI22, AO22="Intermediate 1", AI22, AO22="Advanced 2", (IF((AI22+(($D22-$C22)/2))&gt;$D22, $C22, (AI22+(($D22-$C22)/2)))), AO22="Advanced 1", (IF((AI22+(($D22-$C22)/2))&gt;$D22, $C22, (AI22+(($D22-$C22)/2)))))), (NOT((AND(AL22=TRUE, AM22="Yes")))), AI22)</f>
        <v>---</v>
      </c>
      <c r="AW22" s="46" t="str">
        <f>IFS((AND(AL22=TRUE, AM22="Yes")), (IFS(ISBLANK(AO22), AJ22, AO22="Novice 1", AJ22, AO22="Novice 2", AJ22, AO22="Novice 3", AJ22, AO22="Intermediate 2", (IF((AJ22+(($F22-$E22)/2))&gt;$F22, $E22, (AJ22+(($F22-$E22)/2)))), AO22="Intermediate 1", (IF((AJ22-(($F22-$E22)/2))&lt;$E22, $F22, (AJ22-(($F22-$E22)/2)))), AO22="Advanced 2", (IF((((($D22-$C22)/2))+AI22)&gt;$D22, (IF((AJ22+(($F22-$E22)/2))&gt;$F22, $E22, (AJ22+(($F22-$E22)/2)))), AJ22)), AO22="Advanced 1", (IF((((($D22-$C22)/2))+AI22)&gt;$D22, (IF((AJ22-(($F22-$E22)/2))&lt;$E22, $F22, (AJ22-(($F22-$E22)/2)))), AJ22)))), (NOT((AND(AL22=TRUE, AM22="Yes")))), AJ22)</f>
        <v>---</v>
      </c>
      <c r="AX22" s="40" t="str">
        <f>IFERROR(__xludf.DUMMYFUNCTION("IFS((AND(AL22=TRUE, AM22=""Yes"")), (IFS(ISBLANK(AO22), AK22, AO22=""Novice 1"", CEILING((AK22*1.05), $H22), AO22=""Novice 2"", CEILING((AK22*1.025), $H22), AO22=""Novice 3"", AK22+$H22, AO22=""Intermediate 2"", (IF((ISBETWEEN(((((AD22-AC22)/2))+AJ22), AC"&amp;"22, AD22)), AK22, AK22+$H22)), AO22=""Intermediate 1"", (IF((ISBETWEEN((AJ22-((AD22-AC22)/2)), AC22, AD22)), AK22+$H22, (FLOOR((AK22*0.9875), $H22)))), AO22=""Advanced 2"", (IF(AND(((AI22+((AB22-AA22)/2))&gt;AB22), ((AJ22+((AD22-AC22)/2))&gt;AD22)), AK22+$H22, "&amp;"(AK22))), AO22=""Advanced 1"", (IFS(AW22&lt;AJ22, AK22+$H22, AW22=AJ22, (AK22), AW22&gt;AJ22, (FLOOR((AK22*0.9875), $H22)))))), (AND(AD22=TRUE, AE22=""No"", AL22=TRUE, AM22=""No"")), (FLOOR((AK22*0.9), $H22)), (NOT((AND(AL22=TRUE, AM22=""Yes"")))), AK22)"),"---")</f>
        <v>---</v>
      </c>
      <c r="AY22" s="41" t="b">
        <v>0</v>
      </c>
      <c r="AZ22" s="47"/>
      <c r="BA22" s="47"/>
      <c r="BB22" s="47" t="str">
        <f>IF((AND(AL22=TRUE, AM22="No", AY22=TRUE, AZ22="No")), (IFS(ISBLANK(AO22), AO22, AO22="Novice 1", "Novice 2", AO22="Novice 2", "Novice 3", AO22="Novice 3", "Intermediate 1", AO22="Intermediate 1", "Intermediate 2", AO22="Intermediate 2", "Advanced 1", AO22="Advanced 1", "Advanced 2", AO22="Advanced 2", "Advanced 2")), AO22)</f>
        <v/>
      </c>
      <c r="BC22" s="45"/>
      <c r="BD22" s="39" t="str">
        <f>IFS((AND(AY22=TRUE, AZ22="Yes")), (ifs(ISBLANK(BB22), AV22, BB22="Novice 1", AV22, BB22="Novice 2", AV22, BB22="Novice 3", AV22, BB22="Intermediate 2", AV22, BB22="Intermediate 1", AV22, BB22="Advanced 2", (IF((AV22+(($D22-$C22)/2))&gt;$D22, $C22, (AV22+(($D22-$C22)/2)))), BB22="Advanced 1", (IF((AV22+(($D22-$C22)/2))&gt;$D22, $C22, (AV22+(($D22-$C22)/2)))))), (NOT((AND(AY22=TRUE, AZ22="Yes")))), AV22)</f>
        <v>---</v>
      </c>
      <c r="BE22" s="46" t="str">
        <f>IFS((AND(AY22=TRUE, AZ22="Yes")), (IFS(ISBLANK(BB22), AW22, BB22="Novice 1", AW22, BB22="Novice 2", AW22, BB22="Novice 3", AW22, BB22="Intermediate 2", (IF((AW22+(($F22-$E22)/2))&gt;$F22, $E22, (AW22+(($F22-$E22)/2)))), BB22="Intermediate 1", (IF((AW22-(($F22-$E22)/2))&lt;$E22, $F22, (AW22-(($F22-$E22)/2)))), BB22="Advanced 2", (IF((((($D22-$C22)/2))+AV22)&gt;$D22, (IF((AW22+(($F22-$E22)/2))&gt;$F22, $E22, (AW22+(($F22-$E22)/2)))), AW22)), BB22="Advanced 1", (IF((((($D22-$C22)/2))+AV22)&gt;$D22, (IF((AW22-(($F22-$E22)/2))&lt;$E22, $F22, (AW22-(($F22-$E22)/2)))), AW22)))), (NOT((AND(AY22=TRUE, AZ22="Yes")))), AW22)</f>
        <v>---</v>
      </c>
      <c r="BF22" s="40" t="str">
        <f>IFERROR(__xludf.DUMMYFUNCTION("IFS((AND(AY22=TRUE, AZ22=""Yes"")), (IFS(ISBLANK(BB22), AX22, BB22=""Novice 1"", CEILING((AX22*1.05), $H22), BB22=""Novice 2"", CEILING((AX22*1.025), $H22), BB22=""Novice 3"", AX22+$H22, BB22=""Intermediate 2"", (IF((ISBETWEEN(((((AL22-AK22)/2))+AW22), AK"&amp;"22, AL22)), AX22, AX22+$H22)), BB22=""Intermediate 1"", (IF((ISBETWEEN((AW22-((AL22-AK22)/2)), AK22, AL22)), AX22+$H22, (FLOOR((AX22*0.9875), $H22)))), BB22=""Advanced 2"", (IF(AND(((AV22+((AJ22-AI22)/2))&gt;AJ22), ((AW22+((AL22-AK22)/2))&gt;AL22)), AX22+$H22, "&amp;"(AX22))), BB22=""Advanced 1"", (IFS(BE22&lt;AW22, AX22+$H22, BE22=AW22, (AX22), BE22&gt;AW22, (FLOOR((AX22*0.9875), $H22)))))), (AND(AL22=TRUE, AM22=""No"", AY22=TRUE, AZ22=""No"")), (FLOOR((AX22*0.9), $H22)), (NOT((AND(AY22=TRUE, AZ22=""Yes"")))), AX22)"),"---")</f>
        <v>---</v>
      </c>
      <c r="BG22" s="41" t="b">
        <v>0</v>
      </c>
      <c r="BH22" s="47"/>
      <c r="BI22" s="47"/>
      <c r="BJ22" s="47" t="str">
        <f>IF((AND(AY22=TRUE, AZ22="No", BG22=TRUE, BH22="No")), (IFS(ISBLANK(BB22), BB22, BB22="Novice 1", "Novice 2", BB22="Novice 2", "Novice 3", BB22="Novice 3", "Intermediate 1", BB22="Intermediate 1", "Intermediate 2", BB22="Intermediate 2", "Advanced 1", BB22="Advanced 1", "Advanced 2", BB22="Advanced 2", "Advanced 2")), BB22)</f>
        <v/>
      </c>
      <c r="BK22" s="45"/>
      <c r="BL22" s="39" t="str">
        <f>IFS((AND(BG22=TRUE, BH22="Yes")), (ifs(ISBLANK(BJ22), BD22, BJ22="Novice 1", BD22, BJ22="Novice 2", BD22, BJ22="Novice 3", BD22, BJ22="Intermediate 2", BD22, BJ22="Intermediate 1", BD22, BJ22="Advanced 2", (IF((BD22+(($D22-$C22)/2))&gt;$D22, $C22, (BD22+(($D22-$C22)/2)))), BJ22="Advanced 1", (IF((BD22+(($D22-$C22)/2))&gt;$D22, $C22, (BD22+(($D22-$C22)/2)))))), (NOT((AND(BG22=TRUE, BH22="Yes")))), BD22)</f>
        <v>---</v>
      </c>
      <c r="BM22" s="46" t="str">
        <f>IFS((AND(BG22=TRUE, BH22="Yes")), (IFS(ISBLANK(BJ22), BE22, BJ22="Novice 1", BE22, BJ22="Novice 2", BE22, BJ22="Novice 3", BE22, BJ22="Intermediate 2", (IF((BE22+(($F22-$E22)/2))&gt;$F22, $E22, (BE22+(($F22-$E22)/2)))), BJ22="Intermediate 1", (IF((BE22-(($F22-$E22)/2))&lt;$E22, $F22, (BE22-(($F22-$E22)/2)))), BJ22="Advanced 2", (IF((((($D22-$C22)/2))+BD22)&gt;$D22, (IF((BE22+(($F22-$E22)/2))&gt;$F22, $E22, (BE22+(($F22-$E22)/2)))), BE22)), BJ22="Advanced 1", (IF((((($D22-$C22)/2))+BD22)&gt;$D22, (IF((BE22-(($F22-$E22)/2))&lt;$E22, $F22, (BE22-(($F22-$E22)/2)))), BE22)))), (NOT((AND(BG22=TRUE, BH22="Yes")))), BE22)</f>
        <v>---</v>
      </c>
      <c r="BN22" s="40" t="str">
        <f>IFERROR(__xludf.DUMMYFUNCTION("IFS((AND(BG22=TRUE, BH22=""Yes"")), (IFS(ISBLANK(BJ22), BF22, BJ22=""Novice 1"", CEILING((BF22*1.05), $H22), BJ22=""Novice 2"", CEILING((BF22*1.025), $H22), BJ22=""Novice 3"", BF22+$H22, BJ22=""Intermediate 2"", (IF((ISBETWEEN(((((AY22-AX22)/2))+BE22), AX"&amp;"22, AY22)), BF22, BF22+$H22)), BJ22=""Intermediate 1"", (IF((ISBETWEEN((BE22-((AY22-AX22)/2)), AX22, AY22)), BF22+$H22, (FLOOR((BF22*0.9875), $H22)))), BJ22=""Advanced 2"", (IF(AND(((BD22+((AW22-AV22)/2))&gt;AW22), ((BE22+((AY22-AX22)/2))&gt;AY22)), BF22+$H22, "&amp;"(BF22))), BJ22=""Advanced 1"", (IFS(BM22&lt;BE22, BF22+$H22, BM22=BE22, (BF22), BM22&gt;BE22, (FLOOR((BF22*0.9875), $H22)))))), (AND(AY22=TRUE, AZ22=""No"", BG22=TRUE, BH22=""No"")), (FLOOR((BF22*0.9), $H22)), (NOT((AND(BG22=TRUE, BH22=""Yes"")))), BF22)"),"---")</f>
        <v>---</v>
      </c>
      <c r="BO22" s="41" t="b">
        <v>0</v>
      </c>
      <c r="BP22" s="47"/>
      <c r="BQ22" s="47"/>
      <c r="BR22" s="47" t="str">
        <f>IF((AND(BG22=TRUE, BH22="No", BO22=TRUE, BP22="No")), (IFS(ISBLANK(BJ22), BJ22, BJ22="Novice 1", "Novice 2", BJ22="Novice 2", "Novice 3", BJ22="Novice 3", "Intermediate 1", BJ22="Intermediate 1", "Intermediate 2", BJ22="Intermediate 2", "Advanced 1", BJ22="Advanced 1", "Advanced 2", BJ22="Advanced 2", "Advanced 2")), BJ22)</f>
        <v/>
      </c>
      <c r="BS22" s="45"/>
      <c r="BT22" s="48" t="str">
        <f>IFS((AND(BO22=TRUE, BP22="Yes")), (ifs(ISBLANK(BR22), BL22, BR22="Novice 1", BL22, BR22="Novice 2", BL22, BR22="Novice 3", BL22, BR22="Intermediate 2", BL22, BR22="Intermediate 1", BL22, BR22="Advanced 2", (IF((BL22+(($D22-$C22)/2))&gt;$D22, $C22, (BL22+(($D22-$C22)/2)))), BR22="Advanced 1", (IF((BL22+(($D22-$C22)/2))&gt;$D22, $C22, (BL22+(($D22-$C22)/2)))))), (NOT((AND(BO22=TRUE, BP22="Yes")))), BL22)</f>
        <v>---</v>
      </c>
      <c r="BU22" s="49" t="str">
        <f>IFS((AND(BO22=TRUE, BP22="Yes")), (IFS(ISBLANK(BR22), BM22, BR22="Novice 1", BM22, BR22="Novice 2", BM22, BR22="Novice 3", BM22, BR22="Intermediate 2", (IF((BM22+(($F22-$E22)/2))&gt;$F22, $E22, (BM22+(($F22-$E22)/2)))), BR22="Intermediate 1", (IF((BM22-(($F22-$E22)/2))&lt;$E22, $F22, (BM22-(($F22-$E22)/2)))), BR22="Advanced 2", (IF((((($D22-$C22)/2))+BL22)&gt;$D22, (IF((BM22+(($F22-$E22)/2))&gt;$F22, $E22, (BM22+(($F22-$E22)/2)))), BM22)), BR22="Advanced 1", (IF((((($D22-$C22)/2))+BL22)&gt;$D22, (IF((BM22-(($F22-$E22)/2))&lt;$E22, $F22, (BM22-(($F22-$E22)/2)))), BM22)))), (NOT((AND(BO22=TRUE, BP22="Yes")))), BM22)</f>
        <v>---</v>
      </c>
      <c r="BV22" s="50" t="str">
        <f>IFERROR(__xludf.DUMMYFUNCTION("IFS((AND(BO22=TRUE, BP22=""Yes"")), (IFS(ISBLANK(BR22), BN22, BR22=""Novice 1"", CEILING((BN22*1.05), $H22), BR22=""Novice 2"", CEILING((BN22*1.025), $H22), BR22=""Novice 3"", BN22+$H22, BR22=""Intermediate 2"", (IF((ISBETWEEN(((((BG22-BF22)/2))+BM22), BF"&amp;"22, BG22)), BN22, BN22+$H22)), BR22=""Intermediate 1"", (IF((ISBETWEEN((BM22-((BG22-BF22)/2)), BF22, BG22)), BN22+$H22, (FLOOR((BN22*0.9875), $H22)))), BR22=""Advanced 2"", (IF(AND(((BL22+((BE22-BD22)/2))&gt;BE22), ((BM22+((BG22-BF22)/2))&gt;BG22)), BN22+$H22, "&amp;"(BN22))), BR22=""Advanced 1"", (IFS(BU22&lt;BM22, BN22+$H22, BU22=BM22, (BN22), BU22&gt;BM22, (FLOOR((BN22*0.9875), $H22)))))), (AND(BG22=TRUE, BH22=""No"", BO22=TRUE, BP22=""No"")), (FLOOR((BN22*0.9), $H22)), (NOT((AND(BO22=TRUE, BP22=""Yes"")))), BN22)"),"---")</f>
        <v>---</v>
      </c>
      <c r="BW22" s="51" t="b">
        <v>0</v>
      </c>
      <c r="BX22" s="52"/>
      <c r="BY22" s="52"/>
      <c r="BZ22" s="52" t="str">
        <f>IF((AND(BO22=TRUE, BP22="No", BW22=TRUE, BX22="No")), (IFS(ISBLANK(BR22), BR22, BR22="Novice 1", "Novice 2", BR22="Novice 2", "Novice 3", BR22="Novice 3", "Intermediate 1", BR22="Intermediate 1", "Intermediate 2", BR22="Intermediate 2", "Advanced 1", BR22="Advanced 1", "Advanced 2", BR22="Advanced 2", "Advanced 2")), BR22)</f>
        <v/>
      </c>
      <c r="CA22" s="45"/>
      <c r="CB22" s="53" t="str">
        <f t="shared" ref="CB22:CC22" si="156">IFERROR(BT22/2,BT22)</f>
        <v>---</v>
      </c>
      <c r="CC22" s="53" t="str">
        <f t="shared" si="156"/>
        <v>---</v>
      </c>
      <c r="CD22" s="53" t="str">
        <f>BV22</f>
        <v>---</v>
      </c>
      <c r="CE22" s="67"/>
      <c r="CF22" s="45"/>
      <c r="CG22" s="39" t="str">
        <f>IFS((AND(BW22=TRUE, BX22="Yes")), (ifs(ISBLANK(BZ22), BT22, BZ22="Novice 1", BT22, BZ22="Novice 2", BT22, BZ22="Novice 3", BT22, BZ22="Intermediate 2", BT22, BZ22="Intermediate 1", BT22, BZ22="Advanced 2", (IF((BT22+(($D22-$C22)/2))&gt;$D22, $C22, (BT22+(($D22-$C22)/2)))), BZ22="Advanced 1", (IF((BT22+(($D22-$C22)/2))&gt;$D22, $C22, (BT22+(($D22-$C22)/2)))))), (NOT((AND(BW22=TRUE, BX22="Yes")))), BT22)</f>
        <v>---</v>
      </c>
      <c r="CH22" s="46" t="str">
        <f>IFS((AND(BW22=TRUE, BX22="Yes")), (IFS(ISBLANK(BZ22), BU22, BZ22="Novice 1", BU22, BZ22="Novice 2", BU22, BZ22="Novice 3", BU22, BZ22="Intermediate 2", (IF((BU22+(($F22-$E22)/2))&gt;$F22, $E22, (BU22+(($F22-$E22)/2)))), BZ22="Intermediate 1", (IF((BU22-(($F22-$E22)/2))&lt;$E22, $F22, (BU22-(($F22-$E22)/2)))), BZ22="Advanced 2", (IF((((($D22-$C22)/2))+BT22)&gt;$D22, (IF((BU22+(($F22-$E22)/2))&gt;$F22, $E22, (BU22+(($F22-$E22)/2)))), BU22)), BZ22="Advanced 1", (IF((((($D22-$C22)/2))+BT22)&gt;$D22, (IF((BU22-(($F22-$E22)/2))&lt;$E22, $F22, (BU22-(($F22-$E22)/2)))), BU22)))), (NOT((AND(BW22=TRUE, BX22="Yes")))), BU22)</f>
        <v>---</v>
      </c>
      <c r="CI22" s="40" t="str">
        <f>IFERROR(__xludf.DUMMYFUNCTION("IFS((AND(BW22=TRUE, BX22=""Yes"")), (IFS(ISBLANK(BZ22), BV22, BZ22=""Novice 1"", CEILING((BV22*1.05), $H22), BZ22=""Novice 2"", CEILING((BV22*1.025), $H22), BZ22=""Novice 3"", BV22+$H22, BZ22=""Intermediate 2"", (IF((ISBETWEEN(((((BO22-BN22)/2))+BU22), BN"&amp;"22, BO22)), BV22, BV22+$H22)), BZ22=""Intermediate 1"", (IF((ISBETWEEN((BU22-((BO22-BN22)/2)), BN22, BO22)), BV22+$H22, (FLOOR((BV22*0.9875), $H22)))), BZ22=""Advanced 2"", (IF(AND(((BT22+((BM22-BL22)/2))&gt;BM22), ((BU22+((BO22-BN22)/2))&gt;BO22)), BV22+$H22, "&amp;"(BV22))), BZ22=""Advanced 1"", (IFS(CH22&lt;BU22, BV22+$H22, CH22=BU22, (BV22), CH22&gt;BU22, (FLOOR((BV22*0.9875), $H22)))))), (AND(BO22=TRUE, BP22=""No"", BW22=TRUE, BX22=""No"")), (FLOOR((BV22*0.9), $H22)), (NOT((AND(BW22=TRUE, BX22=""Yes"")))), BV22)"),"---")</f>
        <v>---</v>
      </c>
      <c r="CJ22" s="41" t="b">
        <v>0</v>
      </c>
      <c r="CK22" s="47"/>
      <c r="CL22" s="47"/>
      <c r="CM22" s="47" t="str">
        <f>IF((AND(BW22=TRUE, BX22="No", CJ22=TRUE, CK22="No")), (IFS(ISBLANK(BZ22), BZ22, BZ22="Novice 1", "Novice 2", BZ22="Novice 2", "Novice 3", BZ22="Novice 3", "Intermediate 1", BZ22="Intermediate 1", "Intermediate 2", BZ22="Intermediate 2", "Advanced 1", BZ22="Advanced 1", "Advanced 2", BZ22="Advanced 2", "Advanced 2")), BZ22)</f>
        <v/>
      </c>
      <c r="CN22" s="45"/>
      <c r="CO22" s="39" t="str">
        <f>IFS((AND(CJ22=TRUE, CK22="Yes")), (ifs(ISBLANK(CM22), CG22, CM22="Novice 1", CG22, CM22="Novice 2", CG22, CM22="Novice 3", CG22, CM22="Intermediate 2", CG22, CM22="Intermediate 1", CG22, CM22="Advanced 2", (IF((CG22+(($D22-$C22)/2))&gt;$D22, $C22, (CG22+(($D22-$C22)/2)))), CM22="Advanced 1", (IF((CG22+(($D22-$C22)/2))&gt;$D22, $C22, (CG22+(($D22-$C22)/2)))))), (NOT((AND(CJ22=TRUE, CK22="Yes")))), CG22)</f>
        <v>---</v>
      </c>
      <c r="CP22" s="46" t="str">
        <f>IFS((AND(CJ22=TRUE, CK22="Yes")), (IFS(ISBLANK(CM22), CH22, CM22="Novice 1", CH22, CM22="Novice 2", CH22, CM22="Novice 3", CH22, CM22="Intermediate 2", (IF((CH22+(($F22-$E22)/2))&gt;$F22, $E22, (CH22+(($F22-$E22)/2)))), CM22="Intermediate 1", (IF((CH22-(($F22-$E22)/2))&lt;$E22, $F22, (CH22-(($F22-$E22)/2)))), CM22="Advanced 2", (IF((((($D22-$C22)/2))+CG22)&gt;$D22, (IF((CH22+(($F22-$E22)/2))&gt;$F22, $E22, (CH22+(($F22-$E22)/2)))), CH22)), CM22="Advanced 1", (IF((((($D22-$C22)/2))+CG22)&gt;$D22, (IF((CH22-(($F22-$E22)/2))&lt;$E22, $F22, (CH22-(($F22-$E22)/2)))), CH22)))), (NOT((AND(CJ22=TRUE, CK22="Yes")))), CH22)</f>
        <v>---</v>
      </c>
      <c r="CQ22" s="40" t="str">
        <f>IFERROR(__xludf.DUMMYFUNCTION("IFS((AND(CJ22=TRUE, CK22=""Yes"")), (IFS(ISBLANK(CM22), CI22, CM22=""Novice 1"", CEILING((CI22*1.05), $H22), CM22=""Novice 2"", CEILING((CI22*1.025), $H22), CM22=""Novice 3"", CI22+$H22, CM22=""Intermediate 2"", (IF((ISBETWEEN(((((BW22-BV22)/2))+CH22), BV"&amp;"22, BW22)), CI22, CI22+$H22)), CM22=""Intermediate 1"", (IF((ISBETWEEN((CH22-((BW22-BV22)/2)), BV22, BW22)), CI22+$H22, (FLOOR((CI22*0.9875), $H22)))), CM22=""Advanced 2"", (IF(AND(((CG22+((BU22-BT22)/2))&gt;BU22), ((CH22+((BW22-BV22)/2))&gt;BW22)), CI22+$H22, "&amp;"(CI22))), CM22=""Advanced 1"", (IFS(CP22&lt;CH22, CI22+$H22, CP22=CH22, (CI22), CP22&gt;CH22, (FLOOR((CI22*0.9875), $H22)))))), (AND(BW22=TRUE, BX22=""No"", CJ22=TRUE, CK22=""No"")), (FLOOR((CI22*0.9), $H22)), (NOT((AND(CJ22=TRUE, CK22=""Yes"")))), CI22)"),"---")</f>
        <v>---</v>
      </c>
      <c r="CR22" s="41" t="b">
        <v>0</v>
      </c>
      <c r="CS22" s="47"/>
      <c r="CT22" s="47"/>
      <c r="CU22" s="47" t="str">
        <f>IF((AND(CJ22=TRUE, CK22="No", CR22=TRUE, CS22="No")), (IFS(ISBLANK(CM22), CM22, CM22="Novice 1", "Novice 2", CM22="Novice 2", "Novice 3", CM22="Novice 3", "Intermediate 1", CM22="Intermediate 1", "Intermediate 2", CM22="Intermediate 2", "Advanced 1", CM22="Advanced 1", "Advanced 2", CM22="Advanced 2", "Advanced 2")), CM22)</f>
        <v/>
      </c>
      <c r="CV22" s="45"/>
      <c r="CW22" s="39" t="str">
        <f>IFS((AND(CR22=TRUE, CS22="Yes")), (ifs(ISBLANK(CU22), CO22, CU22="Novice 1", CO22, CU22="Novice 2", CO22, CU22="Novice 3", CO22, CU22="Intermediate 2", CO22, CU22="Intermediate 1", CO22, CU22="Advanced 2", (IF((CO22+(($D22-$C22)/2))&gt;$D22, $C22, (CO22+(($D22-$C22)/2)))), CU22="Advanced 1", (IF((CO22+(($D22-$C22)/2))&gt;$D22, $C22, (CO22+(($D22-$C22)/2)))))), (NOT((AND(CR22=TRUE, CS22="Yes")))), CO22)</f>
        <v>---</v>
      </c>
      <c r="CX22" s="46" t="str">
        <f>IFS((AND(CR22=TRUE, CS22="Yes")), (IFS(ISBLANK(CU22), CP22, CU22="Novice 1", CP22, CU22="Novice 2", CP22, CU22="Novice 3", CP22, CU22="Intermediate 2", (IF((CP22+(($F22-$E22)/2))&gt;$F22, $E22, (CP22+(($F22-$E22)/2)))), CU22="Intermediate 1", (IF((CP22-(($F22-$E22)/2))&lt;$E22, $F22, (CP22-(($F22-$E22)/2)))), CU22="Advanced 2", (IF((((($D22-$C22)/2))+CO22)&gt;$D22, (IF((CP22+(($F22-$E22)/2))&gt;$F22, $E22, (CP22+(($F22-$E22)/2)))), CP22)), CU22="Advanced 1", (IF((((($D22-$C22)/2))+CO22)&gt;$D22, (IF((CP22-(($F22-$E22)/2))&lt;$E22, $F22, (CP22-(($F22-$E22)/2)))), CP22)))), (NOT((AND(CR22=TRUE, CS22="Yes")))), CP22)</f>
        <v>---</v>
      </c>
      <c r="CY22" s="40" t="str">
        <f>IFERROR(__xludf.DUMMYFUNCTION("IFS((AND(CR22=TRUE, CS22=""Yes"")), (IFS(ISBLANK(CU22), CQ22, CU22=""Novice 1"", CEILING((CQ22*1.05), $H22), CU22=""Novice 2"", CEILING((CQ22*1.025), $H22), CU22=""Novice 3"", CQ22+$H22, CU22=""Intermediate 2"", (IF((ISBETWEEN(((((CJ22-CI22)/2))+CP22), CI"&amp;"22, CJ22)), CQ22, CQ22+$H22)), CU22=""Intermediate 1"", (IF((ISBETWEEN((CP22-((CJ22-CI22)/2)), CI22, CJ22)), CQ22+$H22, (FLOOR((CQ22*0.9875), $H22)))), CU22=""Advanced 2"", (IF(AND(((CO22+((CH22-CG22)/2))&gt;CH22), ((CP22+((CJ22-CI22)/2))&gt;CJ22)), CQ22+$H22, "&amp;"(CQ22))), CU22=""Advanced 1"", (IFS(CX22&lt;CP22, CQ22+$H22, CX22=CP22, (CQ22), CX22&gt;CP22, (FLOOR((CQ22*0.9875), $H22)))))), (AND(CJ22=TRUE, CK22=""No"", CR22=TRUE, CS22=""No"")), (FLOOR((CQ22*0.9), $H22)), (NOT((AND(CR22=TRUE, CS22=""Yes"")))), CQ22)"),"---")</f>
        <v>---</v>
      </c>
      <c r="CZ22" s="41" t="b">
        <v>0</v>
      </c>
      <c r="DA22" s="47"/>
      <c r="DB22" s="47"/>
      <c r="DC22" s="47" t="str">
        <f>IF((AND(CR22=TRUE, CS22="No", CZ22=TRUE, DA22="No")), (IFS(ISBLANK(CU22), CU22, CU22="Novice 1", "Novice 2", CU22="Novice 2", "Novice 3", CU22="Novice 3", "Intermediate 1", CU22="Intermediate 1", "Intermediate 2", CU22="Intermediate 2", "Advanced 1", CU22="Advanced 1", "Advanced 2", CU22="Advanced 2", "Advanced 2")), CU22)</f>
        <v/>
      </c>
      <c r="DD22" s="45"/>
      <c r="DE22" s="48" t="str">
        <f>IFS((AND(CZ22=TRUE, DA22="Yes")), (ifs(ISBLANK(DC22), CW22, DC22="Novice 1", CW22, DC22="Novice 2", CW22, DC22="Novice 3", CW22, DC22="Intermediate 2", CW22, DC22="Intermediate 1", CW22, DC22="Advanced 2", (IF((CW22+(($D22-$C22)/2))&gt;$D22, $C22, (CW22+(($D22-$C22)/2)))), DC22="Advanced 1", (IF((CW22+(($D22-$C22)/2))&gt;$D22, $C22, (CW22+(($D22-$C22)/2)))))), (NOT((AND(CZ22=TRUE, DA22="Yes")))), CW22)</f>
        <v>---</v>
      </c>
      <c r="DF22" s="49" t="str">
        <f>IFS((AND(CZ22=TRUE, DA22="Yes")), (IFS(ISBLANK(DC22), CX22, DC22="Novice 1", CX22, DC22="Novice 2", CX22, DC22="Novice 3", CX22, DC22="Intermediate 2", (IF((CX22+(($F22-$E22)/2))&gt;$F22, $E22, (CX22+(($F22-$E22)/2)))), DC22="Intermediate 1", (IF((CX22-(($F22-$E22)/2))&lt;$E22, $F22, (CX22-(($F22-$E22)/2)))), DC22="Advanced 2", (IF((((($D22-$C22)/2))+CW22)&gt;$D22, (IF((CX22+(($F22-$E22)/2))&gt;$F22, $E22, (CX22+(($F22-$E22)/2)))), CX22)), DC22="Advanced 1", (IF((((($D22-$C22)/2))+CW22)&gt;$D22, (IF((CX22-(($F22-$E22)/2))&lt;$E22, $F22, (CX22-(($F22-$E22)/2)))), CX22)))), (NOT((AND(CZ22=TRUE, DA22="Yes")))), CX22)</f>
        <v>---</v>
      </c>
      <c r="DG22" s="50" t="str">
        <f>IFERROR(__xludf.DUMMYFUNCTION("IFS((AND(CZ22=TRUE, DA22=""Yes"")), (IFS(ISBLANK(DC22), CY22, DC22=""Novice 1"", CEILING((CY22*1.05), $H22), DC22=""Novice 2"", CEILING((CY22*1.025), $H22), DC22=""Novice 3"", CY22+$H22, DC22=""Intermediate 2"", (IF((ISBETWEEN(((((CR22-CQ22)/2))+CX22), CQ"&amp;"22, CR22)), CY22, CY22+$H22)), DC22=""Intermediate 1"", (IF((ISBETWEEN((CX22-((CR22-CQ22)/2)), CQ22, CR22)), CY22+$H22, (FLOOR((CY22*0.9875), $H22)))), DC22=""Advanced 2"", (IF(AND(((CW22+((CP22-CO22)/2))&gt;CP22), ((CX22+((CR22-CQ22)/2))&gt;CR22)), CY22+$H22, "&amp;"(CY22))), DC22=""Advanced 1"", (IFS(DF22&lt;CX22, CY22+$H22, DF22=CX22, (CY22), DF22&gt;CX22, (FLOOR((CY22*0.9875), $H22)))))), (AND(CR22=TRUE, CS22=""No"", CZ22=TRUE, DA22=""No"")), (FLOOR((CY22*0.9), $H22)), (NOT((AND(CZ22=TRUE, DA22=""Yes"")))), CY22)"),"---")</f>
        <v>---</v>
      </c>
      <c r="DH22" s="51" t="b">
        <v>0</v>
      </c>
      <c r="DI22" s="52"/>
      <c r="DJ22" s="52"/>
      <c r="DK22" s="52" t="str">
        <f>IF((AND(CZ22=TRUE, DA22="No", DH22=TRUE, DI22="No")), (IFS(ISBLANK(DC22), DC22, DC22="Novice 1", "Novice 2", DC22="Novice 2", "Novice 3", DC22="Novice 3", "Intermediate 1", DC22="Intermediate 1", "Intermediate 2", DC22="Intermediate 2", "Advanced 1", DC22="Advanced 1", "Advanced 2", DC22="Advanced 2", "Advanced 2")), DC22)</f>
        <v/>
      </c>
      <c r="DL22" s="45"/>
      <c r="DM22" s="53" t="str">
        <f t="shared" ref="DM22:DN22" si="157">IFERROR(DE22/2,DE22)</f>
        <v>---</v>
      </c>
      <c r="DN22" s="53" t="str">
        <f t="shared" si="157"/>
        <v>---</v>
      </c>
      <c r="DO22" s="53" t="str">
        <f>DG22</f>
        <v>---</v>
      </c>
      <c r="DP22" s="67"/>
      <c r="DQ22" s="45"/>
      <c r="DR22" s="39" t="str">
        <f>IFS((AND(DH22=TRUE, DI22="Yes")), (ifs(ISBLANK(DK22), DE22, DK22="Novice 1", DE22, DK22="Novice 2", DE22, DK22="Novice 3", DE22, DK22="Intermediate 2", DE22, DK22="Intermediate 1", DE22, DK22="Advanced 2", (IF((DE22+(($D22-$C22)/2))&gt;$D22, $C22, (DE22+(($D22-$C22)/2)))), DK22="Advanced 1", (IF((DE22+(($D22-$C22)/2))&gt;$D22, $C22, (DE22+(($D22-$C22)/2)))))), (NOT((AND(DH22=TRUE, DI22="Yes")))), DE22)</f>
        <v>---</v>
      </c>
      <c r="DS22" s="46" t="str">
        <f>IFS((AND(DH22=TRUE, DI22="Yes")), (IFS(ISBLANK(DK22), DF22, DK22="Novice 1", DF22, DK22="Novice 2", DF22, DK22="Novice 3", DF22, DK22="Intermediate 2", (IF((DF22+(($F22-$E22)/2))&gt;$F22, $E22, (DF22+(($F22-$E22)/2)))), DK22="Intermediate 1", (IF((DF22-(($F22-$E22)/2))&lt;$E22, $F22, (DF22-(($F22-$E22)/2)))), DK22="Advanced 2", (IF((((($D22-$C22)/2))+DE22)&gt;$D22, (IF((DF22+(($F22-$E22)/2))&gt;$F22, $E22, (DF22+(($F22-$E22)/2)))), DF22)), DK22="Advanced 1", (IF((((($D22-$C22)/2))+DE22)&gt;$D22, (IF((DF22-(($F22-$E22)/2))&lt;$E22, $F22, (DF22-(($F22-$E22)/2)))), DF22)))), (NOT((AND(DH22=TRUE, DI22="Yes")))), DF22)</f>
        <v>---</v>
      </c>
      <c r="DT22" s="40" t="str">
        <f>IFERROR(__xludf.DUMMYFUNCTION("IFS((AND(DH22=TRUE, DI22=""Yes"")), (IFS(ISBLANK(DK22), DG22, DK22=""Novice 1"", CEILING((DG22*1.05), $H22), DK22=""Novice 2"", CEILING((DG22*1.025), $H22), DK22=""Novice 3"", DG22+$H22, DK22=""Intermediate 2"", (IF((ISBETWEEN(((((CZ22-CY22)/2))+DF22), CY"&amp;"22, CZ22)), DG22, DG22+$H22)), DK22=""Intermediate 1"", (IF((ISBETWEEN((DF22-((CZ22-CY22)/2)), CY22, CZ22)), DG22+$H22, (FLOOR((DG22*0.9875), $H22)))), DK22=""Advanced 2"", (IF(AND(((DE22+((CX22-CW22)/2))&gt;CX22), ((DF22+((CZ22-CY22)/2))&gt;CZ22)), DG22+$H22, "&amp;"(DG22))), DK22=""Advanced 1"", (IFS(DS22&lt;DF22, DG22+$H22, DS22=DF22, (DG22), DS22&gt;DF22, (FLOOR((DG22*0.9875), $H22)))))), (AND(CZ22=TRUE, DA22=""No"", DH22=TRUE, DI22=""No"")), (FLOOR((DG22*0.9), $H22)), (NOT((AND(DH22=TRUE, DI22=""Yes"")))), DG22)"),"---")</f>
        <v>---</v>
      </c>
      <c r="DU22" s="41" t="b">
        <v>0</v>
      </c>
      <c r="DV22" s="47"/>
      <c r="DW22" s="47"/>
      <c r="DX22" s="47" t="str">
        <f>IF((AND(DH22=TRUE, DI22="No", DU22=TRUE, DV22="No")), (IFS(ISBLANK(DK22), DK22, DK22="Novice 1", "Novice 2", DK22="Novice 2", "Novice 3", DK22="Novice 3", "Intermediate 1", DK22="Intermediate 1", "Intermediate 2", DK22="Intermediate 2", "Advanced 1", DK22="Advanced 1", "Advanced 2", DK22="Advanced 2", "Advanced 2")), DK22)</f>
        <v/>
      </c>
      <c r="DY22" s="45"/>
      <c r="DZ22" s="39" t="str">
        <f>IFS((AND(DU22=TRUE, DV22="Yes")), (ifs(ISBLANK(DX22), DR22, DX22="Novice 1", DR22, DX22="Novice 2", DR22, DX22="Novice 3", DR22, DX22="Intermediate 2", DR22, DX22="Intermediate 1", DR22, DX22="Advanced 2", (IF((DR22+(($D22-$C22)/2))&gt;$D22, $C22, (DR22+(($D22-$C22)/2)))), DX22="Advanced 1", (IF((DR22+(($D22-$C22)/2))&gt;$D22, $C22, (DR22+(($D22-$C22)/2)))))), (NOT((AND(DU22=TRUE, DV22="Yes")))), DR22)</f>
        <v>---</v>
      </c>
      <c r="EA22" s="46" t="str">
        <f>IFS((AND(DU22=TRUE, DV22="Yes")), (IFS(ISBLANK(DX22), DS22, DX22="Novice 1", DS22, DX22="Novice 2", DS22, DX22="Novice 3", DS22, DX22="Intermediate 2", (IF((DS22+(($F22-$E22)/2))&gt;$F22, $E22, (DS22+(($F22-$E22)/2)))), DX22="Intermediate 1", (IF((DS22-(($F22-$E22)/2))&lt;$E22, $F22, (DS22-(($F22-$E22)/2)))), DX22="Advanced 2", (IF((((($D22-$C22)/2))+DR22)&gt;$D22, (IF((DS22+(($F22-$E22)/2))&gt;$F22, $E22, (DS22+(($F22-$E22)/2)))), DS22)), DX22="Advanced 1", (IF((((($D22-$C22)/2))+DR22)&gt;$D22, (IF((DS22-(($F22-$E22)/2))&lt;$E22, $F22, (DS22-(($F22-$E22)/2)))), DS22)))), (NOT((AND(DU22=TRUE, DV22="Yes")))), DS22)</f>
        <v>---</v>
      </c>
      <c r="EB22" s="40" t="str">
        <f>IFERROR(__xludf.DUMMYFUNCTION("IFS((AND(DU22=TRUE, DV22=""Yes"")), (IFS(ISBLANK(DX22), DT22, DX22=""Novice 1"", CEILING((DT22*1.05), $H22), DX22=""Novice 2"", CEILING((DT22*1.025), $H22), DX22=""Novice 3"", DT22+$H22, DX22=""Intermediate 2"", (IF((ISBETWEEN(((((DH22-DG22)/2))+DS22), DG"&amp;"22, DH22)), DT22, DT22+$H22)), DX22=""Intermediate 1"", (IF((ISBETWEEN((DS22-((DH22-DG22)/2)), DG22, DH22)), DT22+$H22, (FLOOR((DT22*0.9875), $H22)))), DX22=""Advanced 2"", (IF(AND(((DR22+((DF22-DE22)/2))&gt;DF22), ((DS22+((DH22-DG22)/2))&gt;DH22)), DT22+$H22, "&amp;"(DT22))), DX22=""Advanced 1"", (IFS(EA22&lt;DS22, DT22+$H22, EA22=DS22, (DT22), EA22&gt;DS22, (FLOOR((DT22*0.9875), $H22)))))), (AND(DH22=TRUE, DI22=""No"", DU22=TRUE, DV22=""No"")), (FLOOR((DT22*0.9), $H22)), (NOT((AND(DU22=TRUE, DV22=""Yes"")))), DT22)"),"---")</f>
        <v>---</v>
      </c>
      <c r="EC22" s="41" t="b">
        <v>0</v>
      </c>
      <c r="ED22" s="47"/>
      <c r="EE22" s="47"/>
      <c r="EF22" s="47" t="str">
        <f>IF((AND(DU22=TRUE, DV22="No", EC22=TRUE, ED22="No")), (IFS(ISBLANK(DX22), DX22, DX22="Novice 1", "Novice 2", DX22="Novice 2", "Novice 3", DX22="Novice 3", "Intermediate 1", DX22="Intermediate 1", "Intermediate 2", DX22="Intermediate 2", "Advanced 1", DX22="Advanced 1", "Advanced 2", DX22="Advanced 2", "Advanced 2")), DX22)</f>
        <v/>
      </c>
      <c r="EG22" s="45"/>
      <c r="EH22" s="39" t="str">
        <f>IFS((AND(EC22=TRUE, ED22="Yes")), (ifs(ISBLANK(EF22), DZ22, EF22="Novice 1", DZ22, EF22="Novice 2", DZ22, EF22="Novice 3", DZ22, EF22="Intermediate 2", DZ22, EF22="Intermediate 1", DZ22, EF22="Advanced 2", (IF((DZ22+(($D22-$C22)/2))&gt;$D22, $C22, (DZ22+(($D22-$C22)/2)))), EF22="Advanced 1", (IF((DZ22+(($D22-$C22)/2))&gt;$D22, $C22, (DZ22+(($D22-$C22)/2)))))), (NOT((AND(EC22=TRUE, ED22="Yes")))), DZ22)</f>
        <v>---</v>
      </c>
      <c r="EI22" s="46" t="str">
        <f>IFS((AND(EC22=TRUE, ED22="Yes")), (IFS(ISBLANK(EF22), EA22, EF22="Novice 1", EA22, EF22="Novice 2", EA22, EF22="Novice 3", EA22, EF22="Intermediate 2", (IF((EA22+(($F22-$E22)/2))&gt;$F22, $E22, (EA22+(($F22-$E22)/2)))), EF22="Intermediate 1", (IF((EA22-(($F22-$E22)/2))&lt;$E22, $F22, (EA22-(($F22-$E22)/2)))), EF22="Advanced 2", (IF((((($D22-$C22)/2))+DZ22)&gt;$D22, (IF((EA22+(($F22-$E22)/2))&gt;$F22, $E22, (EA22+(($F22-$E22)/2)))), EA22)), EF22="Advanced 1", (IF((((($D22-$C22)/2))+DZ22)&gt;$D22, (IF((EA22-(($F22-$E22)/2))&lt;$E22, $F22, (EA22-(($F22-$E22)/2)))), EA22)))), (NOT((AND(EC22=TRUE, ED22="Yes")))), EA22)</f>
        <v>---</v>
      </c>
      <c r="EJ22" s="40" t="str">
        <f>IFERROR(__xludf.DUMMYFUNCTION("IFS((AND(EC22=TRUE, ED22=""Yes"")), (IFS(ISBLANK(EF22), EB22, EF22=""Novice 1"", CEILING((EB22*1.05), $H22), EF22=""Novice 2"", CEILING((EB22*1.025), $H22), EF22=""Novice 3"", EB22+$H22, EF22=""Intermediate 2"", (IF((ISBETWEEN(((((DU22-DT22)/2))+EA22), DT"&amp;"22, DU22)), EB22, EB22+$H22)), EF22=""Intermediate 1"", (IF((ISBETWEEN((EA22-((DU22-DT22)/2)), DT22, DU22)), EB22+$H22, (FLOOR((EB22*0.9875), $H22)))), EF22=""Advanced 2"", (IF(AND(((DZ22+((DS22-DR22)/2))&gt;DS22), ((EA22+((DU22-DT22)/2))&gt;DU22)), EB22+$H22, "&amp;"(EB22))), EF22=""Advanced 1"", (IFS(EI22&lt;EA22, EB22+$H22, EI22=EA22, (EB22), EI22&gt;EA22, (FLOOR((EB22*0.9875), $H22)))))), (AND(DU22=TRUE, DV22=""No"", EC22=TRUE, ED22=""No"")), (FLOOR((EB22*0.9), $H22)), (NOT((AND(EC22=TRUE, ED22=""Yes"")))), EB22)"),"---")</f>
        <v>---</v>
      </c>
      <c r="EK22" s="41" t="b">
        <v>0</v>
      </c>
      <c r="EL22" s="47"/>
      <c r="EM22" s="47"/>
      <c r="EN22" s="47" t="str">
        <f>IF((AND(EC22=TRUE, ED22="No", EK22=TRUE, EL22="No")), (IFS(ISBLANK(EF22), EF22, EF22="Novice 1", "Novice 2", EF22="Novice 2", "Novice 3", EF22="Novice 3", "Intermediate 1", EF22="Intermediate 1", "Intermediate 2", EF22="Intermediate 2", "Advanced 1", EF22="Advanced 1", "Advanced 2", EF22="Advanced 2", "Advanced 2")), EF22)</f>
        <v/>
      </c>
      <c r="EO22" s="45"/>
      <c r="EP22" s="48" t="str">
        <f>IFS((AND(EK22=TRUE, EL22="Yes")), (ifs(ISBLANK(EN22), EH22, EN22="Novice 1", EH22, EN22="Novice 2", EH22, EN22="Novice 3", EH22, EN22="Intermediate 2", EH22, EN22="Intermediate 1", EH22, EN22="Advanced 2", (IF((EH22+(($D22-$C22)/2))&gt;$D22, $C22, (EH22+(($D22-$C22)/2)))), EN22="Advanced 1", (IF((EH22+(($D22-$C22)/2))&gt;$D22, $C22, (EH22+(($D22-$C22)/2)))))), (NOT((AND(EK22=TRUE, EL22="Yes")))), EH22)</f>
        <v>---</v>
      </c>
      <c r="EQ22" s="49" t="str">
        <f>IFS((AND(EK22=TRUE, EL22="Yes")), (IFS(ISBLANK(EN22), EI22, EN22="Novice 1", EI22, EN22="Novice 2", EI22, EN22="Novice 3", EI22, EN22="Intermediate 2", (IF((EI22+(($F22-$E22)/2))&gt;$F22, $E22, (EI22+(($F22-$E22)/2)))), EN22="Intermediate 1", (IF((EI22-(($F22-$E22)/2))&lt;$E22, $F22, (EI22-(($F22-$E22)/2)))), EN22="Advanced 2", (IF((((($D22-$C22)/2))+EH22)&gt;$D22, (IF((EI22+(($F22-$E22)/2))&gt;$F22, $E22, (EI22+(($F22-$E22)/2)))), EI22)), EN22="Advanced 1", (IF((((($D22-$C22)/2))+EH22)&gt;$D22, (IF((EI22-(($F22-$E22)/2))&lt;$E22, $F22, (EI22-(($F22-$E22)/2)))), EI22)))), (NOT((AND(EK22=TRUE, EL22="Yes")))), EI22)</f>
        <v>---</v>
      </c>
      <c r="ER22" s="50" t="str">
        <f>IFERROR(__xludf.DUMMYFUNCTION("IFS((AND(EK22=TRUE, EL22=""Yes"")), (IFS(ISBLANK(EN22), EJ22, EN22=""Novice 1"", CEILING((EJ22*1.05), $H22), EN22=""Novice 2"", CEILING((EJ22*1.025), $H22), EN22=""Novice 3"", EJ22+$H22, EN22=""Intermediate 2"", (IF((ISBETWEEN(((((EC22-EB22)/2))+EI22), EB"&amp;"22, EC22)), EJ22, EJ22+$H22)), EN22=""Intermediate 1"", (IF((ISBETWEEN((EI22-((EC22-EB22)/2)), EB22, EC22)), EJ22+$H22, (FLOOR((EJ22*0.9875), $H22)))), EN22=""Advanced 2"", (IF(AND(((EH22+((EA22-DZ22)/2))&gt;EA22), ((EI22+((EC22-EB22)/2))&gt;EC22)), EJ22+$H22, "&amp;"(EJ22))), EN22=""Advanced 1"", (IFS(EQ22&lt;EI22, EJ22+$H22, EQ22=EI22, (EJ22), EQ22&gt;EI22, (FLOOR((EJ22*0.9875), $H22)))))), (AND(EC22=TRUE, ED22=""No"", EK22=TRUE, EL22=""No"")), (FLOOR((EJ22*0.9), $H22)), (NOT((AND(EK22=TRUE, EL22=""Yes"")))), EJ22)"),"---")</f>
        <v>---</v>
      </c>
      <c r="ES22" s="51" t="b">
        <v>0</v>
      </c>
      <c r="ET22" s="52"/>
      <c r="EU22" s="52"/>
      <c r="EV22" s="52" t="str">
        <f>IF((AND(EK22=TRUE, EL22="No", ES22=TRUE, ET22="No")), (IFS(ISBLANK(EN22), EN22, EN22="Novice 1", "Novice 2", EN22="Novice 2", "Novice 3", EN22="Novice 3", "Intermediate 1", EN22="Intermediate 1", "Intermediate 2", EN22="Intermediate 2", "Advanced 1", EN22="Advanced 1", "Advanced 2", EN22="Advanced 2", "Advanced 2")), EN22)</f>
        <v/>
      </c>
      <c r="EW22" s="45"/>
      <c r="EX22" s="53" t="str">
        <f t="shared" ref="EX22:EY22" si="158">IFERROR(EP22/2,EP22)</f>
        <v>---</v>
      </c>
      <c r="EY22" s="53" t="str">
        <f t="shared" si="158"/>
        <v>---</v>
      </c>
      <c r="EZ22" s="53" t="str">
        <f>ER22</f>
        <v>---</v>
      </c>
      <c r="FA22" s="67"/>
      <c r="FB22" s="86"/>
      <c r="FC22" s="57"/>
    </row>
    <row r="23" outlineLevel="1">
      <c r="A23" s="81" t="s">
        <v>54</v>
      </c>
      <c r="B23" s="58"/>
      <c r="C23" s="82" t="s">
        <v>53</v>
      </c>
      <c r="D23" s="83" t="s">
        <v>53</v>
      </c>
      <c r="E23" s="82" t="s">
        <v>53</v>
      </c>
      <c r="F23" s="83" t="s">
        <v>53</v>
      </c>
      <c r="G23" s="83" t="s">
        <v>53</v>
      </c>
      <c r="H23" s="84"/>
      <c r="I23" s="85"/>
      <c r="J23" s="59"/>
      <c r="K23" s="39"/>
      <c r="L23" s="40"/>
      <c r="M23" s="40"/>
      <c r="N23" s="41" t="b">
        <v>0</v>
      </c>
      <c r="O23" s="42"/>
      <c r="P23" s="43"/>
      <c r="Q23" s="42"/>
      <c r="R23" s="60"/>
      <c r="S23" s="39"/>
      <c r="T23" s="46"/>
      <c r="U23" s="40"/>
      <c r="V23" s="41" t="b">
        <v>0</v>
      </c>
      <c r="W23" s="47"/>
      <c r="X23" s="47"/>
      <c r="Y23" s="47"/>
      <c r="Z23" s="60"/>
      <c r="AA23" s="39"/>
      <c r="AB23" s="46"/>
      <c r="AC23" s="40"/>
      <c r="AD23" s="41" t="b">
        <v>0</v>
      </c>
      <c r="AE23" s="47"/>
      <c r="AF23" s="47"/>
      <c r="AG23" s="47"/>
      <c r="AH23" s="60"/>
      <c r="AI23" s="61"/>
      <c r="AJ23" s="62"/>
      <c r="AK23" s="63"/>
      <c r="AL23" s="64" t="b">
        <v>0</v>
      </c>
      <c r="AM23" s="65"/>
      <c r="AN23" s="65"/>
      <c r="AO23" s="65"/>
      <c r="AP23" s="66"/>
      <c r="AQ23" s="53"/>
      <c r="AR23" s="53"/>
      <c r="AS23" s="53"/>
      <c r="AT23" s="67"/>
      <c r="AU23" s="60"/>
      <c r="AV23" s="39"/>
      <c r="AW23" s="46"/>
      <c r="AX23" s="40"/>
      <c r="AY23" s="41" t="b">
        <v>0</v>
      </c>
      <c r="AZ23" s="47"/>
      <c r="BA23" s="47"/>
      <c r="BB23" s="47"/>
      <c r="BC23" s="60"/>
      <c r="BD23" s="39"/>
      <c r="BE23" s="46"/>
      <c r="BF23" s="40"/>
      <c r="BG23" s="41" t="b">
        <v>0</v>
      </c>
      <c r="BH23" s="47"/>
      <c r="BI23" s="47"/>
      <c r="BJ23" s="47"/>
      <c r="BK23" s="60"/>
      <c r="BL23" s="39"/>
      <c r="BM23" s="46"/>
      <c r="BN23" s="40"/>
      <c r="BO23" s="41" t="b">
        <v>0</v>
      </c>
      <c r="BP23" s="47"/>
      <c r="BQ23" s="47"/>
      <c r="BR23" s="47"/>
      <c r="BS23" s="60"/>
      <c r="BT23" s="61"/>
      <c r="BU23" s="62"/>
      <c r="BV23" s="63"/>
      <c r="BW23" s="64" t="b">
        <v>0</v>
      </c>
      <c r="BX23" s="65"/>
      <c r="BY23" s="65"/>
      <c r="BZ23" s="65"/>
      <c r="CA23" s="66"/>
      <c r="CB23" s="53"/>
      <c r="CC23" s="53"/>
      <c r="CD23" s="53"/>
      <c r="CE23" s="67"/>
      <c r="CF23" s="60"/>
      <c r="CG23" s="39"/>
      <c r="CH23" s="46"/>
      <c r="CI23" s="40"/>
      <c r="CJ23" s="41" t="b">
        <v>0</v>
      </c>
      <c r="CK23" s="47"/>
      <c r="CL23" s="47"/>
      <c r="CM23" s="47"/>
      <c r="CN23" s="60"/>
      <c r="CO23" s="39"/>
      <c r="CP23" s="46"/>
      <c r="CQ23" s="40"/>
      <c r="CR23" s="41" t="b">
        <v>0</v>
      </c>
      <c r="CS23" s="47"/>
      <c r="CT23" s="47"/>
      <c r="CU23" s="47"/>
      <c r="CV23" s="60"/>
      <c r="CW23" s="39"/>
      <c r="CX23" s="46"/>
      <c r="CY23" s="40"/>
      <c r="CZ23" s="41" t="b">
        <v>0</v>
      </c>
      <c r="DA23" s="47"/>
      <c r="DB23" s="47"/>
      <c r="DC23" s="47"/>
      <c r="DD23" s="60"/>
      <c r="DE23" s="61"/>
      <c r="DF23" s="62"/>
      <c r="DG23" s="63"/>
      <c r="DH23" s="64" t="b">
        <v>0</v>
      </c>
      <c r="DI23" s="65"/>
      <c r="DJ23" s="65"/>
      <c r="DK23" s="65"/>
      <c r="DL23" s="66"/>
      <c r="DM23" s="53"/>
      <c r="DN23" s="53"/>
      <c r="DO23" s="53"/>
      <c r="DP23" s="67"/>
      <c r="DQ23" s="60"/>
      <c r="DR23" s="39"/>
      <c r="DS23" s="46"/>
      <c r="DT23" s="40"/>
      <c r="DU23" s="41" t="b">
        <v>0</v>
      </c>
      <c r="DV23" s="47"/>
      <c r="DW23" s="47"/>
      <c r="DX23" s="47"/>
      <c r="DY23" s="60"/>
      <c r="DZ23" s="39"/>
      <c r="EA23" s="46"/>
      <c r="EB23" s="40"/>
      <c r="EC23" s="41" t="b">
        <v>0</v>
      </c>
      <c r="ED23" s="47"/>
      <c r="EE23" s="47"/>
      <c r="EF23" s="47"/>
      <c r="EG23" s="60"/>
      <c r="EH23" s="39"/>
      <c r="EI23" s="46"/>
      <c r="EJ23" s="40"/>
      <c r="EK23" s="41" t="b">
        <v>0</v>
      </c>
      <c r="EL23" s="47"/>
      <c r="EM23" s="47"/>
      <c r="EN23" s="47"/>
      <c r="EO23" s="60"/>
      <c r="EP23" s="61"/>
      <c r="EQ23" s="62"/>
      <c r="ER23" s="63"/>
      <c r="ES23" s="64" t="b">
        <v>0</v>
      </c>
      <c r="ET23" s="65"/>
      <c r="EU23" s="65"/>
      <c r="EV23" s="65"/>
      <c r="EW23" s="66"/>
      <c r="EX23" s="53"/>
      <c r="EY23" s="53"/>
      <c r="EZ23" s="53"/>
      <c r="FA23" s="67"/>
      <c r="FB23" s="86"/>
      <c r="FC23" s="57"/>
    </row>
    <row r="24" outlineLevel="1">
      <c r="A24" s="32" t="s">
        <v>37</v>
      </c>
      <c r="B24" s="58"/>
      <c r="C24" s="82" t="s">
        <v>53</v>
      </c>
      <c r="D24" s="83" t="s">
        <v>53</v>
      </c>
      <c r="E24" s="82" t="s">
        <v>53</v>
      </c>
      <c r="F24" s="83" t="s">
        <v>53</v>
      </c>
      <c r="G24" s="83" t="s">
        <v>53</v>
      </c>
      <c r="H24" s="84"/>
      <c r="I24" s="85"/>
      <c r="J24" s="59"/>
      <c r="K24" s="39" t="str">
        <f t="shared" ref="K24:K27" si="163">ifs(ISBLANK(I24), C24, I24="Novice 1", C24, I24="Novice 2", C24, I24="Novice 3", C24, I24="Intermediate 2", C24, I24="Intermediate 1", C24, I24="Advanced 2", C24, I24="Advanced 1", C24)</f>
        <v>---</v>
      </c>
      <c r="L24" s="40" t="str">
        <f t="shared" ref="L24:L27" si="164">ifs(ISBLANK(I24), E24, I24="Novice 1", E24, I24="Novice 2", E24, I24="Novice 3", E24, I24="Intermediate 2", E24, I24="Intermediate 1", F24, I24="Advanced 2", E24, I24="Advanced 1", F24)</f>
        <v>---</v>
      </c>
      <c r="M24" s="40" t="str">
        <f t="shared" ref="M24:M27" si="165">G24</f>
        <v>---</v>
      </c>
      <c r="N24" s="41" t="b">
        <v>0</v>
      </c>
      <c r="O24" s="42"/>
      <c r="P24" s="43"/>
      <c r="Q24" s="42" t="str">
        <f t="shared" ref="Q24:Q27" si="166">I24</f>
        <v/>
      </c>
      <c r="R24" s="60"/>
      <c r="S24" s="39" t="str">
        <f t="shared" ref="S24:S27" si="167">IFS((AND(N24=TRUE, O24="Yes")), (ifs(ISBLANK(Q24), K24, Q24="Novice 1", K24, Q24="Novice 2", K24, Q24="Novice 3", K24, Q24="Intermediate 2", K24, Q24="Intermediate 1", K24, Q24="Advanced 2", (IF((K24+(($D24-$C24)/2))&gt;$D24, $C24, (K24+(($D24-$C24)/2)))), Q24="Advanced 1", (IF((K24+(($D24-$C24)/2))&gt;$D24, $C24, (K24+(($D24-$C24)/2)))))), (NOT((AND(N24=TRUE, O24="Yes")))), K24)</f>
        <v>---</v>
      </c>
      <c r="T24" s="46" t="str">
        <f t="shared" ref="T24:T27" si="168">IFS((AND(N24=TRUE, O24="Yes")), (IFS(ISBLANK(Q24), L24, Q24="Novice 1", L24, Q24="Novice 2", L24, Q24="Novice 3", L24, Q24="Intermediate 2", (IF((L24+(($F24-$E24)/2))&gt;$F24, $E24, (L24+(($F24-$E24)/2)))), Q24="Intermediate 1", (IF((L24-(($F24-$E24)/2))&lt;$E24, $F24, (L24-(($F24-$E24)/2)))), Q24="Advanced 2", (IF((((($D24-$C24)/2))+K24)&gt;$D24, (IF((L24+(($F24-$E24)/2))&gt;$F24, $E24, (L24+(($F24-$E24)/2)))), L24)), Q24="Advanced 1", (IF((((($D24-$C24)/2))+K24)&gt;$D24, (IF((L24-(($F24-$E24)/2))&lt;$E24, $F24, (L24-(($F24-$E24)/2)))), L24)))), (NOT((AND(N24=TRUE, O24="Yes")))), L24)</f>
        <v>---</v>
      </c>
      <c r="U24" s="40" t="str">
        <f>IFERROR(__xludf.DUMMYFUNCTION("IFS((AND(N24=TRUE, O24=""Yes"")), (IFS(ISBLANK(Q24), M24, Q24=""Novice 1"", CEILING((M24*1.05), $H24), Q24=""Novice 2"", CEILING((M24*1.025), $H24), Q24=""Novice 3"", M24+$H24, Q24=""Intermediate 2"", (IF((ISBETWEEN(((((F24-E24)/2))+L24), E24, F24)), M24,"&amp;" M24+$H24)), Q24=""Intermediate 1"", (IF((ISBETWEEN((L24-((F24-E24)/2)), E24, F24)), M24+$H24, (FLOOR((M24*0.9875), $H24)))), Q24=""Advanced 2"", (IF(AND(((K24+((D24-C24)/2))&gt;D24), ((L24+((F24-E24)/2))&gt;F24)), M24+$H24, (M24))), Q24=""Advanced 1"", (IFS(T2"&amp;"4&lt;L24, M24+$H24, T24=L24, (M24), T24&gt;L24, (FLOOR((M24*0.9875), $H24)))))), (AND(F24=TRUE, G24=""No"", N24=TRUE, O24=""No"")), (FLOOR((M24*0.9), $H24)), (NOT((AND(N24=TRUE, O24=""Yes"")))), M24)"),"---")</f>
        <v>---</v>
      </c>
      <c r="V24" s="41" t="b">
        <v>0</v>
      </c>
      <c r="W24" s="47"/>
      <c r="X24" s="47"/>
      <c r="Y24" s="47" t="str">
        <f t="shared" ref="Y24:Y27" si="169">IF((AND(N24=TRUE, O24="No", V24=TRUE, W24="No")), (IFS(ISBLANK(Q24), Q24, Q24="Novice 1", "Novice 2", Q24="Novice 2", "Novice 3", Q24="Novice 3", "Intermediate 1", Q24="Intermediate 1", "Intermediate 2", Q24="Intermediate 2", "Advanced 1", Q24="Advanced 1", "Advanced 2", Q24="Advanced 2", "Advanced 2")), Q24)</f>
        <v/>
      </c>
      <c r="Z24" s="60"/>
      <c r="AA24" s="39" t="str">
        <f t="shared" ref="AA24:AA27" si="170">IFS((AND(V24=TRUE, W24="Yes")), (ifs(ISBLANK(Y24), S24, Y24="Novice 1", S24, Y24="Novice 2", S24, Y24="Novice 3", S24, Y24="Intermediate 2", S24, Y24="Intermediate 1", S24, Y24="Advanced 2", (IF((S24+(($D24-$C24)/2))&gt;$D24, $C24, (S24+(($D24-$C24)/2)))), Y24="Advanced 1", (IF((S24+(($D24-$C24)/2))&gt;$D24, $C24, (S24+(($D24-$C24)/2)))))), (NOT((AND(V24=TRUE, W24="Yes")))), S24)</f>
        <v>---</v>
      </c>
      <c r="AB24" s="46" t="str">
        <f t="shared" ref="AB24:AB27" si="171">IFS((AND(V24=TRUE, W24="Yes")), (IFS(ISBLANK(Y24), T24, Y24="Novice 1", T24, Y24="Novice 2", T24, Y24="Novice 3", T24, Y24="Intermediate 2", (IF((T24+(($F24-$E24)/2))&gt;$F24, $E24, (T24+(($F24-$E24)/2)))), Y24="Intermediate 1", (IF((T24-(($F24-$E24)/2))&lt;$E24, $F24, (T24-(($F24-$E24)/2)))), Y24="Advanced 2", (IF((((($D24-$C24)/2))+S24)&gt;$D24, (IF((T24+(($F24-$E24)/2))&gt;$F24, $E24, (T24+(($F24-$E24)/2)))), T24)), Y24="Advanced 1", (IF((((($D24-$C24)/2))+S24)&gt;$D24, (IF((T24-(($F24-$E24)/2))&lt;$E24, $F24, (T24-(($F24-$E24)/2)))), T24)))), (NOT((AND(V24=TRUE, W24="Yes")))), T24)</f>
        <v>---</v>
      </c>
      <c r="AC24" s="40" t="str">
        <f>IFERROR(__xludf.DUMMYFUNCTION("IFS((AND(V24=TRUE, W24=""Yes"")), (IFS(ISBLANK(Y24), U24, Y24=""Novice 1"", CEILING((U24*1.05), $H24), Y24=""Novice 2"", CEILING((U24*1.025), $H24), Y24=""Novice 3"", U24+$H24, Y24=""Intermediate 2"", (IF((ISBETWEEN(((((N24-M24)/2))+T24), M24, N24)), U24,"&amp;" U24+$H24)), Y24=""Intermediate 1"", (IF((ISBETWEEN((T24-((N24-M24)/2)), M24, N24)), U24+$H24, (FLOOR((U24*0.9875), $H24)))), Y24=""Advanced 2"", (IF(AND(((S24+((L24-K24)/2))&gt;L24), ((T24+((N24-M24)/2))&gt;N24)), U24+$H24, (U24))), Y24=""Advanced 1"", (IFS(AB"&amp;"24&lt;T24, U24+$H24, AB24=T24, (U24), AB24&gt;T24, (FLOOR((U24*0.9875), $H24)))))), (AND(N24=TRUE, O24=""No"", V24=TRUE, W24=""No"")), (FLOOR((U24*0.9), $H24)), (NOT((AND(V24=TRUE, W24=""Yes"")))), U24)"),"---")</f>
        <v>---</v>
      </c>
      <c r="AD24" s="41" t="b">
        <v>0</v>
      </c>
      <c r="AE24" s="47"/>
      <c r="AF24" s="47"/>
      <c r="AG24" s="47" t="str">
        <f t="shared" ref="AG24:AG27" si="172">IF((AND(V24=TRUE, W24="No", AD24=TRUE, AE24="No")), (IFS(ISBLANK(Y24), Y24, Y24="Novice 1", "Novice 2", Y24="Novice 2", "Novice 3", Y24="Novice 3", "Intermediate 1", Y24="Intermediate 1", "Intermediate 2", Y24="Intermediate 2", "Advanced 1", Y24="Advanced 1", "Advanced 2", Y24="Advanced 2", "Advanced 2")), Y24)</f>
        <v/>
      </c>
      <c r="AH24" s="60"/>
      <c r="AI24" s="48" t="str">
        <f t="shared" ref="AI24:AI27" si="173">IFS((AND(AD24=TRUE, AE24="Yes")), (ifs(ISBLANK(AG24), AA24, AG24="Novice 1", AA24, AG24="Novice 2", AA24, AG24="Novice 3", AA24, AG24="Intermediate 2", AA24, AG24="Intermediate 1", AA24, AG24="Advanced 2", (IF((AA24+(($D24-$C24)/2))&gt;$D24, $C24, (AA24+(($D24-$C24)/2)))), AG24="Advanced 1", (IF((AA24+(($D24-$C24)/2))&gt;$D24, $C24, (AA24+(($D24-$C24)/2)))))), (NOT((AND(AD24=TRUE, AE24="Yes")))), AA24)</f>
        <v>---</v>
      </c>
      <c r="AJ24" s="49" t="str">
        <f t="shared" ref="AJ24:AJ27" si="174">IFS((AND(AD24=TRUE, AE24="Yes")), (IFS(ISBLANK(AG24), AB24, AG24="Novice 1", AB24, AG24="Novice 2", AB24, AG24="Novice 3", AB24, AG24="Intermediate 2", (IF((AB24+(($F24-$E24)/2))&gt;$F24, $E24, (AB24+(($F24-$E24)/2)))), AG24="Intermediate 1", (IF((AB24-(($F24-$E24)/2))&lt;$E24, $F24, (AB24-(($F24-$E24)/2)))), AG24="Advanced 2", (IF((((($D24-$C24)/2))+AA24)&gt;$D24, (IF((AB24+(($F24-$E24)/2))&gt;$F24, $E24, (AB24+(($F24-$E24)/2)))), AB24)), AG24="Advanced 1", (IF((((($D24-$C24)/2))+AA24)&gt;$D24, (IF((AB24-(($F24-$E24)/2))&lt;$E24, $F24, (AB24-(($F24-$E24)/2)))), AB24)))), (NOT((AND(AD24=TRUE, AE24="Yes")))), AB24)</f>
        <v>---</v>
      </c>
      <c r="AK24" s="50" t="str">
        <f>IFERROR(__xludf.DUMMYFUNCTION("IFS((AND(AD24=TRUE, AE24=""Yes"")), (IFS(ISBLANK(AG24), AC24, AG24=""Novice 1"", CEILING((AC24*1.05), $H24), AG24=""Novice 2"", CEILING((AC24*1.025), $H24), AG24=""Novice 3"", AC24+$H24, AG24=""Intermediate 2"", (IF((ISBETWEEN(((((V24-U24)/2))+AB24), U24,"&amp;" V24)), AC24, AC24+$H24)), AG24=""Intermediate 1"", (IF((ISBETWEEN((AB24-((V24-U24)/2)), U24, V24)), AC24+$H24, (FLOOR((AC24*0.9875), $H24)))), AG24=""Advanced 2"", (IF(AND(((AA24+((T24-S24)/2))&gt;T24), ((AB24+((V24-U24)/2))&gt;V24)), AC24+$H24, (AC24))), AG24"&amp;"=""Advanced 1"", (IFS(AJ24&lt;AB24, AC24+$H24, AJ24=AB24, (AC24), AJ24&gt;AB24, (FLOOR((AC24*0.9875), $H24)))))), (AND(V24=TRUE, W24=""No"", AD24=TRUE, AE24=""No"")), (FLOOR((AC24*0.9), $H24)), (NOT((AND(AD24=TRUE, AE24=""Yes"")))), AC24)"),"---")</f>
        <v>---</v>
      </c>
      <c r="AL24" s="51" t="b">
        <v>0</v>
      </c>
      <c r="AM24" s="52"/>
      <c r="AN24" s="52"/>
      <c r="AO24" s="52" t="str">
        <f t="shared" ref="AO24:AO27" si="175">IF((AND(AD24=TRUE, AE24="No", AL24=TRUE, AM24="No")), (IFS(ISBLANK(AG24), AG24, AG24="Novice 1", "Novice 2", AG24="Novice 2", "Novice 3", AG24="Novice 3", "Intermediate 1", AG24="Intermediate 1", "Intermediate 2", AG24="Intermediate 2", "Advanced 1", AG24="Advanced 1", "Advanced 2", AG24="Advanced 2", "Advanced 2")), AG24)</f>
        <v/>
      </c>
      <c r="AP24" s="69"/>
      <c r="AQ24" s="53" t="str">
        <f t="shared" ref="AQ24:AR24" si="159">IFERROR(AI24/2,AI24)</f>
        <v>---</v>
      </c>
      <c r="AR24" s="53" t="str">
        <f t="shared" si="159"/>
        <v>---</v>
      </c>
      <c r="AS24" s="53" t="str">
        <f t="shared" ref="AS24:AS27" si="177">AK24</f>
        <v>---</v>
      </c>
      <c r="AT24" s="67"/>
      <c r="AU24" s="60"/>
      <c r="AV24" s="39" t="str">
        <f t="shared" ref="AV24:AV27" si="178">IFS((AND(AL24=TRUE, AM24="Yes")), (ifs(ISBLANK(AO24), AI24, AO24="Novice 1", AI24, AO24="Novice 2", AI24, AO24="Novice 3", AI24, AO24="Intermediate 2", AI24, AO24="Intermediate 1", AI24, AO24="Advanced 2", (IF((AI24+(($D24-$C24)/2))&gt;$D24, $C24, (AI24+(($D24-$C24)/2)))), AO24="Advanced 1", (IF((AI24+(($D24-$C24)/2))&gt;$D24, $C24, (AI24+(($D24-$C24)/2)))))), (NOT((AND(AL24=TRUE, AM24="Yes")))), AI24)</f>
        <v>---</v>
      </c>
      <c r="AW24" s="46" t="str">
        <f t="shared" ref="AW24:AW27" si="179">IFS((AND(AL24=TRUE, AM24="Yes")), (IFS(ISBLANK(AO24), AJ24, AO24="Novice 1", AJ24, AO24="Novice 2", AJ24, AO24="Novice 3", AJ24, AO24="Intermediate 2", (IF((AJ24+(($F24-$E24)/2))&gt;$F24, $E24, (AJ24+(($F24-$E24)/2)))), AO24="Intermediate 1", (IF((AJ24-(($F24-$E24)/2))&lt;$E24, $F24, (AJ24-(($F24-$E24)/2)))), AO24="Advanced 2", (IF((((($D24-$C24)/2))+AI24)&gt;$D24, (IF((AJ24+(($F24-$E24)/2))&gt;$F24, $E24, (AJ24+(($F24-$E24)/2)))), AJ24)), AO24="Advanced 1", (IF((((($D24-$C24)/2))+AI24)&gt;$D24, (IF((AJ24-(($F24-$E24)/2))&lt;$E24, $F24, (AJ24-(($F24-$E24)/2)))), AJ24)))), (NOT((AND(AL24=TRUE, AM24="Yes")))), AJ24)</f>
        <v>---</v>
      </c>
      <c r="AX24" s="40" t="str">
        <f>IFERROR(__xludf.DUMMYFUNCTION("IFS((AND(AL24=TRUE, AM24=""Yes"")), (IFS(ISBLANK(AO24), AK24, AO24=""Novice 1"", CEILING((AK24*1.05), $H24), AO24=""Novice 2"", CEILING((AK24*1.025), $H24), AO24=""Novice 3"", AK24+$H24, AO24=""Intermediate 2"", (IF((ISBETWEEN(((((AD24-AC24)/2))+AJ24), AC"&amp;"24, AD24)), AK24, AK24+$H24)), AO24=""Intermediate 1"", (IF((ISBETWEEN((AJ24-((AD24-AC24)/2)), AC24, AD24)), AK24+$H24, (FLOOR((AK24*0.9875), $H24)))), AO24=""Advanced 2"", (IF(AND(((AI24+((AB24-AA24)/2))&gt;AB24), ((AJ24+((AD24-AC24)/2))&gt;AD24)), AK24+$H24, "&amp;"(AK24))), AO24=""Advanced 1"", (IFS(AW24&lt;AJ24, AK24+$H24, AW24=AJ24, (AK24), AW24&gt;AJ24, (FLOOR((AK24*0.9875), $H24)))))), (AND(AD24=TRUE, AE24=""No"", AL24=TRUE, AM24=""No"")), (FLOOR((AK24*0.9), $H24)), (NOT((AND(AL24=TRUE, AM24=""Yes"")))), AK24)"),"---")</f>
        <v>---</v>
      </c>
      <c r="AY24" s="41" t="b">
        <v>0</v>
      </c>
      <c r="AZ24" s="47"/>
      <c r="BA24" s="47"/>
      <c r="BB24" s="47" t="str">
        <f t="shared" ref="BB24:BB27" si="180">IF((AND(AL24=TRUE, AM24="No", AY24=TRUE, AZ24="No")), (IFS(ISBLANK(AO24), AO24, AO24="Novice 1", "Novice 2", AO24="Novice 2", "Novice 3", AO24="Novice 3", "Intermediate 1", AO24="Intermediate 1", "Intermediate 2", AO24="Intermediate 2", "Advanced 1", AO24="Advanced 1", "Advanced 2", AO24="Advanced 2", "Advanced 2")), AO24)</f>
        <v/>
      </c>
      <c r="BC24" s="60"/>
      <c r="BD24" s="39" t="str">
        <f t="shared" ref="BD24:BD27" si="181">IFS((AND(AY24=TRUE, AZ24="Yes")), (ifs(ISBLANK(BB24), AV24, BB24="Novice 1", AV24, BB24="Novice 2", AV24, BB24="Novice 3", AV24, BB24="Intermediate 2", AV24, BB24="Intermediate 1", AV24, BB24="Advanced 2", (IF((AV24+(($D24-$C24)/2))&gt;$D24, $C24, (AV24+(($D24-$C24)/2)))), BB24="Advanced 1", (IF((AV24+(($D24-$C24)/2))&gt;$D24, $C24, (AV24+(($D24-$C24)/2)))))), (NOT((AND(AY24=TRUE, AZ24="Yes")))), AV24)</f>
        <v>---</v>
      </c>
      <c r="BE24" s="46" t="str">
        <f t="shared" ref="BE24:BE27" si="182">IFS((AND(AY24=TRUE, AZ24="Yes")), (IFS(ISBLANK(BB24), AW24, BB24="Novice 1", AW24, BB24="Novice 2", AW24, BB24="Novice 3", AW24, BB24="Intermediate 2", (IF((AW24+(($F24-$E24)/2))&gt;$F24, $E24, (AW24+(($F24-$E24)/2)))), BB24="Intermediate 1", (IF((AW24-(($F24-$E24)/2))&lt;$E24, $F24, (AW24-(($F24-$E24)/2)))), BB24="Advanced 2", (IF((((($D24-$C24)/2))+AV24)&gt;$D24, (IF((AW24+(($F24-$E24)/2))&gt;$F24, $E24, (AW24+(($F24-$E24)/2)))), AW24)), BB24="Advanced 1", (IF((((($D24-$C24)/2))+AV24)&gt;$D24, (IF((AW24-(($F24-$E24)/2))&lt;$E24, $F24, (AW24-(($F24-$E24)/2)))), AW24)))), (NOT((AND(AY24=TRUE, AZ24="Yes")))), AW24)</f>
        <v>---</v>
      </c>
      <c r="BF24" s="40" t="str">
        <f>IFERROR(__xludf.DUMMYFUNCTION("IFS((AND(AY24=TRUE, AZ24=""Yes"")), (IFS(ISBLANK(BB24), AX24, BB24=""Novice 1"", CEILING((AX24*1.05), $H24), BB24=""Novice 2"", CEILING((AX24*1.025), $H24), BB24=""Novice 3"", AX24+$H24, BB24=""Intermediate 2"", (IF((ISBETWEEN(((((AL24-AK24)/2))+AW24), AK"&amp;"24, AL24)), AX24, AX24+$H24)), BB24=""Intermediate 1"", (IF((ISBETWEEN((AW24-((AL24-AK24)/2)), AK24, AL24)), AX24+$H24, (FLOOR((AX24*0.9875), $H24)))), BB24=""Advanced 2"", (IF(AND(((AV24+((AJ24-AI24)/2))&gt;AJ24), ((AW24+((AL24-AK24)/2))&gt;AL24)), AX24+$H24, "&amp;"(AX24))), BB24=""Advanced 1"", (IFS(BE24&lt;AW24, AX24+$H24, BE24=AW24, (AX24), BE24&gt;AW24, (FLOOR((AX24*0.9875), $H24)))))), (AND(AL24=TRUE, AM24=""No"", AY24=TRUE, AZ24=""No"")), (FLOOR((AX24*0.9), $H24)), (NOT((AND(AY24=TRUE, AZ24=""Yes"")))), AX24)"),"---")</f>
        <v>---</v>
      </c>
      <c r="BG24" s="41" t="b">
        <v>0</v>
      </c>
      <c r="BH24" s="47"/>
      <c r="BI24" s="47"/>
      <c r="BJ24" s="47" t="str">
        <f t="shared" ref="BJ24:BJ27" si="183">IF((AND(AY24=TRUE, AZ24="No", BG24=TRUE, BH24="No")), (IFS(ISBLANK(BB24), BB24, BB24="Novice 1", "Novice 2", BB24="Novice 2", "Novice 3", BB24="Novice 3", "Intermediate 1", BB24="Intermediate 1", "Intermediate 2", BB24="Intermediate 2", "Advanced 1", BB24="Advanced 1", "Advanced 2", BB24="Advanced 2", "Advanced 2")), BB24)</f>
        <v/>
      </c>
      <c r="BK24" s="60"/>
      <c r="BL24" s="39" t="str">
        <f t="shared" ref="BL24:BL27" si="184">IFS((AND(BG24=TRUE, BH24="Yes")), (ifs(ISBLANK(BJ24), BD24, BJ24="Novice 1", BD24, BJ24="Novice 2", BD24, BJ24="Novice 3", BD24, BJ24="Intermediate 2", BD24, BJ24="Intermediate 1", BD24, BJ24="Advanced 2", (IF((BD24+(($D24-$C24)/2))&gt;$D24, $C24, (BD24+(($D24-$C24)/2)))), BJ24="Advanced 1", (IF((BD24+(($D24-$C24)/2))&gt;$D24, $C24, (BD24+(($D24-$C24)/2)))))), (NOT((AND(BG24=TRUE, BH24="Yes")))), BD24)</f>
        <v>---</v>
      </c>
      <c r="BM24" s="46" t="str">
        <f t="shared" ref="BM24:BM27" si="185">IFS((AND(BG24=TRUE, BH24="Yes")), (IFS(ISBLANK(BJ24), BE24, BJ24="Novice 1", BE24, BJ24="Novice 2", BE24, BJ24="Novice 3", BE24, BJ24="Intermediate 2", (IF((BE24+(($F24-$E24)/2))&gt;$F24, $E24, (BE24+(($F24-$E24)/2)))), BJ24="Intermediate 1", (IF((BE24-(($F24-$E24)/2))&lt;$E24, $F24, (BE24-(($F24-$E24)/2)))), BJ24="Advanced 2", (IF((((($D24-$C24)/2))+BD24)&gt;$D24, (IF((BE24+(($F24-$E24)/2))&gt;$F24, $E24, (BE24+(($F24-$E24)/2)))), BE24)), BJ24="Advanced 1", (IF((((($D24-$C24)/2))+BD24)&gt;$D24, (IF((BE24-(($F24-$E24)/2))&lt;$E24, $F24, (BE24-(($F24-$E24)/2)))), BE24)))), (NOT((AND(BG24=TRUE, BH24="Yes")))), BE24)</f>
        <v>---</v>
      </c>
      <c r="BN24" s="40" t="str">
        <f>IFERROR(__xludf.DUMMYFUNCTION("IFS((AND(BG24=TRUE, BH24=""Yes"")), (IFS(ISBLANK(BJ24), BF24, BJ24=""Novice 1"", CEILING((BF24*1.05), $H24), BJ24=""Novice 2"", CEILING((BF24*1.025), $H24), BJ24=""Novice 3"", BF24+$H24, BJ24=""Intermediate 2"", (IF((ISBETWEEN(((((AY24-AX24)/2))+BE24), AX"&amp;"24, AY24)), BF24, BF24+$H24)), BJ24=""Intermediate 1"", (IF((ISBETWEEN((BE24-((AY24-AX24)/2)), AX24, AY24)), BF24+$H24, (FLOOR((BF24*0.9875), $H24)))), BJ24=""Advanced 2"", (IF(AND(((BD24+((AW24-AV24)/2))&gt;AW24), ((BE24+((AY24-AX24)/2))&gt;AY24)), BF24+$H24, "&amp;"(BF24))), BJ24=""Advanced 1"", (IFS(BM24&lt;BE24, BF24+$H24, BM24=BE24, (BF24), BM24&gt;BE24, (FLOOR((BF24*0.9875), $H24)))))), (AND(AY24=TRUE, AZ24=""No"", BG24=TRUE, BH24=""No"")), (FLOOR((BF24*0.9), $H24)), (NOT((AND(BG24=TRUE, BH24=""Yes"")))), BF24)"),"---")</f>
        <v>---</v>
      </c>
      <c r="BO24" s="41" t="b">
        <v>0</v>
      </c>
      <c r="BP24" s="47"/>
      <c r="BQ24" s="47"/>
      <c r="BR24" s="47" t="str">
        <f t="shared" ref="BR24:BR27" si="186">IF((AND(BG24=TRUE, BH24="No", BO24=TRUE, BP24="No")), (IFS(ISBLANK(BJ24), BJ24, BJ24="Novice 1", "Novice 2", BJ24="Novice 2", "Novice 3", BJ24="Novice 3", "Intermediate 1", BJ24="Intermediate 1", "Intermediate 2", BJ24="Intermediate 2", "Advanced 1", BJ24="Advanced 1", "Advanced 2", BJ24="Advanced 2", "Advanced 2")), BJ24)</f>
        <v/>
      </c>
      <c r="BS24" s="60"/>
      <c r="BT24" s="48" t="str">
        <f t="shared" ref="BT24:BT27" si="187">IFS((AND(BO24=TRUE, BP24="Yes")), (ifs(ISBLANK(BR24), BL24, BR24="Novice 1", BL24, BR24="Novice 2", BL24, BR24="Novice 3", BL24, BR24="Intermediate 2", BL24, BR24="Intermediate 1", BL24, BR24="Advanced 2", (IF((BL24+(($D24-$C24)/2))&gt;$D24, $C24, (BL24+(($D24-$C24)/2)))), BR24="Advanced 1", (IF((BL24+(($D24-$C24)/2))&gt;$D24, $C24, (BL24+(($D24-$C24)/2)))))), (NOT((AND(BO24=TRUE, BP24="Yes")))), BL24)</f>
        <v>---</v>
      </c>
      <c r="BU24" s="49" t="str">
        <f t="shared" ref="BU24:BU27" si="188">IFS((AND(BO24=TRUE, BP24="Yes")), (IFS(ISBLANK(BR24), BM24, BR24="Novice 1", BM24, BR24="Novice 2", BM24, BR24="Novice 3", BM24, BR24="Intermediate 2", (IF((BM24+(($F24-$E24)/2))&gt;$F24, $E24, (BM24+(($F24-$E24)/2)))), BR24="Intermediate 1", (IF((BM24-(($F24-$E24)/2))&lt;$E24, $F24, (BM24-(($F24-$E24)/2)))), BR24="Advanced 2", (IF((((($D24-$C24)/2))+BL24)&gt;$D24, (IF((BM24+(($F24-$E24)/2))&gt;$F24, $E24, (BM24+(($F24-$E24)/2)))), BM24)), BR24="Advanced 1", (IF((((($D24-$C24)/2))+BL24)&gt;$D24, (IF((BM24-(($F24-$E24)/2))&lt;$E24, $F24, (BM24-(($F24-$E24)/2)))), BM24)))), (NOT((AND(BO24=TRUE, BP24="Yes")))), BM24)</f>
        <v>---</v>
      </c>
      <c r="BV24" s="50" t="str">
        <f>IFERROR(__xludf.DUMMYFUNCTION("IFS((AND(BO24=TRUE, BP24=""Yes"")), (IFS(ISBLANK(BR24), BN24, BR24=""Novice 1"", CEILING((BN24*1.05), $H24), BR24=""Novice 2"", CEILING((BN24*1.025), $H24), BR24=""Novice 3"", BN24+$H24, BR24=""Intermediate 2"", (IF((ISBETWEEN(((((BG24-BF24)/2))+BM24), BF"&amp;"24, BG24)), BN24, BN24+$H24)), BR24=""Intermediate 1"", (IF((ISBETWEEN((BM24-((BG24-BF24)/2)), BF24, BG24)), BN24+$H24, (FLOOR((BN24*0.9875), $H24)))), BR24=""Advanced 2"", (IF(AND(((BL24+((BE24-BD24)/2))&gt;BE24), ((BM24+((BG24-BF24)/2))&gt;BG24)), BN24+$H24, "&amp;"(BN24))), BR24=""Advanced 1"", (IFS(BU24&lt;BM24, BN24+$H24, BU24=BM24, (BN24), BU24&gt;BM24, (FLOOR((BN24*0.9875), $H24)))))), (AND(BG24=TRUE, BH24=""No"", BO24=TRUE, BP24=""No"")), (FLOOR((BN24*0.9), $H24)), (NOT((AND(BO24=TRUE, BP24=""Yes"")))), BN24)"),"---")</f>
        <v>---</v>
      </c>
      <c r="BW24" s="51" t="b">
        <v>0</v>
      </c>
      <c r="BX24" s="52"/>
      <c r="BY24" s="52"/>
      <c r="BZ24" s="52" t="str">
        <f t="shared" ref="BZ24:BZ27" si="189">IF((AND(BO24=TRUE, BP24="No", BW24=TRUE, BX24="No")), (IFS(ISBLANK(BR24), BR24, BR24="Novice 1", "Novice 2", BR24="Novice 2", "Novice 3", BR24="Novice 3", "Intermediate 1", BR24="Intermediate 1", "Intermediate 2", BR24="Intermediate 2", "Advanced 1", BR24="Advanced 1", "Advanced 2", BR24="Advanced 2", "Advanced 2")), BR24)</f>
        <v/>
      </c>
      <c r="CA24" s="69"/>
      <c r="CB24" s="53" t="str">
        <f t="shared" ref="CB24:CC24" si="160">IFERROR(BT24/2,BT24)</f>
        <v>---</v>
      </c>
      <c r="CC24" s="53" t="str">
        <f t="shared" si="160"/>
        <v>---</v>
      </c>
      <c r="CD24" s="53" t="str">
        <f t="shared" ref="CD24:CD27" si="191">BV24</f>
        <v>---</v>
      </c>
      <c r="CE24" s="67"/>
      <c r="CF24" s="60"/>
      <c r="CG24" s="39" t="str">
        <f t="shared" ref="CG24:CG27" si="192">IFS((AND(BW24=TRUE, BX24="Yes")), (ifs(ISBLANK(BZ24), BT24, BZ24="Novice 1", BT24, BZ24="Novice 2", BT24, BZ24="Novice 3", BT24, BZ24="Intermediate 2", BT24, BZ24="Intermediate 1", BT24, BZ24="Advanced 2", (IF((BT24+(($D24-$C24)/2))&gt;$D24, $C24, (BT24+(($D24-$C24)/2)))), BZ24="Advanced 1", (IF((BT24+(($D24-$C24)/2))&gt;$D24, $C24, (BT24+(($D24-$C24)/2)))))), (NOT((AND(BW24=TRUE, BX24="Yes")))), BT24)</f>
        <v>---</v>
      </c>
      <c r="CH24" s="46" t="str">
        <f t="shared" ref="CH24:CH27" si="193">IFS((AND(BW24=TRUE, BX24="Yes")), (IFS(ISBLANK(BZ24), BU24, BZ24="Novice 1", BU24, BZ24="Novice 2", BU24, BZ24="Novice 3", BU24, BZ24="Intermediate 2", (IF((BU24+(($F24-$E24)/2))&gt;$F24, $E24, (BU24+(($F24-$E24)/2)))), BZ24="Intermediate 1", (IF((BU24-(($F24-$E24)/2))&lt;$E24, $F24, (BU24-(($F24-$E24)/2)))), BZ24="Advanced 2", (IF((((($D24-$C24)/2))+BT24)&gt;$D24, (IF((BU24+(($F24-$E24)/2))&gt;$F24, $E24, (BU24+(($F24-$E24)/2)))), BU24)), BZ24="Advanced 1", (IF((((($D24-$C24)/2))+BT24)&gt;$D24, (IF((BU24-(($F24-$E24)/2))&lt;$E24, $F24, (BU24-(($F24-$E24)/2)))), BU24)))), (NOT((AND(BW24=TRUE, BX24="Yes")))), BU24)</f>
        <v>---</v>
      </c>
      <c r="CI24" s="40" t="str">
        <f>IFERROR(__xludf.DUMMYFUNCTION("IFS((AND(BW24=TRUE, BX24=""Yes"")), (IFS(ISBLANK(BZ24), BV24, BZ24=""Novice 1"", CEILING((BV24*1.05), $H24), BZ24=""Novice 2"", CEILING((BV24*1.025), $H24), BZ24=""Novice 3"", BV24+$H24, BZ24=""Intermediate 2"", (IF((ISBETWEEN(((((BO24-BN24)/2))+BU24), BN"&amp;"24, BO24)), BV24, BV24+$H24)), BZ24=""Intermediate 1"", (IF((ISBETWEEN((BU24-((BO24-BN24)/2)), BN24, BO24)), BV24+$H24, (FLOOR((BV24*0.9875), $H24)))), BZ24=""Advanced 2"", (IF(AND(((BT24+((BM24-BL24)/2))&gt;BM24), ((BU24+((BO24-BN24)/2))&gt;BO24)), BV24+$H24, "&amp;"(BV24))), BZ24=""Advanced 1"", (IFS(CH24&lt;BU24, BV24+$H24, CH24=BU24, (BV24), CH24&gt;BU24, (FLOOR((BV24*0.9875), $H24)))))), (AND(BO24=TRUE, BP24=""No"", BW24=TRUE, BX24=""No"")), (FLOOR((BV24*0.9), $H24)), (NOT((AND(BW24=TRUE, BX24=""Yes"")))), BV24)"),"---")</f>
        <v>---</v>
      </c>
      <c r="CJ24" s="41" t="b">
        <v>0</v>
      </c>
      <c r="CK24" s="47"/>
      <c r="CL24" s="47"/>
      <c r="CM24" s="47" t="str">
        <f t="shared" ref="CM24:CM27" si="194">IF((AND(BW24=TRUE, BX24="No", CJ24=TRUE, CK24="No")), (IFS(ISBLANK(BZ24), BZ24, BZ24="Novice 1", "Novice 2", BZ24="Novice 2", "Novice 3", BZ24="Novice 3", "Intermediate 1", BZ24="Intermediate 1", "Intermediate 2", BZ24="Intermediate 2", "Advanced 1", BZ24="Advanced 1", "Advanced 2", BZ24="Advanced 2", "Advanced 2")), BZ24)</f>
        <v/>
      </c>
      <c r="CN24" s="60"/>
      <c r="CO24" s="39" t="str">
        <f t="shared" ref="CO24:CO27" si="195">IFS((AND(CJ24=TRUE, CK24="Yes")), (ifs(ISBLANK(CM24), CG24, CM24="Novice 1", CG24, CM24="Novice 2", CG24, CM24="Novice 3", CG24, CM24="Intermediate 2", CG24, CM24="Intermediate 1", CG24, CM24="Advanced 2", (IF((CG24+(($D24-$C24)/2))&gt;$D24, $C24, (CG24+(($D24-$C24)/2)))), CM24="Advanced 1", (IF((CG24+(($D24-$C24)/2))&gt;$D24, $C24, (CG24+(($D24-$C24)/2)))))), (NOT((AND(CJ24=TRUE, CK24="Yes")))), CG24)</f>
        <v>---</v>
      </c>
      <c r="CP24" s="46" t="str">
        <f t="shared" ref="CP24:CP27" si="196">IFS((AND(CJ24=TRUE, CK24="Yes")), (IFS(ISBLANK(CM24), CH24, CM24="Novice 1", CH24, CM24="Novice 2", CH24, CM24="Novice 3", CH24, CM24="Intermediate 2", (IF((CH24+(($F24-$E24)/2))&gt;$F24, $E24, (CH24+(($F24-$E24)/2)))), CM24="Intermediate 1", (IF((CH24-(($F24-$E24)/2))&lt;$E24, $F24, (CH24-(($F24-$E24)/2)))), CM24="Advanced 2", (IF((((($D24-$C24)/2))+CG24)&gt;$D24, (IF((CH24+(($F24-$E24)/2))&gt;$F24, $E24, (CH24+(($F24-$E24)/2)))), CH24)), CM24="Advanced 1", (IF((((($D24-$C24)/2))+CG24)&gt;$D24, (IF((CH24-(($F24-$E24)/2))&lt;$E24, $F24, (CH24-(($F24-$E24)/2)))), CH24)))), (NOT((AND(CJ24=TRUE, CK24="Yes")))), CH24)</f>
        <v>---</v>
      </c>
      <c r="CQ24" s="40" t="str">
        <f>IFERROR(__xludf.DUMMYFUNCTION("IFS((AND(CJ24=TRUE, CK24=""Yes"")), (IFS(ISBLANK(CM24), CI24, CM24=""Novice 1"", CEILING((CI24*1.05), $H24), CM24=""Novice 2"", CEILING((CI24*1.025), $H24), CM24=""Novice 3"", CI24+$H24, CM24=""Intermediate 2"", (IF((ISBETWEEN(((((BW24-BV24)/2))+CH24), BV"&amp;"24, BW24)), CI24, CI24+$H24)), CM24=""Intermediate 1"", (IF((ISBETWEEN((CH24-((BW24-BV24)/2)), BV24, BW24)), CI24+$H24, (FLOOR((CI24*0.9875), $H24)))), CM24=""Advanced 2"", (IF(AND(((CG24+((BU24-BT24)/2))&gt;BU24), ((CH24+((BW24-BV24)/2))&gt;BW24)), CI24+$H24, "&amp;"(CI24))), CM24=""Advanced 1"", (IFS(CP24&lt;CH24, CI24+$H24, CP24=CH24, (CI24), CP24&gt;CH24, (FLOOR((CI24*0.9875), $H24)))))), (AND(BW24=TRUE, BX24=""No"", CJ24=TRUE, CK24=""No"")), (FLOOR((CI24*0.9), $H24)), (NOT((AND(CJ24=TRUE, CK24=""Yes"")))), CI24)"),"---")</f>
        <v>---</v>
      </c>
      <c r="CR24" s="41" t="b">
        <v>0</v>
      </c>
      <c r="CS24" s="47"/>
      <c r="CT24" s="47"/>
      <c r="CU24" s="47" t="str">
        <f t="shared" ref="CU24:CU27" si="197">IF((AND(CJ24=TRUE, CK24="No", CR24=TRUE, CS24="No")), (IFS(ISBLANK(CM24), CM24, CM24="Novice 1", "Novice 2", CM24="Novice 2", "Novice 3", CM24="Novice 3", "Intermediate 1", CM24="Intermediate 1", "Intermediate 2", CM24="Intermediate 2", "Advanced 1", CM24="Advanced 1", "Advanced 2", CM24="Advanced 2", "Advanced 2")), CM24)</f>
        <v/>
      </c>
      <c r="CV24" s="60"/>
      <c r="CW24" s="39" t="str">
        <f t="shared" ref="CW24:CW27" si="198">IFS((AND(CR24=TRUE, CS24="Yes")), (ifs(ISBLANK(CU24), CO24, CU24="Novice 1", CO24, CU24="Novice 2", CO24, CU24="Novice 3", CO24, CU24="Intermediate 2", CO24, CU24="Intermediate 1", CO24, CU24="Advanced 2", (IF((CO24+(($D24-$C24)/2))&gt;$D24, $C24, (CO24+(($D24-$C24)/2)))), CU24="Advanced 1", (IF((CO24+(($D24-$C24)/2))&gt;$D24, $C24, (CO24+(($D24-$C24)/2)))))), (NOT((AND(CR24=TRUE, CS24="Yes")))), CO24)</f>
        <v>---</v>
      </c>
      <c r="CX24" s="46" t="str">
        <f t="shared" ref="CX24:CX27" si="199">IFS((AND(CR24=TRUE, CS24="Yes")), (IFS(ISBLANK(CU24), CP24, CU24="Novice 1", CP24, CU24="Novice 2", CP24, CU24="Novice 3", CP24, CU24="Intermediate 2", (IF((CP24+(($F24-$E24)/2))&gt;$F24, $E24, (CP24+(($F24-$E24)/2)))), CU24="Intermediate 1", (IF((CP24-(($F24-$E24)/2))&lt;$E24, $F24, (CP24-(($F24-$E24)/2)))), CU24="Advanced 2", (IF((((($D24-$C24)/2))+CO24)&gt;$D24, (IF((CP24+(($F24-$E24)/2))&gt;$F24, $E24, (CP24+(($F24-$E24)/2)))), CP24)), CU24="Advanced 1", (IF((((($D24-$C24)/2))+CO24)&gt;$D24, (IF((CP24-(($F24-$E24)/2))&lt;$E24, $F24, (CP24-(($F24-$E24)/2)))), CP24)))), (NOT((AND(CR24=TRUE, CS24="Yes")))), CP24)</f>
        <v>---</v>
      </c>
      <c r="CY24" s="40" t="str">
        <f>IFERROR(__xludf.DUMMYFUNCTION("IFS((AND(CR24=TRUE, CS24=""Yes"")), (IFS(ISBLANK(CU24), CQ24, CU24=""Novice 1"", CEILING((CQ24*1.05), $H24), CU24=""Novice 2"", CEILING((CQ24*1.025), $H24), CU24=""Novice 3"", CQ24+$H24, CU24=""Intermediate 2"", (IF((ISBETWEEN(((((CJ24-CI24)/2))+CP24), CI"&amp;"24, CJ24)), CQ24, CQ24+$H24)), CU24=""Intermediate 1"", (IF((ISBETWEEN((CP24-((CJ24-CI24)/2)), CI24, CJ24)), CQ24+$H24, (FLOOR((CQ24*0.9875), $H24)))), CU24=""Advanced 2"", (IF(AND(((CO24+((CH24-CG24)/2))&gt;CH24), ((CP24+((CJ24-CI24)/2))&gt;CJ24)), CQ24+$H24, "&amp;"(CQ24))), CU24=""Advanced 1"", (IFS(CX24&lt;CP24, CQ24+$H24, CX24=CP24, (CQ24), CX24&gt;CP24, (FLOOR((CQ24*0.9875), $H24)))))), (AND(CJ24=TRUE, CK24=""No"", CR24=TRUE, CS24=""No"")), (FLOOR((CQ24*0.9), $H24)), (NOT((AND(CR24=TRUE, CS24=""Yes"")))), CQ24)"),"---")</f>
        <v>---</v>
      </c>
      <c r="CZ24" s="41" t="b">
        <v>0</v>
      </c>
      <c r="DA24" s="47"/>
      <c r="DB24" s="47"/>
      <c r="DC24" s="47" t="str">
        <f t="shared" ref="DC24:DC27" si="200">IF((AND(CR24=TRUE, CS24="No", CZ24=TRUE, DA24="No")), (IFS(ISBLANK(CU24), CU24, CU24="Novice 1", "Novice 2", CU24="Novice 2", "Novice 3", CU24="Novice 3", "Intermediate 1", CU24="Intermediate 1", "Intermediate 2", CU24="Intermediate 2", "Advanced 1", CU24="Advanced 1", "Advanced 2", CU24="Advanced 2", "Advanced 2")), CU24)</f>
        <v/>
      </c>
      <c r="DD24" s="60"/>
      <c r="DE24" s="48" t="str">
        <f t="shared" ref="DE24:DE27" si="201">IFS((AND(CZ24=TRUE, DA24="Yes")), (ifs(ISBLANK(DC24), CW24, DC24="Novice 1", CW24, DC24="Novice 2", CW24, DC24="Novice 3", CW24, DC24="Intermediate 2", CW24, DC24="Intermediate 1", CW24, DC24="Advanced 2", (IF((CW24+(($D24-$C24)/2))&gt;$D24, $C24, (CW24+(($D24-$C24)/2)))), DC24="Advanced 1", (IF((CW24+(($D24-$C24)/2))&gt;$D24, $C24, (CW24+(($D24-$C24)/2)))))), (NOT((AND(CZ24=TRUE, DA24="Yes")))), CW24)</f>
        <v>---</v>
      </c>
      <c r="DF24" s="49" t="str">
        <f t="shared" ref="DF24:DF27" si="202">IFS((AND(CZ24=TRUE, DA24="Yes")), (IFS(ISBLANK(DC24), CX24, DC24="Novice 1", CX24, DC24="Novice 2", CX24, DC24="Novice 3", CX24, DC24="Intermediate 2", (IF((CX24+(($F24-$E24)/2))&gt;$F24, $E24, (CX24+(($F24-$E24)/2)))), DC24="Intermediate 1", (IF((CX24-(($F24-$E24)/2))&lt;$E24, $F24, (CX24-(($F24-$E24)/2)))), DC24="Advanced 2", (IF((((($D24-$C24)/2))+CW24)&gt;$D24, (IF((CX24+(($F24-$E24)/2))&gt;$F24, $E24, (CX24+(($F24-$E24)/2)))), CX24)), DC24="Advanced 1", (IF((((($D24-$C24)/2))+CW24)&gt;$D24, (IF((CX24-(($F24-$E24)/2))&lt;$E24, $F24, (CX24-(($F24-$E24)/2)))), CX24)))), (NOT((AND(CZ24=TRUE, DA24="Yes")))), CX24)</f>
        <v>---</v>
      </c>
      <c r="DG24" s="50" t="str">
        <f>IFERROR(__xludf.DUMMYFUNCTION("IFS((AND(CZ24=TRUE, DA24=""Yes"")), (IFS(ISBLANK(DC24), CY24, DC24=""Novice 1"", CEILING((CY24*1.05), $H24), DC24=""Novice 2"", CEILING((CY24*1.025), $H24), DC24=""Novice 3"", CY24+$H24, DC24=""Intermediate 2"", (IF((ISBETWEEN(((((CR24-CQ24)/2))+CX24), CQ"&amp;"24, CR24)), CY24, CY24+$H24)), DC24=""Intermediate 1"", (IF((ISBETWEEN((CX24-((CR24-CQ24)/2)), CQ24, CR24)), CY24+$H24, (FLOOR((CY24*0.9875), $H24)))), DC24=""Advanced 2"", (IF(AND(((CW24+((CP24-CO24)/2))&gt;CP24), ((CX24+((CR24-CQ24)/2))&gt;CR24)), CY24+$H24, "&amp;"(CY24))), DC24=""Advanced 1"", (IFS(DF24&lt;CX24, CY24+$H24, DF24=CX24, (CY24), DF24&gt;CX24, (FLOOR((CY24*0.9875), $H24)))))), (AND(CR24=TRUE, CS24=""No"", CZ24=TRUE, DA24=""No"")), (FLOOR((CY24*0.9), $H24)), (NOT((AND(CZ24=TRUE, DA24=""Yes"")))), CY24)"),"---")</f>
        <v>---</v>
      </c>
      <c r="DH24" s="51" t="b">
        <v>0</v>
      </c>
      <c r="DI24" s="52"/>
      <c r="DJ24" s="52"/>
      <c r="DK24" s="52" t="str">
        <f t="shared" ref="DK24:DK27" si="203">IF((AND(CZ24=TRUE, DA24="No", DH24=TRUE, DI24="No")), (IFS(ISBLANK(DC24), DC24, DC24="Novice 1", "Novice 2", DC24="Novice 2", "Novice 3", DC24="Novice 3", "Intermediate 1", DC24="Intermediate 1", "Intermediate 2", DC24="Intermediate 2", "Advanced 1", DC24="Advanced 1", "Advanced 2", DC24="Advanced 2", "Advanced 2")), DC24)</f>
        <v/>
      </c>
      <c r="DL24" s="69"/>
      <c r="DM24" s="53" t="str">
        <f t="shared" ref="DM24:DN24" si="161">IFERROR(DE24/2,DE24)</f>
        <v>---</v>
      </c>
      <c r="DN24" s="53" t="str">
        <f t="shared" si="161"/>
        <v>---</v>
      </c>
      <c r="DO24" s="53" t="str">
        <f t="shared" ref="DO24:DO27" si="205">DG24</f>
        <v>---</v>
      </c>
      <c r="DP24" s="67"/>
      <c r="DQ24" s="60"/>
      <c r="DR24" s="39" t="str">
        <f t="shared" ref="DR24:DR27" si="206">IFS((AND(DH24=TRUE, DI24="Yes")), (ifs(ISBLANK(DK24), DE24, DK24="Novice 1", DE24, DK24="Novice 2", DE24, DK24="Novice 3", DE24, DK24="Intermediate 2", DE24, DK24="Intermediate 1", DE24, DK24="Advanced 2", (IF((DE24+(($D24-$C24)/2))&gt;$D24, $C24, (DE24+(($D24-$C24)/2)))), DK24="Advanced 1", (IF((DE24+(($D24-$C24)/2))&gt;$D24, $C24, (DE24+(($D24-$C24)/2)))))), (NOT((AND(DH24=TRUE, DI24="Yes")))), DE24)</f>
        <v>---</v>
      </c>
      <c r="DS24" s="46" t="str">
        <f t="shared" ref="DS24:DS27" si="207">IFS((AND(DH24=TRUE, DI24="Yes")), (IFS(ISBLANK(DK24), DF24, DK24="Novice 1", DF24, DK24="Novice 2", DF24, DK24="Novice 3", DF24, DK24="Intermediate 2", (IF((DF24+(($F24-$E24)/2))&gt;$F24, $E24, (DF24+(($F24-$E24)/2)))), DK24="Intermediate 1", (IF((DF24-(($F24-$E24)/2))&lt;$E24, $F24, (DF24-(($F24-$E24)/2)))), DK24="Advanced 2", (IF((((($D24-$C24)/2))+DE24)&gt;$D24, (IF((DF24+(($F24-$E24)/2))&gt;$F24, $E24, (DF24+(($F24-$E24)/2)))), DF24)), DK24="Advanced 1", (IF((((($D24-$C24)/2))+DE24)&gt;$D24, (IF((DF24-(($F24-$E24)/2))&lt;$E24, $F24, (DF24-(($F24-$E24)/2)))), DF24)))), (NOT((AND(DH24=TRUE, DI24="Yes")))), DF24)</f>
        <v>---</v>
      </c>
      <c r="DT24" s="40" t="str">
        <f>IFERROR(__xludf.DUMMYFUNCTION("IFS((AND(DH24=TRUE, DI24=""Yes"")), (IFS(ISBLANK(DK24), DG24, DK24=""Novice 1"", CEILING((DG24*1.05), $H24), DK24=""Novice 2"", CEILING((DG24*1.025), $H24), DK24=""Novice 3"", DG24+$H24, DK24=""Intermediate 2"", (IF((ISBETWEEN(((((CZ24-CY24)/2))+DF24), CY"&amp;"24, CZ24)), DG24, DG24+$H24)), DK24=""Intermediate 1"", (IF((ISBETWEEN((DF24-((CZ24-CY24)/2)), CY24, CZ24)), DG24+$H24, (FLOOR((DG24*0.9875), $H24)))), DK24=""Advanced 2"", (IF(AND(((DE24+((CX24-CW24)/2))&gt;CX24), ((DF24+((CZ24-CY24)/2))&gt;CZ24)), DG24+$H24, "&amp;"(DG24))), DK24=""Advanced 1"", (IFS(DS24&lt;DF24, DG24+$H24, DS24=DF24, (DG24), DS24&gt;DF24, (FLOOR((DG24*0.9875), $H24)))))), (AND(CZ24=TRUE, DA24=""No"", DH24=TRUE, DI24=""No"")), (FLOOR((DG24*0.9), $H24)), (NOT((AND(DH24=TRUE, DI24=""Yes"")))), DG24)"),"---")</f>
        <v>---</v>
      </c>
      <c r="DU24" s="41" t="b">
        <v>0</v>
      </c>
      <c r="DV24" s="47"/>
      <c r="DW24" s="47"/>
      <c r="DX24" s="47" t="str">
        <f t="shared" ref="DX24:DX27" si="208">IF((AND(DH24=TRUE, DI24="No", DU24=TRUE, DV24="No")), (IFS(ISBLANK(DK24), DK24, DK24="Novice 1", "Novice 2", DK24="Novice 2", "Novice 3", DK24="Novice 3", "Intermediate 1", DK24="Intermediate 1", "Intermediate 2", DK24="Intermediate 2", "Advanced 1", DK24="Advanced 1", "Advanced 2", DK24="Advanced 2", "Advanced 2")), DK24)</f>
        <v/>
      </c>
      <c r="DY24" s="60"/>
      <c r="DZ24" s="39" t="str">
        <f t="shared" ref="DZ24:DZ27" si="209">IFS((AND(DU24=TRUE, DV24="Yes")), (ifs(ISBLANK(DX24), DR24, DX24="Novice 1", DR24, DX24="Novice 2", DR24, DX24="Novice 3", DR24, DX24="Intermediate 2", DR24, DX24="Intermediate 1", DR24, DX24="Advanced 2", (IF((DR24+(($D24-$C24)/2))&gt;$D24, $C24, (DR24+(($D24-$C24)/2)))), DX24="Advanced 1", (IF((DR24+(($D24-$C24)/2))&gt;$D24, $C24, (DR24+(($D24-$C24)/2)))))), (NOT((AND(DU24=TRUE, DV24="Yes")))), DR24)</f>
        <v>---</v>
      </c>
      <c r="EA24" s="46" t="str">
        <f t="shared" ref="EA24:EA27" si="210">IFS((AND(DU24=TRUE, DV24="Yes")), (IFS(ISBLANK(DX24), DS24, DX24="Novice 1", DS24, DX24="Novice 2", DS24, DX24="Novice 3", DS24, DX24="Intermediate 2", (IF((DS24+(($F24-$E24)/2))&gt;$F24, $E24, (DS24+(($F24-$E24)/2)))), DX24="Intermediate 1", (IF((DS24-(($F24-$E24)/2))&lt;$E24, $F24, (DS24-(($F24-$E24)/2)))), DX24="Advanced 2", (IF((((($D24-$C24)/2))+DR24)&gt;$D24, (IF((DS24+(($F24-$E24)/2))&gt;$F24, $E24, (DS24+(($F24-$E24)/2)))), DS24)), DX24="Advanced 1", (IF((((($D24-$C24)/2))+DR24)&gt;$D24, (IF((DS24-(($F24-$E24)/2))&lt;$E24, $F24, (DS24-(($F24-$E24)/2)))), DS24)))), (NOT((AND(DU24=TRUE, DV24="Yes")))), DS24)</f>
        <v>---</v>
      </c>
      <c r="EB24" s="40" t="str">
        <f>IFERROR(__xludf.DUMMYFUNCTION("IFS((AND(DU24=TRUE, DV24=""Yes"")), (IFS(ISBLANK(DX24), DT24, DX24=""Novice 1"", CEILING((DT24*1.05), $H24), DX24=""Novice 2"", CEILING((DT24*1.025), $H24), DX24=""Novice 3"", DT24+$H24, DX24=""Intermediate 2"", (IF((ISBETWEEN(((((DH24-DG24)/2))+DS24), DG"&amp;"24, DH24)), DT24, DT24+$H24)), DX24=""Intermediate 1"", (IF((ISBETWEEN((DS24-((DH24-DG24)/2)), DG24, DH24)), DT24+$H24, (FLOOR((DT24*0.9875), $H24)))), DX24=""Advanced 2"", (IF(AND(((DR24+((DF24-DE24)/2))&gt;DF24), ((DS24+((DH24-DG24)/2))&gt;DH24)), DT24+$H24, "&amp;"(DT24))), DX24=""Advanced 1"", (IFS(EA24&lt;DS24, DT24+$H24, EA24=DS24, (DT24), EA24&gt;DS24, (FLOOR((DT24*0.9875), $H24)))))), (AND(DH24=TRUE, DI24=""No"", DU24=TRUE, DV24=""No"")), (FLOOR((DT24*0.9), $H24)), (NOT((AND(DU24=TRUE, DV24=""Yes"")))), DT24)"),"---")</f>
        <v>---</v>
      </c>
      <c r="EC24" s="41" t="b">
        <v>0</v>
      </c>
      <c r="ED24" s="47"/>
      <c r="EE24" s="47"/>
      <c r="EF24" s="47" t="str">
        <f t="shared" ref="EF24:EF27" si="211">IF((AND(DU24=TRUE, DV24="No", EC24=TRUE, ED24="No")), (IFS(ISBLANK(DX24), DX24, DX24="Novice 1", "Novice 2", DX24="Novice 2", "Novice 3", DX24="Novice 3", "Intermediate 1", DX24="Intermediate 1", "Intermediate 2", DX24="Intermediate 2", "Advanced 1", DX24="Advanced 1", "Advanced 2", DX24="Advanced 2", "Advanced 2")), DX24)</f>
        <v/>
      </c>
      <c r="EG24" s="60"/>
      <c r="EH24" s="39" t="str">
        <f t="shared" ref="EH24:EH27" si="212">IFS((AND(EC24=TRUE, ED24="Yes")), (ifs(ISBLANK(EF24), DZ24, EF24="Novice 1", DZ24, EF24="Novice 2", DZ24, EF24="Novice 3", DZ24, EF24="Intermediate 2", DZ24, EF24="Intermediate 1", DZ24, EF24="Advanced 2", (IF((DZ24+(($D24-$C24)/2))&gt;$D24, $C24, (DZ24+(($D24-$C24)/2)))), EF24="Advanced 1", (IF((DZ24+(($D24-$C24)/2))&gt;$D24, $C24, (DZ24+(($D24-$C24)/2)))))), (NOT((AND(EC24=TRUE, ED24="Yes")))), DZ24)</f>
        <v>---</v>
      </c>
      <c r="EI24" s="46" t="str">
        <f t="shared" ref="EI24:EI27" si="213">IFS((AND(EC24=TRUE, ED24="Yes")), (IFS(ISBLANK(EF24), EA24, EF24="Novice 1", EA24, EF24="Novice 2", EA24, EF24="Novice 3", EA24, EF24="Intermediate 2", (IF((EA24+(($F24-$E24)/2))&gt;$F24, $E24, (EA24+(($F24-$E24)/2)))), EF24="Intermediate 1", (IF((EA24-(($F24-$E24)/2))&lt;$E24, $F24, (EA24-(($F24-$E24)/2)))), EF24="Advanced 2", (IF((((($D24-$C24)/2))+DZ24)&gt;$D24, (IF((EA24+(($F24-$E24)/2))&gt;$F24, $E24, (EA24+(($F24-$E24)/2)))), EA24)), EF24="Advanced 1", (IF((((($D24-$C24)/2))+DZ24)&gt;$D24, (IF((EA24-(($F24-$E24)/2))&lt;$E24, $F24, (EA24-(($F24-$E24)/2)))), EA24)))), (NOT((AND(EC24=TRUE, ED24="Yes")))), EA24)</f>
        <v>---</v>
      </c>
      <c r="EJ24" s="40" t="str">
        <f>IFERROR(__xludf.DUMMYFUNCTION("IFS((AND(EC24=TRUE, ED24=""Yes"")), (IFS(ISBLANK(EF24), EB24, EF24=""Novice 1"", CEILING((EB24*1.05), $H24), EF24=""Novice 2"", CEILING((EB24*1.025), $H24), EF24=""Novice 3"", EB24+$H24, EF24=""Intermediate 2"", (IF((ISBETWEEN(((((DU24-DT24)/2))+EA24), DT"&amp;"24, DU24)), EB24, EB24+$H24)), EF24=""Intermediate 1"", (IF((ISBETWEEN((EA24-((DU24-DT24)/2)), DT24, DU24)), EB24+$H24, (FLOOR((EB24*0.9875), $H24)))), EF24=""Advanced 2"", (IF(AND(((DZ24+((DS24-DR24)/2))&gt;DS24), ((EA24+((DU24-DT24)/2))&gt;DU24)), EB24+$H24, "&amp;"(EB24))), EF24=""Advanced 1"", (IFS(EI24&lt;EA24, EB24+$H24, EI24=EA24, (EB24), EI24&gt;EA24, (FLOOR((EB24*0.9875), $H24)))))), (AND(DU24=TRUE, DV24=""No"", EC24=TRUE, ED24=""No"")), (FLOOR((EB24*0.9), $H24)), (NOT((AND(EC24=TRUE, ED24=""Yes"")))), EB24)"),"---")</f>
        <v>---</v>
      </c>
      <c r="EK24" s="41" t="b">
        <v>0</v>
      </c>
      <c r="EL24" s="47"/>
      <c r="EM24" s="47"/>
      <c r="EN24" s="47" t="str">
        <f t="shared" ref="EN24:EN27" si="214">IF((AND(EC24=TRUE, ED24="No", EK24=TRUE, EL24="No")), (IFS(ISBLANK(EF24), EF24, EF24="Novice 1", "Novice 2", EF24="Novice 2", "Novice 3", EF24="Novice 3", "Intermediate 1", EF24="Intermediate 1", "Intermediate 2", EF24="Intermediate 2", "Advanced 1", EF24="Advanced 1", "Advanced 2", EF24="Advanced 2", "Advanced 2")), EF24)</f>
        <v/>
      </c>
      <c r="EO24" s="60"/>
      <c r="EP24" s="48" t="str">
        <f t="shared" ref="EP24:EP27" si="215">IFS((AND(EK24=TRUE, EL24="Yes")), (ifs(ISBLANK(EN24), EH24, EN24="Novice 1", EH24, EN24="Novice 2", EH24, EN24="Novice 3", EH24, EN24="Intermediate 2", EH24, EN24="Intermediate 1", EH24, EN24="Advanced 2", (IF((EH24+(($D24-$C24)/2))&gt;$D24, $C24, (EH24+(($D24-$C24)/2)))), EN24="Advanced 1", (IF((EH24+(($D24-$C24)/2))&gt;$D24, $C24, (EH24+(($D24-$C24)/2)))))), (NOT((AND(EK24=TRUE, EL24="Yes")))), EH24)</f>
        <v>---</v>
      </c>
      <c r="EQ24" s="49" t="str">
        <f t="shared" ref="EQ24:EQ27" si="216">IFS((AND(EK24=TRUE, EL24="Yes")), (IFS(ISBLANK(EN24), EI24, EN24="Novice 1", EI24, EN24="Novice 2", EI24, EN24="Novice 3", EI24, EN24="Intermediate 2", (IF((EI24+(($F24-$E24)/2))&gt;$F24, $E24, (EI24+(($F24-$E24)/2)))), EN24="Intermediate 1", (IF((EI24-(($F24-$E24)/2))&lt;$E24, $F24, (EI24-(($F24-$E24)/2)))), EN24="Advanced 2", (IF((((($D24-$C24)/2))+EH24)&gt;$D24, (IF((EI24+(($F24-$E24)/2))&gt;$F24, $E24, (EI24+(($F24-$E24)/2)))), EI24)), EN24="Advanced 1", (IF((((($D24-$C24)/2))+EH24)&gt;$D24, (IF((EI24-(($F24-$E24)/2))&lt;$E24, $F24, (EI24-(($F24-$E24)/2)))), EI24)))), (NOT((AND(EK24=TRUE, EL24="Yes")))), EI24)</f>
        <v>---</v>
      </c>
      <c r="ER24" s="50" t="str">
        <f>IFERROR(__xludf.DUMMYFUNCTION("IFS((AND(EK24=TRUE, EL24=""Yes"")), (IFS(ISBLANK(EN24), EJ24, EN24=""Novice 1"", CEILING((EJ24*1.05), $H24), EN24=""Novice 2"", CEILING((EJ24*1.025), $H24), EN24=""Novice 3"", EJ24+$H24, EN24=""Intermediate 2"", (IF((ISBETWEEN(((((EC24-EB24)/2))+EI24), EB"&amp;"24, EC24)), EJ24, EJ24+$H24)), EN24=""Intermediate 1"", (IF((ISBETWEEN((EI24-((EC24-EB24)/2)), EB24, EC24)), EJ24+$H24, (FLOOR((EJ24*0.9875), $H24)))), EN24=""Advanced 2"", (IF(AND(((EH24+((EA24-DZ24)/2))&gt;EA24), ((EI24+((EC24-EB24)/2))&gt;EC24)), EJ24+$H24, "&amp;"(EJ24))), EN24=""Advanced 1"", (IFS(EQ24&lt;EI24, EJ24+$H24, EQ24=EI24, (EJ24), EQ24&gt;EI24, (FLOOR((EJ24*0.9875), $H24)))))), (AND(EC24=TRUE, ED24=""No"", EK24=TRUE, EL24=""No"")), (FLOOR((EJ24*0.9), $H24)), (NOT((AND(EK24=TRUE, EL24=""Yes"")))), EJ24)"),"---")</f>
        <v>---</v>
      </c>
      <c r="ES24" s="51" t="b">
        <v>0</v>
      </c>
      <c r="ET24" s="52"/>
      <c r="EU24" s="52"/>
      <c r="EV24" s="52" t="str">
        <f t="shared" ref="EV24:EV27" si="217">IF((AND(EK24=TRUE, EL24="No", ES24=TRUE, ET24="No")), (IFS(ISBLANK(EN24), EN24, EN24="Novice 1", "Novice 2", EN24="Novice 2", "Novice 3", EN24="Novice 3", "Intermediate 1", EN24="Intermediate 1", "Intermediate 2", EN24="Intermediate 2", "Advanced 1", EN24="Advanced 1", "Advanced 2", EN24="Advanced 2", "Advanced 2")), EN24)</f>
        <v/>
      </c>
      <c r="EW24" s="69"/>
      <c r="EX24" s="53" t="str">
        <f t="shared" ref="EX24:EY24" si="162">IFERROR(EP24/2,EP24)</f>
        <v>---</v>
      </c>
      <c r="EY24" s="53" t="str">
        <f t="shared" si="162"/>
        <v>---</v>
      </c>
      <c r="EZ24" s="53" t="str">
        <f t="shared" ref="EZ24:EZ27" si="219">ER24</f>
        <v>---</v>
      </c>
      <c r="FA24" s="67"/>
      <c r="FB24" s="86"/>
      <c r="FC24" s="57"/>
    </row>
    <row r="25" outlineLevel="1">
      <c r="A25" s="32" t="s">
        <v>38</v>
      </c>
      <c r="B25" s="58"/>
      <c r="C25" s="82" t="s">
        <v>53</v>
      </c>
      <c r="D25" s="83" t="s">
        <v>53</v>
      </c>
      <c r="E25" s="82" t="s">
        <v>53</v>
      </c>
      <c r="F25" s="83" t="s">
        <v>53</v>
      </c>
      <c r="G25" s="83" t="s">
        <v>53</v>
      </c>
      <c r="H25" s="84"/>
      <c r="I25" s="85"/>
      <c r="J25" s="59"/>
      <c r="K25" s="39" t="str">
        <f t="shared" si="163"/>
        <v>---</v>
      </c>
      <c r="L25" s="40" t="str">
        <f t="shared" si="164"/>
        <v>---</v>
      </c>
      <c r="M25" s="40" t="str">
        <f t="shared" si="165"/>
        <v>---</v>
      </c>
      <c r="N25" s="41" t="b">
        <v>0</v>
      </c>
      <c r="O25" s="42"/>
      <c r="P25" s="43"/>
      <c r="Q25" s="42" t="str">
        <f t="shared" si="166"/>
        <v/>
      </c>
      <c r="R25" s="60"/>
      <c r="S25" s="39" t="str">
        <f t="shared" si="167"/>
        <v>---</v>
      </c>
      <c r="T25" s="46" t="str">
        <f t="shared" si="168"/>
        <v>---</v>
      </c>
      <c r="U25" s="40" t="str">
        <f>IFERROR(__xludf.DUMMYFUNCTION("IFS((AND(N25=TRUE, O25=""Yes"")), (IFS(ISBLANK(Q25), M25, Q25=""Novice 1"", CEILING((M25*1.05), $H25), Q25=""Novice 2"", CEILING((M25*1.025), $H25), Q25=""Novice 3"", M25+$H25, Q25=""Intermediate 2"", (IF((ISBETWEEN(((((F25-E25)/2))+L25), E25, F25)), M25,"&amp;" M25+$H25)), Q25=""Intermediate 1"", (IF((ISBETWEEN((L25-((F25-E25)/2)), E25, F25)), M25+$H25, (FLOOR((M25*0.9875), $H25)))), Q25=""Advanced 2"", (IF(AND(((K25+((D25-C25)/2))&gt;D25), ((L25+((F25-E25)/2))&gt;F25)), M25+$H25, (M25))), Q25=""Advanced 1"", (IFS(T2"&amp;"5&lt;L25, M25+$H25, T25=L25, (M25), T25&gt;L25, (FLOOR((M25*0.9875), $H25)))))), (AND(F25=TRUE, G25=""No"", N25=TRUE, O25=""No"")), (FLOOR((M25*0.9), $H25)), (NOT((AND(N25=TRUE, O25=""Yes"")))), M25)"),"---")</f>
        <v>---</v>
      </c>
      <c r="V25" s="41" t="b">
        <v>0</v>
      </c>
      <c r="W25" s="47"/>
      <c r="X25" s="47"/>
      <c r="Y25" s="47" t="str">
        <f t="shared" si="169"/>
        <v/>
      </c>
      <c r="Z25" s="60"/>
      <c r="AA25" s="39" t="str">
        <f t="shared" si="170"/>
        <v>---</v>
      </c>
      <c r="AB25" s="46" t="str">
        <f t="shared" si="171"/>
        <v>---</v>
      </c>
      <c r="AC25" s="40" t="str">
        <f>IFERROR(__xludf.DUMMYFUNCTION("IFS((AND(V25=TRUE, W25=""Yes"")), (IFS(ISBLANK(Y25), U25, Y25=""Novice 1"", CEILING((U25*1.05), $H25), Y25=""Novice 2"", CEILING((U25*1.025), $H25), Y25=""Novice 3"", U25+$H25, Y25=""Intermediate 2"", (IF((ISBETWEEN(((((N25-M25)/2))+T25), M25, N25)), U25,"&amp;" U25+$H25)), Y25=""Intermediate 1"", (IF((ISBETWEEN((T25-((N25-M25)/2)), M25, N25)), U25+$H25, (FLOOR((U25*0.9875), $H25)))), Y25=""Advanced 2"", (IF(AND(((S25+((L25-K25)/2))&gt;L25), ((T25+((N25-M25)/2))&gt;N25)), U25+$H25, (U25))), Y25=""Advanced 1"", (IFS(AB"&amp;"25&lt;T25, U25+$H25, AB25=T25, (U25), AB25&gt;T25, (FLOOR((U25*0.9875), $H25)))))), (AND(N25=TRUE, O25=""No"", V25=TRUE, W25=""No"")), (FLOOR((U25*0.9), $H25)), (NOT((AND(V25=TRUE, W25=""Yes"")))), U25)"),"---")</f>
        <v>---</v>
      </c>
      <c r="AD25" s="41" t="b">
        <v>0</v>
      </c>
      <c r="AE25" s="47"/>
      <c r="AF25" s="47"/>
      <c r="AG25" s="47" t="str">
        <f t="shared" si="172"/>
        <v/>
      </c>
      <c r="AH25" s="60"/>
      <c r="AI25" s="61" t="str">
        <f t="shared" si="173"/>
        <v>---</v>
      </c>
      <c r="AJ25" s="62" t="str">
        <f t="shared" si="174"/>
        <v>---</v>
      </c>
      <c r="AK25" s="63" t="str">
        <f>IFERROR(__xludf.DUMMYFUNCTION("IFS((AND(AD25=TRUE, AE25=""Yes"")), (IFS(ISBLANK(AG25), AC25, AG25=""Novice 1"", CEILING((AC25*1.05), $H25), AG25=""Novice 2"", CEILING((AC25*1.025), $H25), AG25=""Novice 3"", AC25+$H25, AG25=""Intermediate 2"", (IF((ISBETWEEN(((((V25-U25)/2))+AB25), U25,"&amp;" V25)), AC25, AC25+$H25)), AG25=""Intermediate 1"", (IF((ISBETWEEN((AB25-((V25-U25)/2)), U25, V25)), AC25+$H25, (FLOOR((AC25*0.9875), $H25)))), AG25=""Advanced 2"", (IF(AND(((AA25+((T25-S25)/2))&gt;T25), ((AB25+((V25-U25)/2))&gt;V25)), AC25+$H25, (AC25))), AG25"&amp;"=""Advanced 1"", (IFS(AJ25&lt;AB25, AC25+$H25, AJ25=AB25, (AC25), AJ25&gt;AB25, (FLOOR((AC25*0.9875), $H25)))))), (AND(V25=TRUE, W25=""No"", AD25=TRUE, AE25=""No"")), (FLOOR((AC25*0.9), $H25)), (NOT((AND(AD25=TRUE, AE25=""Yes"")))), AC25)"),"---")</f>
        <v>---</v>
      </c>
      <c r="AL25" s="64" t="b">
        <v>0</v>
      </c>
      <c r="AM25" s="65"/>
      <c r="AN25" s="65"/>
      <c r="AO25" s="65" t="str">
        <f t="shared" si="175"/>
        <v/>
      </c>
      <c r="AP25" s="66"/>
      <c r="AQ25" s="53" t="str">
        <f t="shared" ref="AQ25:AR25" si="176">IFERROR(AI25/2,AI25)</f>
        <v>---</v>
      </c>
      <c r="AR25" s="53" t="str">
        <f t="shared" si="176"/>
        <v>---</v>
      </c>
      <c r="AS25" s="53" t="str">
        <f t="shared" si="177"/>
        <v>---</v>
      </c>
      <c r="AT25" s="67"/>
      <c r="AU25" s="60"/>
      <c r="AV25" s="39" t="str">
        <f t="shared" si="178"/>
        <v>---</v>
      </c>
      <c r="AW25" s="46" t="str">
        <f t="shared" si="179"/>
        <v>---</v>
      </c>
      <c r="AX25" s="40" t="str">
        <f>IFERROR(__xludf.DUMMYFUNCTION("IFS((AND(AL25=TRUE, AM25=""Yes"")), (IFS(ISBLANK(AO25), AK25, AO25=""Novice 1"", CEILING((AK25*1.05), $H25), AO25=""Novice 2"", CEILING((AK25*1.025), $H25), AO25=""Novice 3"", AK25+$H25, AO25=""Intermediate 2"", (IF((ISBETWEEN(((((AD25-AC25)/2))+AJ25), AC"&amp;"25, AD25)), AK25, AK25+$H25)), AO25=""Intermediate 1"", (IF((ISBETWEEN((AJ25-((AD25-AC25)/2)), AC25, AD25)), AK25+$H25, (FLOOR((AK25*0.9875), $H25)))), AO25=""Advanced 2"", (IF(AND(((AI25+((AB25-AA25)/2))&gt;AB25), ((AJ25+((AD25-AC25)/2))&gt;AD25)), AK25+$H25, "&amp;"(AK25))), AO25=""Advanced 1"", (IFS(AW25&lt;AJ25, AK25+$H25, AW25=AJ25, (AK25), AW25&gt;AJ25, (FLOOR((AK25*0.9875), $H25)))))), (AND(AD25=TRUE, AE25=""No"", AL25=TRUE, AM25=""No"")), (FLOOR((AK25*0.9), $H25)), (NOT((AND(AL25=TRUE, AM25=""Yes"")))), AK25)"),"---")</f>
        <v>---</v>
      </c>
      <c r="AY25" s="41" t="b">
        <v>0</v>
      </c>
      <c r="AZ25" s="47"/>
      <c r="BA25" s="47"/>
      <c r="BB25" s="47" t="str">
        <f t="shared" si="180"/>
        <v/>
      </c>
      <c r="BC25" s="60"/>
      <c r="BD25" s="39" t="str">
        <f t="shared" si="181"/>
        <v>---</v>
      </c>
      <c r="BE25" s="46" t="str">
        <f t="shared" si="182"/>
        <v>---</v>
      </c>
      <c r="BF25" s="40" t="str">
        <f>IFERROR(__xludf.DUMMYFUNCTION("IFS((AND(AY25=TRUE, AZ25=""Yes"")), (IFS(ISBLANK(BB25), AX25, BB25=""Novice 1"", CEILING((AX25*1.05), $H25), BB25=""Novice 2"", CEILING((AX25*1.025), $H25), BB25=""Novice 3"", AX25+$H25, BB25=""Intermediate 2"", (IF((ISBETWEEN(((((AL25-AK25)/2))+AW25), AK"&amp;"25, AL25)), AX25, AX25+$H25)), BB25=""Intermediate 1"", (IF((ISBETWEEN((AW25-((AL25-AK25)/2)), AK25, AL25)), AX25+$H25, (FLOOR((AX25*0.9875), $H25)))), BB25=""Advanced 2"", (IF(AND(((AV25+((AJ25-AI25)/2))&gt;AJ25), ((AW25+((AL25-AK25)/2))&gt;AL25)), AX25+$H25, "&amp;"(AX25))), BB25=""Advanced 1"", (IFS(BE25&lt;AW25, AX25+$H25, BE25=AW25, (AX25), BE25&gt;AW25, (FLOOR((AX25*0.9875), $H25)))))), (AND(AL25=TRUE, AM25=""No"", AY25=TRUE, AZ25=""No"")), (FLOOR((AX25*0.9), $H25)), (NOT((AND(AY25=TRUE, AZ25=""Yes"")))), AX25)"),"---")</f>
        <v>---</v>
      </c>
      <c r="BG25" s="41" t="b">
        <v>0</v>
      </c>
      <c r="BH25" s="47"/>
      <c r="BI25" s="47"/>
      <c r="BJ25" s="47" t="str">
        <f t="shared" si="183"/>
        <v/>
      </c>
      <c r="BK25" s="60"/>
      <c r="BL25" s="39" t="str">
        <f t="shared" si="184"/>
        <v>---</v>
      </c>
      <c r="BM25" s="46" t="str">
        <f t="shared" si="185"/>
        <v>---</v>
      </c>
      <c r="BN25" s="40" t="str">
        <f>IFERROR(__xludf.DUMMYFUNCTION("IFS((AND(BG25=TRUE, BH25=""Yes"")), (IFS(ISBLANK(BJ25), BF25, BJ25=""Novice 1"", CEILING((BF25*1.05), $H25), BJ25=""Novice 2"", CEILING((BF25*1.025), $H25), BJ25=""Novice 3"", BF25+$H25, BJ25=""Intermediate 2"", (IF((ISBETWEEN(((((AY25-AX25)/2))+BE25), AX"&amp;"25, AY25)), BF25, BF25+$H25)), BJ25=""Intermediate 1"", (IF((ISBETWEEN((BE25-((AY25-AX25)/2)), AX25, AY25)), BF25+$H25, (FLOOR((BF25*0.9875), $H25)))), BJ25=""Advanced 2"", (IF(AND(((BD25+((AW25-AV25)/2))&gt;AW25), ((BE25+((AY25-AX25)/2))&gt;AY25)), BF25+$H25, "&amp;"(BF25))), BJ25=""Advanced 1"", (IFS(BM25&lt;BE25, BF25+$H25, BM25=BE25, (BF25), BM25&gt;BE25, (FLOOR((BF25*0.9875), $H25)))))), (AND(AY25=TRUE, AZ25=""No"", BG25=TRUE, BH25=""No"")), (FLOOR((BF25*0.9), $H25)), (NOT((AND(BG25=TRUE, BH25=""Yes"")))), BF25)"),"---")</f>
        <v>---</v>
      </c>
      <c r="BO25" s="41" t="b">
        <v>0</v>
      </c>
      <c r="BP25" s="47"/>
      <c r="BQ25" s="47"/>
      <c r="BR25" s="47" t="str">
        <f t="shared" si="186"/>
        <v/>
      </c>
      <c r="BS25" s="60"/>
      <c r="BT25" s="61" t="str">
        <f t="shared" si="187"/>
        <v>---</v>
      </c>
      <c r="BU25" s="62" t="str">
        <f t="shared" si="188"/>
        <v>---</v>
      </c>
      <c r="BV25" s="63" t="str">
        <f>IFERROR(__xludf.DUMMYFUNCTION("IFS((AND(BO25=TRUE, BP25=""Yes"")), (IFS(ISBLANK(BR25), BN25, BR25=""Novice 1"", CEILING((BN25*1.05), $H25), BR25=""Novice 2"", CEILING((BN25*1.025), $H25), BR25=""Novice 3"", BN25+$H25, BR25=""Intermediate 2"", (IF((ISBETWEEN(((((BG25-BF25)/2))+BM25), BF"&amp;"25, BG25)), BN25, BN25+$H25)), BR25=""Intermediate 1"", (IF((ISBETWEEN((BM25-((BG25-BF25)/2)), BF25, BG25)), BN25+$H25, (FLOOR((BN25*0.9875), $H25)))), BR25=""Advanced 2"", (IF(AND(((BL25+((BE25-BD25)/2))&gt;BE25), ((BM25+((BG25-BF25)/2))&gt;BG25)), BN25+$H25, "&amp;"(BN25))), BR25=""Advanced 1"", (IFS(BU25&lt;BM25, BN25+$H25, BU25=BM25, (BN25), BU25&gt;BM25, (FLOOR((BN25*0.9875), $H25)))))), (AND(BG25=TRUE, BH25=""No"", BO25=TRUE, BP25=""No"")), (FLOOR((BN25*0.9), $H25)), (NOT((AND(BO25=TRUE, BP25=""Yes"")))), BN25)"),"---")</f>
        <v>---</v>
      </c>
      <c r="BW25" s="64" t="b">
        <v>0</v>
      </c>
      <c r="BX25" s="65"/>
      <c r="BY25" s="65"/>
      <c r="BZ25" s="65" t="str">
        <f t="shared" si="189"/>
        <v/>
      </c>
      <c r="CA25" s="66"/>
      <c r="CB25" s="53" t="str">
        <f t="shared" ref="CB25:CC25" si="190">IFERROR(BT25/2,BT25)</f>
        <v>---</v>
      </c>
      <c r="CC25" s="53" t="str">
        <f t="shared" si="190"/>
        <v>---</v>
      </c>
      <c r="CD25" s="53" t="str">
        <f t="shared" si="191"/>
        <v>---</v>
      </c>
      <c r="CE25" s="67"/>
      <c r="CF25" s="60"/>
      <c r="CG25" s="39" t="str">
        <f t="shared" si="192"/>
        <v>---</v>
      </c>
      <c r="CH25" s="46" t="str">
        <f t="shared" si="193"/>
        <v>---</v>
      </c>
      <c r="CI25" s="40" t="str">
        <f>IFERROR(__xludf.DUMMYFUNCTION("IFS((AND(BW25=TRUE, BX25=""Yes"")), (IFS(ISBLANK(BZ25), BV25, BZ25=""Novice 1"", CEILING((BV25*1.05), $H25), BZ25=""Novice 2"", CEILING((BV25*1.025), $H25), BZ25=""Novice 3"", BV25+$H25, BZ25=""Intermediate 2"", (IF((ISBETWEEN(((((BO25-BN25)/2))+BU25), BN"&amp;"25, BO25)), BV25, BV25+$H25)), BZ25=""Intermediate 1"", (IF((ISBETWEEN((BU25-((BO25-BN25)/2)), BN25, BO25)), BV25+$H25, (FLOOR((BV25*0.9875), $H25)))), BZ25=""Advanced 2"", (IF(AND(((BT25+((BM25-BL25)/2))&gt;BM25), ((BU25+((BO25-BN25)/2))&gt;BO25)), BV25+$H25, "&amp;"(BV25))), BZ25=""Advanced 1"", (IFS(CH25&lt;BU25, BV25+$H25, CH25=BU25, (BV25), CH25&gt;BU25, (FLOOR((BV25*0.9875), $H25)))))), (AND(BO25=TRUE, BP25=""No"", BW25=TRUE, BX25=""No"")), (FLOOR((BV25*0.9), $H25)), (NOT((AND(BW25=TRUE, BX25=""Yes"")))), BV25)"),"---")</f>
        <v>---</v>
      </c>
      <c r="CJ25" s="41" t="b">
        <v>0</v>
      </c>
      <c r="CK25" s="47"/>
      <c r="CL25" s="47"/>
      <c r="CM25" s="47" t="str">
        <f t="shared" si="194"/>
        <v/>
      </c>
      <c r="CN25" s="60"/>
      <c r="CO25" s="39" t="str">
        <f t="shared" si="195"/>
        <v>---</v>
      </c>
      <c r="CP25" s="46" t="str">
        <f t="shared" si="196"/>
        <v>---</v>
      </c>
      <c r="CQ25" s="40" t="str">
        <f>IFERROR(__xludf.DUMMYFUNCTION("IFS((AND(CJ25=TRUE, CK25=""Yes"")), (IFS(ISBLANK(CM25), CI25, CM25=""Novice 1"", CEILING((CI25*1.05), $H25), CM25=""Novice 2"", CEILING((CI25*1.025), $H25), CM25=""Novice 3"", CI25+$H25, CM25=""Intermediate 2"", (IF((ISBETWEEN(((((BW25-BV25)/2))+CH25), BV"&amp;"25, BW25)), CI25, CI25+$H25)), CM25=""Intermediate 1"", (IF((ISBETWEEN((CH25-((BW25-BV25)/2)), BV25, BW25)), CI25+$H25, (FLOOR((CI25*0.9875), $H25)))), CM25=""Advanced 2"", (IF(AND(((CG25+((BU25-BT25)/2))&gt;BU25), ((CH25+((BW25-BV25)/2))&gt;BW25)), CI25+$H25, "&amp;"(CI25))), CM25=""Advanced 1"", (IFS(CP25&lt;CH25, CI25+$H25, CP25=CH25, (CI25), CP25&gt;CH25, (FLOOR((CI25*0.9875), $H25)))))), (AND(BW25=TRUE, BX25=""No"", CJ25=TRUE, CK25=""No"")), (FLOOR((CI25*0.9), $H25)), (NOT((AND(CJ25=TRUE, CK25=""Yes"")))), CI25)"),"---")</f>
        <v>---</v>
      </c>
      <c r="CR25" s="41" t="b">
        <v>0</v>
      </c>
      <c r="CS25" s="47"/>
      <c r="CT25" s="47"/>
      <c r="CU25" s="47" t="str">
        <f t="shared" si="197"/>
        <v/>
      </c>
      <c r="CV25" s="60"/>
      <c r="CW25" s="39" t="str">
        <f t="shared" si="198"/>
        <v>---</v>
      </c>
      <c r="CX25" s="46" t="str">
        <f t="shared" si="199"/>
        <v>---</v>
      </c>
      <c r="CY25" s="40" t="str">
        <f>IFERROR(__xludf.DUMMYFUNCTION("IFS((AND(CR25=TRUE, CS25=""Yes"")), (IFS(ISBLANK(CU25), CQ25, CU25=""Novice 1"", CEILING((CQ25*1.05), $H25), CU25=""Novice 2"", CEILING((CQ25*1.025), $H25), CU25=""Novice 3"", CQ25+$H25, CU25=""Intermediate 2"", (IF((ISBETWEEN(((((CJ25-CI25)/2))+CP25), CI"&amp;"25, CJ25)), CQ25, CQ25+$H25)), CU25=""Intermediate 1"", (IF((ISBETWEEN((CP25-((CJ25-CI25)/2)), CI25, CJ25)), CQ25+$H25, (FLOOR((CQ25*0.9875), $H25)))), CU25=""Advanced 2"", (IF(AND(((CO25+((CH25-CG25)/2))&gt;CH25), ((CP25+((CJ25-CI25)/2))&gt;CJ25)), CQ25+$H25, "&amp;"(CQ25))), CU25=""Advanced 1"", (IFS(CX25&lt;CP25, CQ25+$H25, CX25=CP25, (CQ25), CX25&gt;CP25, (FLOOR((CQ25*0.9875), $H25)))))), (AND(CJ25=TRUE, CK25=""No"", CR25=TRUE, CS25=""No"")), (FLOOR((CQ25*0.9), $H25)), (NOT((AND(CR25=TRUE, CS25=""Yes"")))), CQ25)"),"---")</f>
        <v>---</v>
      </c>
      <c r="CZ25" s="41" t="b">
        <v>0</v>
      </c>
      <c r="DA25" s="47"/>
      <c r="DB25" s="47"/>
      <c r="DC25" s="47" t="str">
        <f t="shared" si="200"/>
        <v/>
      </c>
      <c r="DD25" s="60"/>
      <c r="DE25" s="61" t="str">
        <f t="shared" si="201"/>
        <v>---</v>
      </c>
      <c r="DF25" s="62" t="str">
        <f t="shared" si="202"/>
        <v>---</v>
      </c>
      <c r="DG25" s="63" t="str">
        <f>IFERROR(__xludf.DUMMYFUNCTION("IFS((AND(CZ25=TRUE, DA25=""Yes"")), (IFS(ISBLANK(DC25), CY25, DC25=""Novice 1"", CEILING((CY25*1.05), $H25), DC25=""Novice 2"", CEILING((CY25*1.025), $H25), DC25=""Novice 3"", CY25+$H25, DC25=""Intermediate 2"", (IF((ISBETWEEN(((((CR25-CQ25)/2))+CX25), CQ"&amp;"25, CR25)), CY25, CY25+$H25)), DC25=""Intermediate 1"", (IF((ISBETWEEN((CX25-((CR25-CQ25)/2)), CQ25, CR25)), CY25+$H25, (FLOOR((CY25*0.9875), $H25)))), DC25=""Advanced 2"", (IF(AND(((CW25+((CP25-CO25)/2))&gt;CP25), ((CX25+((CR25-CQ25)/2))&gt;CR25)), CY25+$H25, "&amp;"(CY25))), DC25=""Advanced 1"", (IFS(DF25&lt;CX25, CY25+$H25, DF25=CX25, (CY25), DF25&gt;CX25, (FLOOR((CY25*0.9875), $H25)))))), (AND(CR25=TRUE, CS25=""No"", CZ25=TRUE, DA25=""No"")), (FLOOR((CY25*0.9), $H25)), (NOT((AND(CZ25=TRUE, DA25=""Yes"")))), CY25)"),"---")</f>
        <v>---</v>
      </c>
      <c r="DH25" s="64" t="b">
        <v>0</v>
      </c>
      <c r="DI25" s="65"/>
      <c r="DJ25" s="65"/>
      <c r="DK25" s="65" t="str">
        <f t="shared" si="203"/>
        <v/>
      </c>
      <c r="DL25" s="66"/>
      <c r="DM25" s="53" t="str">
        <f t="shared" ref="DM25:DN25" si="204">IFERROR(DE25/2,DE25)</f>
        <v>---</v>
      </c>
      <c r="DN25" s="53" t="str">
        <f t="shared" si="204"/>
        <v>---</v>
      </c>
      <c r="DO25" s="53" t="str">
        <f t="shared" si="205"/>
        <v>---</v>
      </c>
      <c r="DP25" s="67"/>
      <c r="DQ25" s="60"/>
      <c r="DR25" s="39" t="str">
        <f t="shared" si="206"/>
        <v>---</v>
      </c>
      <c r="DS25" s="46" t="str">
        <f t="shared" si="207"/>
        <v>---</v>
      </c>
      <c r="DT25" s="40" t="str">
        <f>IFERROR(__xludf.DUMMYFUNCTION("IFS((AND(DH25=TRUE, DI25=""Yes"")), (IFS(ISBLANK(DK25), DG25, DK25=""Novice 1"", CEILING((DG25*1.05), $H25), DK25=""Novice 2"", CEILING((DG25*1.025), $H25), DK25=""Novice 3"", DG25+$H25, DK25=""Intermediate 2"", (IF((ISBETWEEN(((((CZ25-CY25)/2))+DF25), CY"&amp;"25, CZ25)), DG25, DG25+$H25)), DK25=""Intermediate 1"", (IF((ISBETWEEN((DF25-((CZ25-CY25)/2)), CY25, CZ25)), DG25+$H25, (FLOOR((DG25*0.9875), $H25)))), DK25=""Advanced 2"", (IF(AND(((DE25+((CX25-CW25)/2))&gt;CX25), ((DF25+((CZ25-CY25)/2))&gt;CZ25)), DG25+$H25, "&amp;"(DG25))), DK25=""Advanced 1"", (IFS(DS25&lt;DF25, DG25+$H25, DS25=DF25, (DG25), DS25&gt;DF25, (FLOOR((DG25*0.9875), $H25)))))), (AND(CZ25=TRUE, DA25=""No"", DH25=TRUE, DI25=""No"")), (FLOOR((DG25*0.9), $H25)), (NOT((AND(DH25=TRUE, DI25=""Yes"")))), DG25)"),"---")</f>
        <v>---</v>
      </c>
      <c r="DU25" s="41" t="b">
        <v>0</v>
      </c>
      <c r="DV25" s="47"/>
      <c r="DW25" s="47"/>
      <c r="DX25" s="47" t="str">
        <f t="shared" si="208"/>
        <v/>
      </c>
      <c r="DY25" s="60"/>
      <c r="DZ25" s="39" t="str">
        <f t="shared" si="209"/>
        <v>---</v>
      </c>
      <c r="EA25" s="46" t="str">
        <f t="shared" si="210"/>
        <v>---</v>
      </c>
      <c r="EB25" s="40" t="str">
        <f>IFERROR(__xludf.DUMMYFUNCTION("IFS((AND(DU25=TRUE, DV25=""Yes"")), (IFS(ISBLANK(DX25), DT25, DX25=""Novice 1"", CEILING((DT25*1.05), $H25), DX25=""Novice 2"", CEILING((DT25*1.025), $H25), DX25=""Novice 3"", DT25+$H25, DX25=""Intermediate 2"", (IF((ISBETWEEN(((((DH25-DG25)/2))+DS25), DG"&amp;"25, DH25)), DT25, DT25+$H25)), DX25=""Intermediate 1"", (IF((ISBETWEEN((DS25-((DH25-DG25)/2)), DG25, DH25)), DT25+$H25, (FLOOR((DT25*0.9875), $H25)))), DX25=""Advanced 2"", (IF(AND(((DR25+((DF25-DE25)/2))&gt;DF25), ((DS25+((DH25-DG25)/2))&gt;DH25)), DT25+$H25, "&amp;"(DT25))), DX25=""Advanced 1"", (IFS(EA25&lt;DS25, DT25+$H25, EA25=DS25, (DT25), EA25&gt;DS25, (FLOOR((DT25*0.9875), $H25)))))), (AND(DH25=TRUE, DI25=""No"", DU25=TRUE, DV25=""No"")), (FLOOR((DT25*0.9), $H25)), (NOT((AND(DU25=TRUE, DV25=""Yes"")))), DT25)"),"---")</f>
        <v>---</v>
      </c>
      <c r="EC25" s="41" t="b">
        <v>0</v>
      </c>
      <c r="ED25" s="47"/>
      <c r="EE25" s="47"/>
      <c r="EF25" s="47" t="str">
        <f t="shared" si="211"/>
        <v/>
      </c>
      <c r="EG25" s="60"/>
      <c r="EH25" s="39" t="str">
        <f t="shared" si="212"/>
        <v>---</v>
      </c>
      <c r="EI25" s="46" t="str">
        <f t="shared" si="213"/>
        <v>---</v>
      </c>
      <c r="EJ25" s="40" t="str">
        <f>IFERROR(__xludf.DUMMYFUNCTION("IFS((AND(EC25=TRUE, ED25=""Yes"")), (IFS(ISBLANK(EF25), EB25, EF25=""Novice 1"", CEILING((EB25*1.05), $H25), EF25=""Novice 2"", CEILING((EB25*1.025), $H25), EF25=""Novice 3"", EB25+$H25, EF25=""Intermediate 2"", (IF((ISBETWEEN(((((DU25-DT25)/2))+EA25), DT"&amp;"25, DU25)), EB25, EB25+$H25)), EF25=""Intermediate 1"", (IF((ISBETWEEN((EA25-((DU25-DT25)/2)), DT25, DU25)), EB25+$H25, (FLOOR((EB25*0.9875), $H25)))), EF25=""Advanced 2"", (IF(AND(((DZ25+((DS25-DR25)/2))&gt;DS25), ((EA25+((DU25-DT25)/2))&gt;DU25)), EB25+$H25, "&amp;"(EB25))), EF25=""Advanced 1"", (IFS(EI25&lt;EA25, EB25+$H25, EI25=EA25, (EB25), EI25&gt;EA25, (FLOOR((EB25*0.9875), $H25)))))), (AND(DU25=TRUE, DV25=""No"", EC25=TRUE, ED25=""No"")), (FLOOR((EB25*0.9), $H25)), (NOT((AND(EC25=TRUE, ED25=""Yes"")))), EB25)"),"---")</f>
        <v>---</v>
      </c>
      <c r="EK25" s="41" t="b">
        <v>0</v>
      </c>
      <c r="EL25" s="47"/>
      <c r="EM25" s="47"/>
      <c r="EN25" s="47" t="str">
        <f t="shared" si="214"/>
        <v/>
      </c>
      <c r="EO25" s="60"/>
      <c r="EP25" s="61" t="str">
        <f t="shared" si="215"/>
        <v>---</v>
      </c>
      <c r="EQ25" s="62" t="str">
        <f t="shared" si="216"/>
        <v>---</v>
      </c>
      <c r="ER25" s="63" t="str">
        <f>IFERROR(__xludf.DUMMYFUNCTION("IFS((AND(EK25=TRUE, EL25=""Yes"")), (IFS(ISBLANK(EN25), EJ25, EN25=""Novice 1"", CEILING((EJ25*1.05), $H25), EN25=""Novice 2"", CEILING((EJ25*1.025), $H25), EN25=""Novice 3"", EJ25+$H25, EN25=""Intermediate 2"", (IF((ISBETWEEN(((((EC25-EB25)/2))+EI25), EB"&amp;"25, EC25)), EJ25, EJ25+$H25)), EN25=""Intermediate 1"", (IF((ISBETWEEN((EI25-((EC25-EB25)/2)), EB25, EC25)), EJ25+$H25, (FLOOR((EJ25*0.9875), $H25)))), EN25=""Advanced 2"", (IF(AND(((EH25+((EA25-DZ25)/2))&gt;EA25), ((EI25+((EC25-EB25)/2))&gt;EC25)), EJ25+$H25, "&amp;"(EJ25))), EN25=""Advanced 1"", (IFS(EQ25&lt;EI25, EJ25+$H25, EQ25=EI25, (EJ25), EQ25&gt;EI25, (FLOOR((EJ25*0.9875), $H25)))))), (AND(EC25=TRUE, ED25=""No"", EK25=TRUE, EL25=""No"")), (FLOOR((EJ25*0.9), $H25)), (NOT((AND(EK25=TRUE, EL25=""Yes"")))), EJ25)"),"---")</f>
        <v>---</v>
      </c>
      <c r="ES25" s="64" t="b">
        <v>0</v>
      </c>
      <c r="ET25" s="65"/>
      <c r="EU25" s="65"/>
      <c r="EV25" s="65" t="str">
        <f t="shared" si="217"/>
        <v/>
      </c>
      <c r="EW25" s="66"/>
      <c r="EX25" s="53" t="str">
        <f t="shared" ref="EX25:EY25" si="218">IFERROR(EP25/2,EP25)</f>
        <v>---</v>
      </c>
      <c r="EY25" s="53" t="str">
        <f t="shared" si="218"/>
        <v>---</v>
      </c>
      <c r="EZ25" s="53" t="str">
        <f t="shared" si="219"/>
        <v>---</v>
      </c>
      <c r="FA25" s="67"/>
      <c r="FB25" s="86"/>
      <c r="FC25" s="57"/>
    </row>
    <row r="26" outlineLevel="1">
      <c r="A26" s="32" t="s">
        <v>40</v>
      </c>
      <c r="B26" s="58"/>
      <c r="C26" s="82" t="s">
        <v>53</v>
      </c>
      <c r="D26" s="83" t="s">
        <v>53</v>
      </c>
      <c r="E26" s="82" t="s">
        <v>53</v>
      </c>
      <c r="F26" s="83" t="s">
        <v>53</v>
      </c>
      <c r="G26" s="83" t="s">
        <v>53</v>
      </c>
      <c r="H26" s="84"/>
      <c r="I26" s="85"/>
      <c r="J26" s="59"/>
      <c r="K26" s="39" t="str">
        <f t="shared" si="163"/>
        <v>---</v>
      </c>
      <c r="L26" s="40" t="str">
        <f t="shared" si="164"/>
        <v>---</v>
      </c>
      <c r="M26" s="40" t="str">
        <f t="shared" si="165"/>
        <v>---</v>
      </c>
      <c r="N26" s="41" t="b">
        <v>0</v>
      </c>
      <c r="O26" s="42"/>
      <c r="P26" s="43"/>
      <c r="Q26" s="42" t="str">
        <f t="shared" si="166"/>
        <v/>
      </c>
      <c r="R26" s="60"/>
      <c r="S26" s="39" t="str">
        <f t="shared" si="167"/>
        <v>---</v>
      </c>
      <c r="T26" s="46" t="str">
        <f t="shared" si="168"/>
        <v>---</v>
      </c>
      <c r="U26" s="40" t="str">
        <f>IFERROR(__xludf.DUMMYFUNCTION("IFS((AND(N26=TRUE, O26=""Yes"")), (IFS(ISBLANK(Q26), M26, Q26=""Novice 1"", CEILING((M26*1.05), $H26), Q26=""Novice 2"", CEILING((M26*1.025), $H26), Q26=""Novice 3"", M26+$H26, Q26=""Intermediate 2"", (IF((ISBETWEEN(((((F26-E26)/2))+L26), E26, F26)), M26,"&amp;" M26+$H26)), Q26=""Intermediate 1"", (IF((ISBETWEEN((L26-((F26-E26)/2)), E26, F26)), M26+$H26, (FLOOR((M26*0.9875), $H26)))), Q26=""Advanced 2"", (IF(AND(((K26+((D26-C26)/2))&gt;D26), ((L26+((F26-E26)/2))&gt;F26)), M26+$H26, (M26))), Q26=""Advanced 1"", (IFS(T2"&amp;"6&lt;L26, M26+$H26, T26=L26, (M26), T26&gt;L26, (FLOOR((M26*0.9875), $H26)))))), (AND(F26=TRUE, G26=""No"", N26=TRUE, O26=""No"")), (FLOOR((M26*0.9), $H26)), (NOT((AND(N26=TRUE, O26=""Yes"")))), M26)"),"---")</f>
        <v>---</v>
      </c>
      <c r="V26" s="41" t="b">
        <v>0</v>
      </c>
      <c r="W26" s="47"/>
      <c r="X26" s="47"/>
      <c r="Y26" s="47" t="str">
        <f t="shared" si="169"/>
        <v/>
      </c>
      <c r="Z26" s="60"/>
      <c r="AA26" s="39" t="str">
        <f t="shared" si="170"/>
        <v>---</v>
      </c>
      <c r="AB26" s="46" t="str">
        <f t="shared" si="171"/>
        <v>---</v>
      </c>
      <c r="AC26" s="40" t="str">
        <f>IFERROR(__xludf.DUMMYFUNCTION("IFS((AND(V26=TRUE, W26=""Yes"")), (IFS(ISBLANK(Y26), U26, Y26=""Novice 1"", CEILING((U26*1.05), $H26), Y26=""Novice 2"", CEILING((U26*1.025), $H26), Y26=""Novice 3"", U26+$H26, Y26=""Intermediate 2"", (IF((ISBETWEEN(((((N26-M26)/2))+T26), M26, N26)), U26,"&amp;" U26+$H26)), Y26=""Intermediate 1"", (IF((ISBETWEEN((T26-((N26-M26)/2)), M26, N26)), U26+$H26, (FLOOR((U26*0.9875), $H26)))), Y26=""Advanced 2"", (IF(AND(((S26+((L26-K26)/2))&gt;L26), ((T26+((N26-M26)/2))&gt;N26)), U26+$H26, (U26))), Y26=""Advanced 1"", (IFS(AB"&amp;"26&lt;T26, U26+$H26, AB26=T26, (U26), AB26&gt;T26, (FLOOR((U26*0.9875), $H26)))))), (AND(N26=TRUE, O26=""No"", V26=TRUE, W26=""No"")), (FLOOR((U26*0.9), $H26)), (NOT((AND(V26=TRUE, W26=""Yes"")))), U26)"),"---")</f>
        <v>---</v>
      </c>
      <c r="AD26" s="41" t="b">
        <v>0</v>
      </c>
      <c r="AE26" s="47"/>
      <c r="AF26" s="47"/>
      <c r="AG26" s="47" t="str">
        <f t="shared" si="172"/>
        <v/>
      </c>
      <c r="AH26" s="60"/>
      <c r="AI26" s="48" t="str">
        <f t="shared" si="173"/>
        <v>---</v>
      </c>
      <c r="AJ26" s="49" t="str">
        <f t="shared" si="174"/>
        <v>---</v>
      </c>
      <c r="AK26" s="50" t="str">
        <f>IFERROR(__xludf.DUMMYFUNCTION("IFS((AND(AD26=TRUE, AE26=""Yes"")), (IFS(ISBLANK(AG26), AC26, AG26=""Novice 1"", CEILING((AC26*1.05), $H26), AG26=""Novice 2"", CEILING((AC26*1.025), $H26), AG26=""Novice 3"", AC26+$H26, AG26=""Intermediate 2"", (IF((ISBETWEEN(((((V26-U26)/2))+AB26), U26,"&amp;" V26)), AC26, AC26+$H26)), AG26=""Intermediate 1"", (IF((ISBETWEEN((AB26-((V26-U26)/2)), U26, V26)), AC26+$H26, (FLOOR((AC26*0.9875), $H26)))), AG26=""Advanced 2"", (IF(AND(((AA26+((T26-S26)/2))&gt;T26), ((AB26+((V26-U26)/2))&gt;V26)), AC26+$H26, (AC26))), AG26"&amp;"=""Advanced 1"", (IFS(AJ26&lt;AB26, AC26+$H26, AJ26=AB26, (AC26), AJ26&gt;AB26, (FLOOR((AC26*0.9875), $H26)))))), (AND(V26=TRUE, W26=""No"", AD26=TRUE, AE26=""No"")), (FLOOR((AC26*0.9), $H26)), (NOT((AND(AD26=TRUE, AE26=""Yes"")))), AC26)"),"---")</f>
        <v>---</v>
      </c>
      <c r="AL26" s="51" t="b">
        <v>0</v>
      </c>
      <c r="AM26" s="52"/>
      <c r="AN26" s="52"/>
      <c r="AO26" s="52" t="str">
        <f t="shared" si="175"/>
        <v/>
      </c>
      <c r="AP26" s="69"/>
      <c r="AQ26" s="53" t="str">
        <f t="shared" ref="AQ26:AR26" si="220">IFERROR(AI26/2,AI26)</f>
        <v>---</v>
      </c>
      <c r="AR26" s="53" t="str">
        <f t="shared" si="220"/>
        <v>---</v>
      </c>
      <c r="AS26" s="53" t="str">
        <f t="shared" si="177"/>
        <v>---</v>
      </c>
      <c r="AT26" s="67"/>
      <c r="AU26" s="60"/>
      <c r="AV26" s="39" t="str">
        <f t="shared" si="178"/>
        <v>---</v>
      </c>
      <c r="AW26" s="46" t="str">
        <f t="shared" si="179"/>
        <v>---</v>
      </c>
      <c r="AX26" s="40" t="str">
        <f>IFERROR(__xludf.DUMMYFUNCTION("IFS((AND(AL26=TRUE, AM26=""Yes"")), (IFS(ISBLANK(AO26), AK26, AO26=""Novice 1"", CEILING((AK26*1.05), $H26), AO26=""Novice 2"", CEILING((AK26*1.025), $H26), AO26=""Novice 3"", AK26+$H26, AO26=""Intermediate 2"", (IF((ISBETWEEN(((((AD26-AC26)/2))+AJ26), AC"&amp;"26, AD26)), AK26, AK26+$H26)), AO26=""Intermediate 1"", (IF((ISBETWEEN((AJ26-((AD26-AC26)/2)), AC26, AD26)), AK26+$H26, (FLOOR((AK26*0.9875), $H26)))), AO26=""Advanced 2"", (IF(AND(((AI26+((AB26-AA26)/2))&gt;AB26), ((AJ26+((AD26-AC26)/2))&gt;AD26)), AK26+$H26, "&amp;"(AK26))), AO26=""Advanced 1"", (IFS(AW26&lt;AJ26, AK26+$H26, AW26=AJ26, (AK26), AW26&gt;AJ26, (FLOOR((AK26*0.9875), $H26)))))), (AND(AD26=TRUE, AE26=""No"", AL26=TRUE, AM26=""No"")), (FLOOR((AK26*0.9), $H26)), (NOT((AND(AL26=TRUE, AM26=""Yes"")))), AK26)"),"---")</f>
        <v>---</v>
      </c>
      <c r="AY26" s="41" t="b">
        <v>0</v>
      </c>
      <c r="AZ26" s="47"/>
      <c r="BA26" s="47"/>
      <c r="BB26" s="47" t="str">
        <f t="shared" si="180"/>
        <v/>
      </c>
      <c r="BC26" s="60"/>
      <c r="BD26" s="39" t="str">
        <f t="shared" si="181"/>
        <v>---</v>
      </c>
      <c r="BE26" s="46" t="str">
        <f t="shared" si="182"/>
        <v>---</v>
      </c>
      <c r="BF26" s="40" t="str">
        <f>IFERROR(__xludf.DUMMYFUNCTION("IFS((AND(AY26=TRUE, AZ26=""Yes"")), (IFS(ISBLANK(BB26), AX26, BB26=""Novice 1"", CEILING((AX26*1.05), $H26), BB26=""Novice 2"", CEILING((AX26*1.025), $H26), BB26=""Novice 3"", AX26+$H26, BB26=""Intermediate 2"", (IF((ISBETWEEN(((((AL26-AK26)/2))+AW26), AK"&amp;"26, AL26)), AX26, AX26+$H26)), BB26=""Intermediate 1"", (IF((ISBETWEEN((AW26-((AL26-AK26)/2)), AK26, AL26)), AX26+$H26, (FLOOR((AX26*0.9875), $H26)))), BB26=""Advanced 2"", (IF(AND(((AV26+((AJ26-AI26)/2))&gt;AJ26), ((AW26+((AL26-AK26)/2))&gt;AL26)), AX26+$H26, "&amp;"(AX26))), BB26=""Advanced 1"", (IFS(BE26&lt;AW26, AX26+$H26, BE26=AW26, (AX26), BE26&gt;AW26, (FLOOR((AX26*0.9875), $H26)))))), (AND(AL26=TRUE, AM26=""No"", AY26=TRUE, AZ26=""No"")), (FLOOR((AX26*0.9), $H26)), (NOT((AND(AY26=TRUE, AZ26=""Yes"")))), AX26)"),"---")</f>
        <v>---</v>
      </c>
      <c r="BG26" s="41" t="b">
        <v>0</v>
      </c>
      <c r="BH26" s="47"/>
      <c r="BI26" s="47"/>
      <c r="BJ26" s="47" t="str">
        <f t="shared" si="183"/>
        <v/>
      </c>
      <c r="BK26" s="60"/>
      <c r="BL26" s="39" t="str">
        <f t="shared" si="184"/>
        <v>---</v>
      </c>
      <c r="BM26" s="46" t="str">
        <f t="shared" si="185"/>
        <v>---</v>
      </c>
      <c r="BN26" s="40" t="str">
        <f>IFERROR(__xludf.DUMMYFUNCTION("IFS((AND(BG26=TRUE, BH26=""Yes"")), (IFS(ISBLANK(BJ26), BF26, BJ26=""Novice 1"", CEILING((BF26*1.05), $H26), BJ26=""Novice 2"", CEILING((BF26*1.025), $H26), BJ26=""Novice 3"", BF26+$H26, BJ26=""Intermediate 2"", (IF((ISBETWEEN(((((AY26-AX26)/2))+BE26), AX"&amp;"26, AY26)), BF26, BF26+$H26)), BJ26=""Intermediate 1"", (IF((ISBETWEEN((BE26-((AY26-AX26)/2)), AX26, AY26)), BF26+$H26, (FLOOR((BF26*0.9875), $H26)))), BJ26=""Advanced 2"", (IF(AND(((BD26+((AW26-AV26)/2))&gt;AW26), ((BE26+((AY26-AX26)/2))&gt;AY26)), BF26+$H26, "&amp;"(BF26))), BJ26=""Advanced 1"", (IFS(BM26&lt;BE26, BF26+$H26, BM26=BE26, (BF26), BM26&gt;BE26, (FLOOR((BF26*0.9875), $H26)))))), (AND(AY26=TRUE, AZ26=""No"", BG26=TRUE, BH26=""No"")), (FLOOR((BF26*0.9), $H26)), (NOT((AND(BG26=TRUE, BH26=""Yes"")))), BF26)"),"---")</f>
        <v>---</v>
      </c>
      <c r="BO26" s="41" t="b">
        <v>0</v>
      </c>
      <c r="BP26" s="47"/>
      <c r="BQ26" s="47"/>
      <c r="BR26" s="47" t="str">
        <f t="shared" si="186"/>
        <v/>
      </c>
      <c r="BS26" s="60"/>
      <c r="BT26" s="48" t="str">
        <f t="shared" si="187"/>
        <v>---</v>
      </c>
      <c r="BU26" s="49" t="str">
        <f t="shared" si="188"/>
        <v>---</v>
      </c>
      <c r="BV26" s="50" t="str">
        <f>IFERROR(__xludf.DUMMYFUNCTION("IFS((AND(BO26=TRUE, BP26=""Yes"")), (IFS(ISBLANK(BR26), BN26, BR26=""Novice 1"", CEILING((BN26*1.05), $H26), BR26=""Novice 2"", CEILING((BN26*1.025), $H26), BR26=""Novice 3"", BN26+$H26, BR26=""Intermediate 2"", (IF((ISBETWEEN(((((BG26-BF26)/2))+BM26), BF"&amp;"26, BG26)), BN26, BN26+$H26)), BR26=""Intermediate 1"", (IF((ISBETWEEN((BM26-((BG26-BF26)/2)), BF26, BG26)), BN26+$H26, (FLOOR((BN26*0.9875), $H26)))), BR26=""Advanced 2"", (IF(AND(((BL26+((BE26-BD26)/2))&gt;BE26), ((BM26+((BG26-BF26)/2))&gt;BG26)), BN26+$H26, "&amp;"(BN26))), BR26=""Advanced 1"", (IFS(BU26&lt;BM26, BN26+$H26, BU26=BM26, (BN26), BU26&gt;BM26, (FLOOR((BN26*0.9875), $H26)))))), (AND(BG26=TRUE, BH26=""No"", BO26=TRUE, BP26=""No"")), (FLOOR((BN26*0.9), $H26)), (NOT((AND(BO26=TRUE, BP26=""Yes"")))), BN26)"),"---")</f>
        <v>---</v>
      </c>
      <c r="BW26" s="51" t="b">
        <v>0</v>
      </c>
      <c r="BX26" s="52"/>
      <c r="BY26" s="52"/>
      <c r="BZ26" s="52" t="str">
        <f t="shared" si="189"/>
        <v/>
      </c>
      <c r="CA26" s="69"/>
      <c r="CB26" s="53" t="str">
        <f t="shared" ref="CB26:CC26" si="221">IFERROR(BT26/2,BT26)</f>
        <v>---</v>
      </c>
      <c r="CC26" s="53" t="str">
        <f t="shared" si="221"/>
        <v>---</v>
      </c>
      <c r="CD26" s="53" t="str">
        <f t="shared" si="191"/>
        <v>---</v>
      </c>
      <c r="CE26" s="67"/>
      <c r="CF26" s="60"/>
      <c r="CG26" s="39" t="str">
        <f t="shared" si="192"/>
        <v>---</v>
      </c>
      <c r="CH26" s="46" t="str">
        <f t="shared" si="193"/>
        <v>---</v>
      </c>
      <c r="CI26" s="40" t="str">
        <f>IFERROR(__xludf.DUMMYFUNCTION("IFS((AND(BW26=TRUE, BX26=""Yes"")), (IFS(ISBLANK(BZ26), BV26, BZ26=""Novice 1"", CEILING((BV26*1.05), $H26), BZ26=""Novice 2"", CEILING((BV26*1.025), $H26), BZ26=""Novice 3"", BV26+$H26, BZ26=""Intermediate 2"", (IF((ISBETWEEN(((((BO26-BN26)/2))+BU26), BN"&amp;"26, BO26)), BV26, BV26+$H26)), BZ26=""Intermediate 1"", (IF((ISBETWEEN((BU26-((BO26-BN26)/2)), BN26, BO26)), BV26+$H26, (FLOOR((BV26*0.9875), $H26)))), BZ26=""Advanced 2"", (IF(AND(((BT26+((BM26-BL26)/2))&gt;BM26), ((BU26+((BO26-BN26)/2))&gt;BO26)), BV26+$H26, "&amp;"(BV26))), BZ26=""Advanced 1"", (IFS(CH26&lt;BU26, BV26+$H26, CH26=BU26, (BV26), CH26&gt;BU26, (FLOOR((BV26*0.9875), $H26)))))), (AND(BO26=TRUE, BP26=""No"", BW26=TRUE, BX26=""No"")), (FLOOR((BV26*0.9), $H26)), (NOT((AND(BW26=TRUE, BX26=""Yes"")))), BV26)"),"---")</f>
        <v>---</v>
      </c>
      <c r="CJ26" s="41" t="b">
        <v>0</v>
      </c>
      <c r="CK26" s="47"/>
      <c r="CL26" s="47"/>
      <c r="CM26" s="47" t="str">
        <f t="shared" si="194"/>
        <v/>
      </c>
      <c r="CN26" s="60"/>
      <c r="CO26" s="39" t="str">
        <f t="shared" si="195"/>
        <v>---</v>
      </c>
      <c r="CP26" s="46" t="str">
        <f t="shared" si="196"/>
        <v>---</v>
      </c>
      <c r="CQ26" s="40" t="str">
        <f>IFERROR(__xludf.DUMMYFUNCTION("IFS((AND(CJ26=TRUE, CK26=""Yes"")), (IFS(ISBLANK(CM26), CI26, CM26=""Novice 1"", CEILING((CI26*1.05), $H26), CM26=""Novice 2"", CEILING((CI26*1.025), $H26), CM26=""Novice 3"", CI26+$H26, CM26=""Intermediate 2"", (IF((ISBETWEEN(((((BW26-BV26)/2))+CH26), BV"&amp;"26, BW26)), CI26, CI26+$H26)), CM26=""Intermediate 1"", (IF((ISBETWEEN((CH26-((BW26-BV26)/2)), BV26, BW26)), CI26+$H26, (FLOOR((CI26*0.9875), $H26)))), CM26=""Advanced 2"", (IF(AND(((CG26+((BU26-BT26)/2))&gt;BU26), ((CH26+((BW26-BV26)/2))&gt;BW26)), CI26+$H26, "&amp;"(CI26))), CM26=""Advanced 1"", (IFS(CP26&lt;CH26, CI26+$H26, CP26=CH26, (CI26), CP26&gt;CH26, (FLOOR((CI26*0.9875), $H26)))))), (AND(BW26=TRUE, BX26=""No"", CJ26=TRUE, CK26=""No"")), (FLOOR((CI26*0.9), $H26)), (NOT((AND(CJ26=TRUE, CK26=""Yes"")))), CI26)"),"---")</f>
        <v>---</v>
      </c>
      <c r="CR26" s="41" t="b">
        <v>0</v>
      </c>
      <c r="CS26" s="47"/>
      <c r="CT26" s="47"/>
      <c r="CU26" s="47" t="str">
        <f t="shared" si="197"/>
        <v/>
      </c>
      <c r="CV26" s="60"/>
      <c r="CW26" s="39" t="str">
        <f t="shared" si="198"/>
        <v>---</v>
      </c>
      <c r="CX26" s="46" t="str">
        <f t="shared" si="199"/>
        <v>---</v>
      </c>
      <c r="CY26" s="40" t="str">
        <f>IFERROR(__xludf.DUMMYFUNCTION("IFS((AND(CR26=TRUE, CS26=""Yes"")), (IFS(ISBLANK(CU26), CQ26, CU26=""Novice 1"", CEILING((CQ26*1.05), $H26), CU26=""Novice 2"", CEILING((CQ26*1.025), $H26), CU26=""Novice 3"", CQ26+$H26, CU26=""Intermediate 2"", (IF((ISBETWEEN(((((CJ26-CI26)/2))+CP26), CI"&amp;"26, CJ26)), CQ26, CQ26+$H26)), CU26=""Intermediate 1"", (IF((ISBETWEEN((CP26-((CJ26-CI26)/2)), CI26, CJ26)), CQ26+$H26, (FLOOR((CQ26*0.9875), $H26)))), CU26=""Advanced 2"", (IF(AND(((CO26+((CH26-CG26)/2))&gt;CH26), ((CP26+((CJ26-CI26)/2))&gt;CJ26)), CQ26+$H26, "&amp;"(CQ26))), CU26=""Advanced 1"", (IFS(CX26&lt;CP26, CQ26+$H26, CX26=CP26, (CQ26), CX26&gt;CP26, (FLOOR((CQ26*0.9875), $H26)))))), (AND(CJ26=TRUE, CK26=""No"", CR26=TRUE, CS26=""No"")), (FLOOR((CQ26*0.9), $H26)), (NOT((AND(CR26=TRUE, CS26=""Yes"")))), CQ26)"),"---")</f>
        <v>---</v>
      </c>
      <c r="CZ26" s="41" t="b">
        <v>0</v>
      </c>
      <c r="DA26" s="47"/>
      <c r="DB26" s="47"/>
      <c r="DC26" s="47" t="str">
        <f t="shared" si="200"/>
        <v/>
      </c>
      <c r="DD26" s="60"/>
      <c r="DE26" s="48" t="str">
        <f t="shared" si="201"/>
        <v>---</v>
      </c>
      <c r="DF26" s="49" t="str">
        <f t="shared" si="202"/>
        <v>---</v>
      </c>
      <c r="DG26" s="50" t="str">
        <f>IFERROR(__xludf.DUMMYFUNCTION("IFS((AND(CZ26=TRUE, DA26=""Yes"")), (IFS(ISBLANK(DC26), CY26, DC26=""Novice 1"", CEILING((CY26*1.05), $H26), DC26=""Novice 2"", CEILING((CY26*1.025), $H26), DC26=""Novice 3"", CY26+$H26, DC26=""Intermediate 2"", (IF((ISBETWEEN(((((CR26-CQ26)/2))+CX26), CQ"&amp;"26, CR26)), CY26, CY26+$H26)), DC26=""Intermediate 1"", (IF((ISBETWEEN((CX26-((CR26-CQ26)/2)), CQ26, CR26)), CY26+$H26, (FLOOR((CY26*0.9875), $H26)))), DC26=""Advanced 2"", (IF(AND(((CW26+((CP26-CO26)/2))&gt;CP26), ((CX26+((CR26-CQ26)/2))&gt;CR26)), CY26+$H26, "&amp;"(CY26))), DC26=""Advanced 1"", (IFS(DF26&lt;CX26, CY26+$H26, DF26=CX26, (CY26), DF26&gt;CX26, (FLOOR((CY26*0.9875), $H26)))))), (AND(CR26=TRUE, CS26=""No"", CZ26=TRUE, DA26=""No"")), (FLOOR((CY26*0.9), $H26)), (NOT((AND(CZ26=TRUE, DA26=""Yes"")))), CY26)"),"---")</f>
        <v>---</v>
      </c>
      <c r="DH26" s="51" t="b">
        <v>0</v>
      </c>
      <c r="DI26" s="52"/>
      <c r="DJ26" s="52"/>
      <c r="DK26" s="52" t="str">
        <f t="shared" si="203"/>
        <v/>
      </c>
      <c r="DL26" s="69"/>
      <c r="DM26" s="53" t="str">
        <f t="shared" ref="DM26:DN26" si="222">IFERROR(DE26/2,DE26)</f>
        <v>---</v>
      </c>
      <c r="DN26" s="53" t="str">
        <f t="shared" si="222"/>
        <v>---</v>
      </c>
      <c r="DO26" s="53" t="str">
        <f t="shared" si="205"/>
        <v>---</v>
      </c>
      <c r="DP26" s="67"/>
      <c r="DQ26" s="60"/>
      <c r="DR26" s="39" t="str">
        <f t="shared" si="206"/>
        <v>---</v>
      </c>
      <c r="DS26" s="46" t="str">
        <f t="shared" si="207"/>
        <v>---</v>
      </c>
      <c r="DT26" s="40" t="str">
        <f>IFERROR(__xludf.DUMMYFUNCTION("IFS((AND(DH26=TRUE, DI26=""Yes"")), (IFS(ISBLANK(DK26), DG26, DK26=""Novice 1"", CEILING((DG26*1.05), $H26), DK26=""Novice 2"", CEILING((DG26*1.025), $H26), DK26=""Novice 3"", DG26+$H26, DK26=""Intermediate 2"", (IF((ISBETWEEN(((((CZ26-CY26)/2))+DF26), CY"&amp;"26, CZ26)), DG26, DG26+$H26)), DK26=""Intermediate 1"", (IF((ISBETWEEN((DF26-((CZ26-CY26)/2)), CY26, CZ26)), DG26+$H26, (FLOOR((DG26*0.9875), $H26)))), DK26=""Advanced 2"", (IF(AND(((DE26+((CX26-CW26)/2))&gt;CX26), ((DF26+((CZ26-CY26)/2))&gt;CZ26)), DG26+$H26, "&amp;"(DG26))), DK26=""Advanced 1"", (IFS(DS26&lt;DF26, DG26+$H26, DS26=DF26, (DG26), DS26&gt;DF26, (FLOOR((DG26*0.9875), $H26)))))), (AND(CZ26=TRUE, DA26=""No"", DH26=TRUE, DI26=""No"")), (FLOOR((DG26*0.9), $H26)), (NOT((AND(DH26=TRUE, DI26=""Yes"")))), DG26)"),"---")</f>
        <v>---</v>
      </c>
      <c r="DU26" s="41" t="b">
        <v>0</v>
      </c>
      <c r="DV26" s="47"/>
      <c r="DW26" s="47"/>
      <c r="DX26" s="47" t="str">
        <f t="shared" si="208"/>
        <v/>
      </c>
      <c r="DY26" s="60"/>
      <c r="DZ26" s="39" t="str">
        <f t="shared" si="209"/>
        <v>---</v>
      </c>
      <c r="EA26" s="46" t="str">
        <f t="shared" si="210"/>
        <v>---</v>
      </c>
      <c r="EB26" s="40" t="str">
        <f>IFERROR(__xludf.DUMMYFUNCTION("IFS((AND(DU26=TRUE, DV26=""Yes"")), (IFS(ISBLANK(DX26), DT26, DX26=""Novice 1"", CEILING((DT26*1.05), $H26), DX26=""Novice 2"", CEILING((DT26*1.025), $H26), DX26=""Novice 3"", DT26+$H26, DX26=""Intermediate 2"", (IF((ISBETWEEN(((((DH26-DG26)/2))+DS26), DG"&amp;"26, DH26)), DT26, DT26+$H26)), DX26=""Intermediate 1"", (IF((ISBETWEEN((DS26-((DH26-DG26)/2)), DG26, DH26)), DT26+$H26, (FLOOR((DT26*0.9875), $H26)))), DX26=""Advanced 2"", (IF(AND(((DR26+((DF26-DE26)/2))&gt;DF26), ((DS26+((DH26-DG26)/2))&gt;DH26)), DT26+$H26, "&amp;"(DT26))), DX26=""Advanced 1"", (IFS(EA26&lt;DS26, DT26+$H26, EA26=DS26, (DT26), EA26&gt;DS26, (FLOOR((DT26*0.9875), $H26)))))), (AND(DH26=TRUE, DI26=""No"", DU26=TRUE, DV26=""No"")), (FLOOR((DT26*0.9), $H26)), (NOT((AND(DU26=TRUE, DV26=""Yes"")))), DT26)"),"---")</f>
        <v>---</v>
      </c>
      <c r="EC26" s="41" t="b">
        <v>0</v>
      </c>
      <c r="ED26" s="47"/>
      <c r="EE26" s="47"/>
      <c r="EF26" s="47" t="str">
        <f t="shared" si="211"/>
        <v/>
      </c>
      <c r="EG26" s="60"/>
      <c r="EH26" s="39" t="str">
        <f t="shared" si="212"/>
        <v>---</v>
      </c>
      <c r="EI26" s="46" t="str">
        <f t="shared" si="213"/>
        <v>---</v>
      </c>
      <c r="EJ26" s="40" t="str">
        <f>IFERROR(__xludf.DUMMYFUNCTION("IFS((AND(EC26=TRUE, ED26=""Yes"")), (IFS(ISBLANK(EF26), EB26, EF26=""Novice 1"", CEILING((EB26*1.05), $H26), EF26=""Novice 2"", CEILING((EB26*1.025), $H26), EF26=""Novice 3"", EB26+$H26, EF26=""Intermediate 2"", (IF((ISBETWEEN(((((DU26-DT26)/2))+EA26), DT"&amp;"26, DU26)), EB26, EB26+$H26)), EF26=""Intermediate 1"", (IF((ISBETWEEN((EA26-((DU26-DT26)/2)), DT26, DU26)), EB26+$H26, (FLOOR((EB26*0.9875), $H26)))), EF26=""Advanced 2"", (IF(AND(((DZ26+((DS26-DR26)/2))&gt;DS26), ((EA26+((DU26-DT26)/2))&gt;DU26)), EB26+$H26, "&amp;"(EB26))), EF26=""Advanced 1"", (IFS(EI26&lt;EA26, EB26+$H26, EI26=EA26, (EB26), EI26&gt;EA26, (FLOOR((EB26*0.9875), $H26)))))), (AND(DU26=TRUE, DV26=""No"", EC26=TRUE, ED26=""No"")), (FLOOR((EB26*0.9), $H26)), (NOT((AND(EC26=TRUE, ED26=""Yes"")))), EB26)"),"---")</f>
        <v>---</v>
      </c>
      <c r="EK26" s="41" t="b">
        <v>0</v>
      </c>
      <c r="EL26" s="47"/>
      <c r="EM26" s="47"/>
      <c r="EN26" s="47" t="str">
        <f t="shared" si="214"/>
        <v/>
      </c>
      <c r="EO26" s="60"/>
      <c r="EP26" s="48" t="str">
        <f t="shared" si="215"/>
        <v>---</v>
      </c>
      <c r="EQ26" s="49" t="str">
        <f t="shared" si="216"/>
        <v>---</v>
      </c>
      <c r="ER26" s="50" t="str">
        <f>IFERROR(__xludf.DUMMYFUNCTION("IFS((AND(EK26=TRUE, EL26=""Yes"")), (IFS(ISBLANK(EN26), EJ26, EN26=""Novice 1"", CEILING((EJ26*1.05), $H26), EN26=""Novice 2"", CEILING((EJ26*1.025), $H26), EN26=""Novice 3"", EJ26+$H26, EN26=""Intermediate 2"", (IF((ISBETWEEN(((((EC26-EB26)/2))+EI26), EB"&amp;"26, EC26)), EJ26, EJ26+$H26)), EN26=""Intermediate 1"", (IF((ISBETWEEN((EI26-((EC26-EB26)/2)), EB26, EC26)), EJ26+$H26, (FLOOR((EJ26*0.9875), $H26)))), EN26=""Advanced 2"", (IF(AND(((EH26+((EA26-DZ26)/2))&gt;EA26), ((EI26+((EC26-EB26)/2))&gt;EC26)), EJ26+$H26, "&amp;"(EJ26))), EN26=""Advanced 1"", (IFS(EQ26&lt;EI26, EJ26+$H26, EQ26=EI26, (EJ26), EQ26&gt;EI26, (FLOOR((EJ26*0.9875), $H26)))))), (AND(EC26=TRUE, ED26=""No"", EK26=TRUE, EL26=""No"")), (FLOOR((EJ26*0.9), $H26)), (NOT((AND(EK26=TRUE, EL26=""Yes"")))), EJ26)"),"---")</f>
        <v>---</v>
      </c>
      <c r="ES26" s="51" t="b">
        <v>0</v>
      </c>
      <c r="ET26" s="52"/>
      <c r="EU26" s="52"/>
      <c r="EV26" s="52" t="str">
        <f t="shared" si="217"/>
        <v/>
      </c>
      <c r="EW26" s="69"/>
      <c r="EX26" s="53" t="str">
        <f t="shared" ref="EX26:EY26" si="223">IFERROR(EP26/2,EP26)</f>
        <v>---</v>
      </c>
      <c r="EY26" s="53" t="str">
        <f t="shared" si="223"/>
        <v>---</v>
      </c>
      <c r="EZ26" s="53" t="str">
        <f t="shared" si="219"/>
        <v>---</v>
      </c>
      <c r="FA26" s="67"/>
      <c r="FB26" s="86"/>
      <c r="FC26" s="57"/>
    </row>
    <row r="27" outlineLevel="1">
      <c r="A27" s="32" t="s">
        <v>41</v>
      </c>
      <c r="B27" s="14"/>
      <c r="C27" s="82" t="s">
        <v>53</v>
      </c>
      <c r="D27" s="83" t="s">
        <v>53</v>
      </c>
      <c r="E27" s="82" t="s">
        <v>53</v>
      </c>
      <c r="F27" s="83" t="s">
        <v>53</v>
      </c>
      <c r="G27" s="83" t="s">
        <v>53</v>
      </c>
      <c r="H27" s="84"/>
      <c r="I27" s="85"/>
      <c r="J27" s="70"/>
      <c r="K27" s="39" t="str">
        <f t="shared" si="163"/>
        <v>---</v>
      </c>
      <c r="L27" s="40" t="str">
        <f t="shared" si="164"/>
        <v>---</v>
      </c>
      <c r="M27" s="40" t="str">
        <f t="shared" si="165"/>
        <v>---</v>
      </c>
      <c r="N27" s="41" t="b">
        <v>0</v>
      </c>
      <c r="O27" s="42"/>
      <c r="P27" s="43"/>
      <c r="Q27" s="42" t="str">
        <f t="shared" si="166"/>
        <v/>
      </c>
      <c r="R27" s="71"/>
      <c r="S27" s="39" t="str">
        <f t="shared" si="167"/>
        <v>---</v>
      </c>
      <c r="T27" s="46" t="str">
        <f t="shared" si="168"/>
        <v>---</v>
      </c>
      <c r="U27" s="40" t="str">
        <f>IFERROR(__xludf.DUMMYFUNCTION("IFS((AND(N27=TRUE, O27=""Yes"")), (IFS(ISBLANK(Q27), M27, Q27=""Novice 1"", CEILING((M27*1.05), $H27), Q27=""Novice 2"", CEILING((M27*1.025), $H27), Q27=""Novice 3"", M27+$H27, Q27=""Intermediate 2"", (IF((ISBETWEEN(((((F27-E27)/2))+L27), E27, F27)), M27,"&amp;" M27+$H27)), Q27=""Intermediate 1"", (IF((ISBETWEEN((L27-((F27-E27)/2)), E27, F27)), M27+$H27, (FLOOR((M27*0.9875), $H27)))), Q27=""Advanced 2"", (IF(AND(((K27+((D27-C27)/2))&gt;D27), ((L27+((F27-E27)/2))&gt;F27)), M27+$H27, (M27))), Q27=""Advanced 1"", (IFS(T2"&amp;"7&lt;L27, M27+$H27, T27=L27, (M27), T27&gt;L27, (FLOOR((M27*0.9875), $H27)))))), (AND(F27=TRUE, G27=""No"", N27=TRUE, O27=""No"")), (FLOOR((M27*0.9), $H27)), (NOT((AND(N27=TRUE, O27=""Yes"")))), M27)"),"---")</f>
        <v>---</v>
      </c>
      <c r="V27" s="41" t="b">
        <v>0</v>
      </c>
      <c r="W27" s="47"/>
      <c r="X27" s="47"/>
      <c r="Y27" s="47" t="str">
        <f t="shared" si="169"/>
        <v/>
      </c>
      <c r="Z27" s="71"/>
      <c r="AA27" s="39" t="str">
        <f t="shared" si="170"/>
        <v>---</v>
      </c>
      <c r="AB27" s="46" t="str">
        <f t="shared" si="171"/>
        <v>---</v>
      </c>
      <c r="AC27" s="40" t="str">
        <f>IFERROR(__xludf.DUMMYFUNCTION("IFS((AND(V27=TRUE, W27=""Yes"")), (IFS(ISBLANK(Y27), U27, Y27=""Novice 1"", CEILING((U27*1.05), $H27), Y27=""Novice 2"", CEILING((U27*1.025), $H27), Y27=""Novice 3"", U27+$H27, Y27=""Intermediate 2"", (IF((ISBETWEEN(((((N27-M27)/2))+T27), M27, N27)), U27,"&amp;" U27+$H27)), Y27=""Intermediate 1"", (IF((ISBETWEEN((T27-((N27-M27)/2)), M27, N27)), U27+$H27, (FLOOR((U27*0.9875), $H27)))), Y27=""Advanced 2"", (IF(AND(((S27+((L27-K27)/2))&gt;L27), ((T27+((N27-M27)/2))&gt;N27)), U27+$H27, (U27))), Y27=""Advanced 1"", (IFS(AB"&amp;"27&lt;T27, U27+$H27, AB27=T27, (U27), AB27&gt;T27, (FLOOR((U27*0.9875), $H27)))))), (AND(N27=TRUE, O27=""No"", V27=TRUE, W27=""No"")), (FLOOR((U27*0.9), $H27)), (NOT((AND(V27=TRUE, W27=""Yes"")))), U27)"),"---")</f>
        <v>---</v>
      </c>
      <c r="AD27" s="41" t="b">
        <v>0</v>
      </c>
      <c r="AE27" s="47"/>
      <c r="AF27" s="47"/>
      <c r="AG27" s="47" t="str">
        <f t="shared" si="172"/>
        <v/>
      </c>
      <c r="AH27" s="71"/>
      <c r="AI27" s="61" t="str">
        <f t="shared" si="173"/>
        <v>---</v>
      </c>
      <c r="AJ27" s="62" t="str">
        <f t="shared" si="174"/>
        <v>---</v>
      </c>
      <c r="AK27" s="63" t="str">
        <f>IFERROR(__xludf.DUMMYFUNCTION("IFS((AND(AD27=TRUE, AE27=""Yes"")), (IFS(ISBLANK(AG27), AC27, AG27=""Novice 1"", CEILING((AC27*1.05), $H27), AG27=""Novice 2"", CEILING((AC27*1.025), $H27), AG27=""Novice 3"", AC27+$H27, AG27=""Intermediate 2"", (IF((ISBETWEEN(((((V27-U27)/2))+AB27), U27,"&amp;" V27)), AC27, AC27+$H27)), AG27=""Intermediate 1"", (IF((ISBETWEEN((AB27-((V27-U27)/2)), U27, V27)), AC27+$H27, (FLOOR((AC27*0.9875), $H27)))), AG27=""Advanced 2"", (IF(AND(((AA27+((T27-S27)/2))&gt;T27), ((AB27+((V27-U27)/2))&gt;V27)), AC27+$H27, (AC27))), AG27"&amp;"=""Advanced 1"", (IFS(AJ27&lt;AB27, AC27+$H27, AJ27=AB27, (AC27), AJ27&gt;AB27, (FLOOR((AC27*0.9875), $H27)))))), (AND(V27=TRUE, W27=""No"", AD27=TRUE, AE27=""No"")), (FLOOR((AC27*0.9), $H27)), (NOT((AND(AD27=TRUE, AE27=""Yes"")))), AC27)"),"---")</f>
        <v>---</v>
      </c>
      <c r="AL27" s="64" t="b">
        <v>0</v>
      </c>
      <c r="AM27" s="65"/>
      <c r="AN27" s="65"/>
      <c r="AO27" s="65" t="str">
        <f t="shared" si="175"/>
        <v/>
      </c>
      <c r="AP27" s="72"/>
      <c r="AQ27" s="53" t="str">
        <f t="shared" ref="AQ27:AR27" si="224">IFERROR(AI27/2,AI27)</f>
        <v>---</v>
      </c>
      <c r="AR27" s="53" t="str">
        <f t="shared" si="224"/>
        <v>---</v>
      </c>
      <c r="AS27" s="53" t="str">
        <f t="shared" si="177"/>
        <v>---</v>
      </c>
      <c r="AT27" s="67"/>
      <c r="AU27" s="71"/>
      <c r="AV27" s="39" t="str">
        <f t="shared" si="178"/>
        <v>---</v>
      </c>
      <c r="AW27" s="46" t="str">
        <f t="shared" si="179"/>
        <v>---</v>
      </c>
      <c r="AX27" s="40" t="str">
        <f>IFERROR(__xludf.DUMMYFUNCTION("IFS((AND(AL27=TRUE, AM27=""Yes"")), (IFS(ISBLANK(AO27), AK27, AO27=""Novice 1"", CEILING((AK27*1.05), $H27), AO27=""Novice 2"", CEILING((AK27*1.025), $H27), AO27=""Novice 3"", AK27+$H27, AO27=""Intermediate 2"", (IF((ISBETWEEN(((((AD27-AC27)/2))+AJ27), AC"&amp;"27, AD27)), AK27, AK27+$H27)), AO27=""Intermediate 1"", (IF((ISBETWEEN((AJ27-((AD27-AC27)/2)), AC27, AD27)), AK27+$H27, (FLOOR((AK27*0.9875), $H27)))), AO27=""Advanced 2"", (IF(AND(((AI27+((AB27-AA27)/2))&gt;AB27), ((AJ27+((AD27-AC27)/2))&gt;AD27)), AK27+$H27, "&amp;"(AK27))), AO27=""Advanced 1"", (IFS(AW27&lt;AJ27, AK27+$H27, AW27=AJ27, (AK27), AW27&gt;AJ27, (FLOOR((AK27*0.9875), $H27)))))), (AND(AD27=TRUE, AE27=""No"", AL27=TRUE, AM27=""No"")), (FLOOR((AK27*0.9), $H27)), (NOT((AND(AL27=TRUE, AM27=""Yes"")))), AK27)"),"---")</f>
        <v>---</v>
      </c>
      <c r="AY27" s="41" t="b">
        <v>0</v>
      </c>
      <c r="AZ27" s="47"/>
      <c r="BA27" s="47"/>
      <c r="BB27" s="47" t="str">
        <f t="shared" si="180"/>
        <v/>
      </c>
      <c r="BC27" s="71"/>
      <c r="BD27" s="39" t="str">
        <f t="shared" si="181"/>
        <v>---</v>
      </c>
      <c r="BE27" s="46" t="str">
        <f t="shared" si="182"/>
        <v>---</v>
      </c>
      <c r="BF27" s="40" t="str">
        <f>IFERROR(__xludf.DUMMYFUNCTION("IFS((AND(AY27=TRUE, AZ27=""Yes"")), (IFS(ISBLANK(BB27), AX27, BB27=""Novice 1"", CEILING((AX27*1.05), $H27), BB27=""Novice 2"", CEILING((AX27*1.025), $H27), BB27=""Novice 3"", AX27+$H27, BB27=""Intermediate 2"", (IF((ISBETWEEN(((((AL27-AK27)/2))+AW27), AK"&amp;"27, AL27)), AX27, AX27+$H27)), BB27=""Intermediate 1"", (IF((ISBETWEEN((AW27-((AL27-AK27)/2)), AK27, AL27)), AX27+$H27, (FLOOR((AX27*0.9875), $H27)))), BB27=""Advanced 2"", (IF(AND(((AV27+((AJ27-AI27)/2))&gt;AJ27), ((AW27+((AL27-AK27)/2))&gt;AL27)), AX27+$H27, "&amp;"(AX27))), BB27=""Advanced 1"", (IFS(BE27&lt;AW27, AX27+$H27, BE27=AW27, (AX27), BE27&gt;AW27, (FLOOR((AX27*0.9875), $H27)))))), (AND(AL27=TRUE, AM27=""No"", AY27=TRUE, AZ27=""No"")), (FLOOR((AX27*0.9), $H27)), (NOT((AND(AY27=TRUE, AZ27=""Yes"")))), AX27)"),"---")</f>
        <v>---</v>
      </c>
      <c r="BG27" s="41" t="b">
        <v>0</v>
      </c>
      <c r="BH27" s="47"/>
      <c r="BI27" s="47"/>
      <c r="BJ27" s="47" t="str">
        <f t="shared" si="183"/>
        <v/>
      </c>
      <c r="BK27" s="71"/>
      <c r="BL27" s="39" t="str">
        <f t="shared" si="184"/>
        <v>---</v>
      </c>
      <c r="BM27" s="46" t="str">
        <f t="shared" si="185"/>
        <v>---</v>
      </c>
      <c r="BN27" s="40" t="str">
        <f>IFERROR(__xludf.DUMMYFUNCTION("IFS((AND(BG27=TRUE, BH27=""Yes"")), (IFS(ISBLANK(BJ27), BF27, BJ27=""Novice 1"", CEILING((BF27*1.05), $H27), BJ27=""Novice 2"", CEILING((BF27*1.025), $H27), BJ27=""Novice 3"", BF27+$H27, BJ27=""Intermediate 2"", (IF((ISBETWEEN(((((AY27-AX27)/2))+BE27), AX"&amp;"27, AY27)), BF27, BF27+$H27)), BJ27=""Intermediate 1"", (IF((ISBETWEEN((BE27-((AY27-AX27)/2)), AX27, AY27)), BF27+$H27, (FLOOR((BF27*0.9875), $H27)))), BJ27=""Advanced 2"", (IF(AND(((BD27+((AW27-AV27)/2))&gt;AW27), ((BE27+((AY27-AX27)/2))&gt;AY27)), BF27+$H27, "&amp;"(BF27))), BJ27=""Advanced 1"", (IFS(BM27&lt;BE27, BF27+$H27, BM27=BE27, (BF27), BM27&gt;BE27, (FLOOR((BF27*0.9875), $H27)))))), (AND(AY27=TRUE, AZ27=""No"", BG27=TRUE, BH27=""No"")), (FLOOR((BF27*0.9), $H27)), (NOT((AND(BG27=TRUE, BH27=""Yes"")))), BF27)"),"---")</f>
        <v>---</v>
      </c>
      <c r="BO27" s="41" t="b">
        <v>0</v>
      </c>
      <c r="BP27" s="47"/>
      <c r="BQ27" s="47"/>
      <c r="BR27" s="47" t="str">
        <f t="shared" si="186"/>
        <v/>
      </c>
      <c r="BS27" s="71"/>
      <c r="BT27" s="61" t="str">
        <f t="shared" si="187"/>
        <v>---</v>
      </c>
      <c r="BU27" s="62" t="str">
        <f t="shared" si="188"/>
        <v>---</v>
      </c>
      <c r="BV27" s="63" t="str">
        <f>IFERROR(__xludf.DUMMYFUNCTION("IFS((AND(BO27=TRUE, BP27=""Yes"")), (IFS(ISBLANK(BR27), BN27, BR27=""Novice 1"", CEILING((BN27*1.05), $H27), BR27=""Novice 2"", CEILING((BN27*1.025), $H27), BR27=""Novice 3"", BN27+$H27, BR27=""Intermediate 2"", (IF((ISBETWEEN(((((BG27-BF27)/2))+BM27), BF"&amp;"27, BG27)), BN27, BN27+$H27)), BR27=""Intermediate 1"", (IF((ISBETWEEN((BM27-((BG27-BF27)/2)), BF27, BG27)), BN27+$H27, (FLOOR((BN27*0.9875), $H27)))), BR27=""Advanced 2"", (IF(AND(((BL27+((BE27-BD27)/2))&gt;BE27), ((BM27+((BG27-BF27)/2))&gt;BG27)), BN27+$H27, "&amp;"(BN27))), BR27=""Advanced 1"", (IFS(BU27&lt;BM27, BN27+$H27, BU27=BM27, (BN27), BU27&gt;BM27, (FLOOR((BN27*0.9875), $H27)))))), (AND(BG27=TRUE, BH27=""No"", BO27=TRUE, BP27=""No"")), (FLOOR((BN27*0.9), $H27)), (NOT((AND(BO27=TRUE, BP27=""Yes"")))), BN27)"),"---")</f>
        <v>---</v>
      </c>
      <c r="BW27" s="64" t="b">
        <v>0</v>
      </c>
      <c r="BX27" s="65"/>
      <c r="BY27" s="65"/>
      <c r="BZ27" s="65" t="str">
        <f t="shared" si="189"/>
        <v/>
      </c>
      <c r="CA27" s="72"/>
      <c r="CB27" s="53" t="str">
        <f t="shared" ref="CB27:CC27" si="225">IFERROR(BT27/2,BT27)</f>
        <v>---</v>
      </c>
      <c r="CC27" s="53" t="str">
        <f t="shared" si="225"/>
        <v>---</v>
      </c>
      <c r="CD27" s="53" t="str">
        <f t="shared" si="191"/>
        <v>---</v>
      </c>
      <c r="CE27" s="67"/>
      <c r="CF27" s="71"/>
      <c r="CG27" s="39" t="str">
        <f t="shared" si="192"/>
        <v>---</v>
      </c>
      <c r="CH27" s="46" t="str">
        <f t="shared" si="193"/>
        <v>---</v>
      </c>
      <c r="CI27" s="40" t="str">
        <f>IFERROR(__xludf.DUMMYFUNCTION("IFS((AND(BW27=TRUE, BX27=""Yes"")), (IFS(ISBLANK(BZ27), BV27, BZ27=""Novice 1"", CEILING((BV27*1.05), $H27), BZ27=""Novice 2"", CEILING((BV27*1.025), $H27), BZ27=""Novice 3"", BV27+$H27, BZ27=""Intermediate 2"", (IF((ISBETWEEN(((((BO27-BN27)/2))+BU27), BN"&amp;"27, BO27)), BV27, BV27+$H27)), BZ27=""Intermediate 1"", (IF((ISBETWEEN((BU27-((BO27-BN27)/2)), BN27, BO27)), BV27+$H27, (FLOOR((BV27*0.9875), $H27)))), BZ27=""Advanced 2"", (IF(AND(((BT27+((BM27-BL27)/2))&gt;BM27), ((BU27+((BO27-BN27)/2))&gt;BO27)), BV27+$H27, "&amp;"(BV27))), BZ27=""Advanced 1"", (IFS(CH27&lt;BU27, BV27+$H27, CH27=BU27, (BV27), CH27&gt;BU27, (FLOOR((BV27*0.9875), $H27)))))), (AND(BO27=TRUE, BP27=""No"", BW27=TRUE, BX27=""No"")), (FLOOR((BV27*0.9), $H27)), (NOT((AND(BW27=TRUE, BX27=""Yes"")))), BV27)"),"---")</f>
        <v>---</v>
      </c>
      <c r="CJ27" s="41" t="b">
        <v>0</v>
      </c>
      <c r="CK27" s="47"/>
      <c r="CL27" s="47"/>
      <c r="CM27" s="47" t="str">
        <f t="shared" si="194"/>
        <v/>
      </c>
      <c r="CN27" s="71"/>
      <c r="CO27" s="39" t="str">
        <f t="shared" si="195"/>
        <v>---</v>
      </c>
      <c r="CP27" s="46" t="str">
        <f t="shared" si="196"/>
        <v>---</v>
      </c>
      <c r="CQ27" s="40" t="str">
        <f>IFERROR(__xludf.DUMMYFUNCTION("IFS((AND(CJ27=TRUE, CK27=""Yes"")), (IFS(ISBLANK(CM27), CI27, CM27=""Novice 1"", CEILING((CI27*1.05), $H27), CM27=""Novice 2"", CEILING((CI27*1.025), $H27), CM27=""Novice 3"", CI27+$H27, CM27=""Intermediate 2"", (IF((ISBETWEEN(((((BW27-BV27)/2))+CH27), BV"&amp;"27, BW27)), CI27, CI27+$H27)), CM27=""Intermediate 1"", (IF((ISBETWEEN((CH27-((BW27-BV27)/2)), BV27, BW27)), CI27+$H27, (FLOOR((CI27*0.9875), $H27)))), CM27=""Advanced 2"", (IF(AND(((CG27+((BU27-BT27)/2))&gt;BU27), ((CH27+((BW27-BV27)/2))&gt;BW27)), CI27+$H27, "&amp;"(CI27))), CM27=""Advanced 1"", (IFS(CP27&lt;CH27, CI27+$H27, CP27=CH27, (CI27), CP27&gt;CH27, (FLOOR((CI27*0.9875), $H27)))))), (AND(BW27=TRUE, BX27=""No"", CJ27=TRUE, CK27=""No"")), (FLOOR((CI27*0.9), $H27)), (NOT((AND(CJ27=TRUE, CK27=""Yes"")))), CI27)"),"---")</f>
        <v>---</v>
      </c>
      <c r="CR27" s="41" t="b">
        <v>0</v>
      </c>
      <c r="CS27" s="47"/>
      <c r="CT27" s="47"/>
      <c r="CU27" s="47" t="str">
        <f t="shared" si="197"/>
        <v/>
      </c>
      <c r="CV27" s="71"/>
      <c r="CW27" s="39" t="str">
        <f t="shared" si="198"/>
        <v>---</v>
      </c>
      <c r="CX27" s="46" t="str">
        <f t="shared" si="199"/>
        <v>---</v>
      </c>
      <c r="CY27" s="40" t="str">
        <f>IFERROR(__xludf.DUMMYFUNCTION("IFS((AND(CR27=TRUE, CS27=""Yes"")), (IFS(ISBLANK(CU27), CQ27, CU27=""Novice 1"", CEILING((CQ27*1.05), $H27), CU27=""Novice 2"", CEILING((CQ27*1.025), $H27), CU27=""Novice 3"", CQ27+$H27, CU27=""Intermediate 2"", (IF((ISBETWEEN(((((CJ27-CI27)/2))+CP27), CI"&amp;"27, CJ27)), CQ27, CQ27+$H27)), CU27=""Intermediate 1"", (IF((ISBETWEEN((CP27-((CJ27-CI27)/2)), CI27, CJ27)), CQ27+$H27, (FLOOR((CQ27*0.9875), $H27)))), CU27=""Advanced 2"", (IF(AND(((CO27+((CH27-CG27)/2))&gt;CH27), ((CP27+((CJ27-CI27)/2))&gt;CJ27)), CQ27+$H27, "&amp;"(CQ27))), CU27=""Advanced 1"", (IFS(CX27&lt;CP27, CQ27+$H27, CX27=CP27, (CQ27), CX27&gt;CP27, (FLOOR((CQ27*0.9875), $H27)))))), (AND(CJ27=TRUE, CK27=""No"", CR27=TRUE, CS27=""No"")), (FLOOR((CQ27*0.9), $H27)), (NOT((AND(CR27=TRUE, CS27=""Yes"")))), CQ27)"),"---")</f>
        <v>---</v>
      </c>
      <c r="CZ27" s="41" t="b">
        <v>0</v>
      </c>
      <c r="DA27" s="47"/>
      <c r="DB27" s="47"/>
      <c r="DC27" s="47" t="str">
        <f t="shared" si="200"/>
        <v/>
      </c>
      <c r="DD27" s="71"/>
      <c r="DE27" s="61" t="str">
        <f t="shared" si="201"/>
        <v>---</v>
      </c>
      <c r="DF27" s="62" t="str">
        <f t="shared" si="202"/>
        <v>---</v>
      </c>
      <c r="DG27" s="63" t="str">
        <f>IFERROR(__xludf.DUMMYFUNCTION("IFS((AND(CZ27=TRUE, DA27=""Yes"")), (IFS(ISBLANK(DC27), CY27, DC27=""Novice 1"", CEILING((CY27*1.05), $H27), DC27=""Novice 2"", CEILING((CY27*1.025), $H27), DC27=""Novice 3"", CY27+$H27, DC27=""Intermediate 2"", (IF((ISBETWEEN(((((CR27-CQ27)/2))+CX27), CQ"&amp;"27, CR27)), CY27, CY27+$H27)), DC27=""Intermediate 1"", (IF((ISBETWEEN((CX27-((CR27-CQ27)/2)), CQ27, CR27)), CY27+$H27, (FLOOR((CY27*0.9875), $H27)))), DC27=""Advanced 2"", (IF(AND(((CW27+((CP27-CO27)/2))&gt;CP27), ((CX27+((CR27-CQ27)/2))&gt;CR27)), CY27+$H27, "&amp;"(CY27))), DC27=""Advanced 1"", (IFS(DF27&lt;CX27, CY27+$H27, DF27=CX27, (CY27), DF27&gt;CX27, (FLOOR((CY27*0.9875), $H27)))))), (AND(CR27=TRUE, CS27=""No"", CZ27=TRUE, DA27=""No"")), (FLOOR((CY27*0.9), $H27)), (NOT((AND(CZ27=TRUE, DA27=""Yes"")))), CY27)"),"---")</f>
        <v>---</v>
      </c>
      <c r="DH27" s="64" t="b">
        <v>0</v>
      </c>
      <c r="DI27" s="65"/>
      <c r="DJ27" s="65"/>
      <c r="DK27" s="65" t="str">
        <f t="shared" si="203"/>
        <v/>
      </c>
      <c r="DL27" s="72"/>
      <c r="DM27" s="53" t="str">
        <f t="shared" ref="DM27:DN27" si="226">IFERROR(DE27/2,DE27)</f>
        <v>---</v>
      </c>
      <c r="DN27" s="53" t="str">
        <f t="shared" si="226"/>
        <v>---</v>
      </c>
      <c r="DO27" s="53" t="str">
        <f t="shared" si="205"/>
        <v>---</v>
      </c>
      <c r="DP27" s="67"/>
      <c r="DQ27" s="71"/>
      <c r="DR27" s="39" t="str">
        <f t="shared" si="206"/>
        <v>---</v>
      </c>
      <c r="DS27" s="46" t="str">
        <f t="shared" si="207"/>
        <v>---</v>
      </c>
      <c r="DT27" s="40" t="str">
        <f>IFERROR(__xludf.DUMMYFUNCTION("IFS((AND(DH27=TRUE, DI27=""Yes"")), (IFS(ISBLANK(DK27), DG27, DK27=""Novice 1"", CEILING((DG27*1.05), $H27), DK27=""Novice 2"", CEILING((DG27*1.025), $H27), DK27=""Novice 3"", DG27+$H27, DK27=""Intermediate 2"", (IF((ISBETWEEN(((((CZ27-CY27)/2))+DF27), CY"&amp;"27, CZ27)), DG27, DG27+$H27)), DK27=""Intermediate 1"", (IF((ISBETWEEN((DF27-((CZ27-CY27)/2)), CY27, CZ27)), DG27+$H27, (FLOOR((DG27*0.9875), $H27)))), DK27=""Advanced 2"", (IF(AND(((DE27+((CX27-CW27)/2))&gt;CX27), ((DF27+((CZ27-CY27)/2))&gt;CZ27)), DG27+$H27, "&amp;"(DG27))), DK27=""Advanced 1"", (IFS(DS27&lt;DF27, DG27+$H27, DS27=DF27, (DG27), DS27&gt;DF27, (FLOOR((DG27*0.9875), $H27)))))), (AND(CZ27=TRUE, DA27=""No"", DH27=TRUE, DI27=""No"")), (FLOOR((DG27*0.9), $H27)), (NOT((AND(DH27=TRUE, DI27=""Yes"")))), DG27)"),"---")</f>
        <v>---</v>
      </c>
      <c r="DU27" s="41" t="b">
        <v>0</v>
      </c>
      <c r="DV27" s="47"/>
      <c r="DW27" s="47"/>
      <c r="DX27" s="47" t="str">
        <f t="shared" si="208"/>
        <v/>
      </c>
      <c r="DY27" s="71"/>
      <c r="DZ27" s="39" t="str">
        <f t="shared" si="209"/>
        <v>---</v>
      </c>
      <c r="EA27" s="46" t="str">
        <f t="shared" si="210"/>
        <v>---</v>
      </c>
      <c r="EB27" s="40" t="str">
        <f>IFERROR(__xludf.DUMMYFUNCTION("IFS((AND(DU27=TRUE, DV27=""Yes"")), (IFS(ISBLANK(DX27), DT27, DX27=""Novice 1"", CEILING((DT27*1.05), $H27), DX27=""Novice 2"", CEILING((DT27*1.025), $H27), DX27=""Novice 3"", DT27+$H27, DX27=""Intermediate 2"", (IF((ISBETWEEN(((((DH27-DG27)/2))+DS27), DG"&amp;"27, DH27)), DT27, DT27+$H27)), DX27=""Intermediate 1"", (IF((ISBETWEEN((DS27-((DH27-DG27)/2)), DG27, DH27)), DT27+$H27, (FLOOR((DT27*0.9875), $H27)))), DX27=""Advanced 2"", (IF(AND(((DR27+((DF27-DE27)/2))&gt;DF27), ((DS27+((DH27-DG27)/2))&gt;DH27)), DT27+$H27, "&amp;"(DT27))), DX27=""Advanced 1"", (IFS(EA27&lt;DS27, DT27+$H27, EA27=DS27, (DT27), EA27&gt;DS27, (FLOOR((DT27*0.9875), $H27)))))), (AND(DH27=TRUE, DI27=""No"", DU27=TRUE, DV27=""No"")), (FLOOR((DT27*0.9), $H27)), (NOT((AND(DU27=TRUE, DV27=""Yes"")))), DT27)"),"---")</f>
        <v>---</v>
      </c>
      <c r="EC27" s="41" t="b">
        <v>0</v>
      </c>
      <c r="ED27" s="47"/>
      <c r="EE27" s="47"/>
      <c r="EF27" s="47" t="str">
        <f t="shared" si="211"/>
        <v/>
      </c>
      <c r="EG27" s="71"/>
      <c r="EH27" s="39" t="str">
        <f t="shared" si="212"/>
        <v>---</v>
      </c>
      <c r="EI27" s="46" t="str">
        <f t="shared" si="213"/>
        <v>---</v>
      </c>
      <c r="EJ27" s="40" t="str">
        <f>IFERROR(__xludf.DUMMYFUNCTION("IFS((AND(EC27=TRUE, ED27=""Yes"")), (IFS(ISBLANK(EF27), EB27, EF27=""Novice 1"", CEILING((EB27*1.05), $H27), EF27=""Novice 2"", CEILING((EB27*1.025), $H27), EF27=""Novice 3"", EB27+$H27, EF27=""Intermediate 2"", (IF((ISBETWEEN(((((DU27-DT27)/2))+EA27), DT"&amp;"27, DU27)), EB27, EB27+$H27)), EF27=""Intermediate 1"", (IF((ISBETWEEN((EA27-((DU27-DT27)/2)), DT27, DU27)), EB27+$H27, (FLOOR((EB27*0.9875), $H27)))), EF27=""Advanced 2"", (IF(AND(((DZ27+((DS27-DR27)/2))&gt;DS27), ((EA27+((DU27-DT27)/2))&gt;DU27)), EB27+$H27, "&amp;"(EB27))), EF27=""Advanced 1"", (IFS(EI27&lt;EA27, EB27+$H27, EI27=EA27, (EB27), EI27&gt;EA27, (FLOOR((EB27*0.9875), $H27)))))), (AND(DU27=TRUE, DV27=""No"", EC27=TRUE, ED27=""No"")), (FLOOR((EB27*0.9), $H27)), (NOT((AND(EC27=TRUE, ED27=""Yes"")))), EB27)"),"---")</f>
        <v>---</v>
      </c>
      <c r="EK27" s="41" t="b">
        <v>0</v>
      </c>
      <c r="EL27" s="47"/>
      <c r="EM27" s="47"/>
      <c r="EN27" s="47" t="str">
        <f t="shared" si="214"/>
        <v/>
      </c>
      <c r="EO27" s="71"/>
      <c r="EP27" s="61" t="str">
        <f t="shared" si="215"/>
        <v>---</v>
      </c>
      <c r="EQ27" s="62" t="str">
        <f t="shared" si="216"/>
        <v>---</v>
      </c>
      <c r="ER27" s="63" t="str">
        <f>IFERROR(__xludf.DUMMYFUNCTION("IFS((AND(EK27=TRUE, EL27=""Yes"")), (IFS(ISBLANK(EN27), EJ27, EN27=""Novice 1"", CEILING((EJ27*1.05), $H27), EN27=""Novice 2"", CEILING((EJ27*1.025), $H27), EN27=""Novice 3"", EJ27+$H27, EN27=""Intermediate 2"", (IF((ISBETWEEN(((((EC27-EB27)/2))+EI27), EB"&amp;"27, EC27)), EJ27, EJ27+$H27)), EN27=""Intermediate 1"", (IF((ISBETWEEN((EI27-((EC27-EB27)/2)), EB27, EC27)), EJ27+$H27, (FLOOR((EJ27*0.9875), $H27)))), EN27=""Advanced 2"", (IF(AND(((EH27+((EA27-DZ27)/2))&gt;EA27), ((EI27+((EC27-EB27)/2))&gt;EC27)), EJ27+$H27, "&amp;"(EJ27))), EN27=""Advanced 1"", (IFS(EQ27&lt;EI27, EJ27+$H27, EQ27=EI27, (EJ27), EQ27&gt;EI27, (FLOOR((EJ27*0.9875), $H27)))))), (AND(EC27=TRUE, ED27=""No"", EK27=TRUE, EL27=""No"")), (FLOOR((EJ27*0.9), $H27)), (NOT((AND(EK27=TRUE, EL27=""Yes"")))), EJ27)"),"---")</f>
        <v>---</v>
      </c>
      <c r="ES27" s="64" t="b">
        <v>0</v>
      </c>
      <c r="ET27" s="65"/>
      <c r="EU27" s="65"/>
      <c r="EV27" s="65" t="str">
        <f t="shared" si="217"/>
        <v/>
      </c>
      <c r="EW27" s="72"/>
      <c r="EX27" s="53" t="str">
        <f t="shared" ref="EX27:EY27" si="227">IFERROR(EP27/2,EP27)</f>
        <v>---</v>
      </c>
      <c r="EY27" s="53" t="str">
        <f t="shared" si="227"/>
        <v>---</v>
      </c>
      <c r="EZ27" s="53" t="str">
        <f t="shared" si="219"/>
        <v>---</v>
      </c>
      <c r="FA27" s="67"/>
      <c r="FB27" s="86"/>
      <c r="FC27" s="57"/>
    </row>
    <row r="28">
      <c r="A28" s="23" t="s">
        <v>55</v>
      </c>
      <c r="B28" s="89"/>
      <c r="C28" s="79"/>
      <c r="D28" s="79"/>
      <c r="E28" s="79"/>
      <c r="F28" s="79"/>
      <c r="G28" s="79"/>
      <c r="H28" s="79"/>
      <c r="I28" s="79"/>
      <c r="J28" s="90"/>
      <c r="K28" s="91"/>
      <c r="L28" s="91"/>
      <c r="M28" s="91"/>
      <c r="N28" s="91"/>
      <c r="O28" s="92"/>
      <c r="P28" s="92"/>
      <c r="Q28" s="92"/>
      <c r="R28" s="90"/>
      <c r="S28" s="93"/>
      <c r="T28" s="93"/>
      <c r="U28" s="93"/>
      <c r="V28" s="93"/>
      <c r="W28" s="93"/>
      <c r="X28" s="93"/>
      <c r="Y28" s="93"/>
      <c r="Z28" s="90"/>
      <c r="AA28" s="93"/>
      <c r="AB28" s="93"/>
      <c r="AC28" s="93"/>
      <c r="AD28" s="93"/>
      <c r="AE28" s="93"/>
      <c r="AF28" s="93"/>
      <c r="AG28" s="93"/>
      <c r="AH28" s="90"/>
      <c r="AI28" s="93"/>
      <c r="AJ28" s="93"/>
      <c r="AK28" s="93"/>
      <c r="AL28" s="93"/>
      <c r="AM28" s="93"/>
      <c r="AN28" s="93"/>
      <c r="AO28" s="93"/>
      <c r="AP28" s="90"/>
      <c r="AQ28" s="94"/>
      <c r="AR28" s="94"/>
      <c r="AS28" s="94"/>
      <c r="AT28" s="94"/>
      <c r="AU28" s="90"/>
      <c r="AV28" s="93"/>
      <c r="AW28" s="93"/>
      <c r="AX28" s="93"/>
      <c r="AY28" s="93"/>
      <c r="AZ28" s="93"/>
      <c r="BA28" s="93"/>
      <c r="BB28" s="93"/>
      <c r="BC28" s="90"/>
      <c r="BD28" s="93"/>
      <c r="BE28" s="93"/>
      <c r="BF28" s="93"/>
      <c r="BG28" s="93"/>
      <c r="BH28" s="93"/>
      <c r="BI28" s="93"/>
      <c r="BJ28" s="93"/>
      <c r="BK28" s="90"/>
      <c r="BL28" s="93"/>
      <c r="BM28" s="93"/>
      <c r="BN28" s="93"/>
      <c r="BO28" s="93"/>
      <c r="BP28" s="93"/>
      <c r="BQ28" s="93"/>
      <c r="BR28" s="93"/>
      <c r="BS28" s="90"/>
      <c r="BT28" s="93"/>
      <c r="BU28" s="93"/>
      <c r="BV28" s="93"/>
      <c r="BW28" s="93"/>
      <c r="BX28" s="93"/>
      <c r="BY28" s="93"/>
      <c r="BZ28" s="93"/>
      <c r="CA28" s="90"/>
      <c r="CB28" s="94"/>
      <c r="CC28" s="94"/>
      <c r="CD28" s="94"/>
      <c r="CE28" s="94"/>
      <c r="CF28" s="90"/>
      <c r="CG28" s="93"/>
      <c r="CH28" s="93"/>
      <c r="CI28" s="93"/>
      <c r="CJ28" s="93"/>
      <c r="CK28" s="93"/>
      <c r="CL28" s="93"/>
      <c r="CM28" s="93"/>
      <c r="CN28" s="90"/>
      <c r="CO28" s="93"/>
      <c r="CP28" s="93"/>
      <c r="CQ28" s="93"/>
      <c r="CR28" s="93"/>
      <c r="CS28" s="93"/>
      <c r="CT28" s="93"/>
      <c r="CU28" s="93"/>
      <c r="CV28" s="90"/>
      <c r="CW28" s="93"/>
      <c r="CX28" s="93"/>
      <c r="CY28" s="93"/>
      <c r="CZ28" s="93"/>
      <c r="DA28" s="93"/>
      <c r="DB28" s="93"/>
      <c r="DC28" s="93"/>
      <c r="DD28" s="90"/>
      <c r="DE28" s="93"/>
      <c r="DF28" s="93"/>
      <c r="DG28" s="93"/>
      <c r="DH28" s="93"/>
      <c r="DI28" s="93"/>
      <c r="DJ28" s="93"/>
      <c r="DK28" s="93"/>
      <c r="DL28" s="90"/>
      <c r="DM28" s="94"/>
      <c r="DN28" s="94"/>
      <c r="DO28" s="94"/>
      <c r="DP28" s="94"/>
      <c r="DQ28" s="90"/>
      <c r="DR28" s="93"/>
      <c r="DS28" s="93"/>
      <c r="DT28" s="93"/>
      <c r="DU28" s="93"/>
      <c r="DV28" s="93"/>
      <c r="DW28" s="93"/>
      <c r="DX28" s="93"/>
      <c r="DY28" s="90"/>
      <c r="DZ28" s="93"/>
      <c r="EA28" s="93"/>
      <c r="EB28" s="93"/>
      <c r="EC28" s="93"/>
      <c r="ED28" s="93"/>
      <c r="EE28" s="93"/>
      <c r="EF28" s="93"/>
      <c r="EG28" s="90"/>
      <c r="EH28" s="93"/>
      <c r="EI28" s="93"/>
      <c r="EJ28" s="93"/>
      <c r="EK28" s="93"/>
      <c r="EL28" s="93"/>
      <c r="EM28" s="93"/>
      <c r="EN28" s="93"/>
      <c r="EO28" s="90"/>
      <c r="EP28" s="93"/>
      <c r="EQ28" s="93"/>
      <c r="ER28" s="93"/>
      <c r="ES28" s="93"/>
      <c r="ET28" s="93"/>
      <c r="EU28" s="93"/>
      <c r="EV28" s="93"/>
      <c r="EW28" s="90"/>
      <c r="EX28" s="94"/>
      <c r="EY28" s="94"/>
      <c r="EZ28" s="94"/>
      <c r="FA28" s="94"/>
      <c r="FB28" s="86"/>
      <c r="FC28" s="31"/>
    </row>
    <row r="29" outlineLevel="1">
      <c r="A29" s="81" t="s">
        <v>56</v>
      </c>
      <c r="B29" s="33" t="s">
        <v>1</v>
      </c>
      <c r="C29" s="82" t="s">
        <v>53</v>
      </c>
      <c r="D29" s="83" t="s">
        <v>53</v>
      </c>
      <c r="E29" s="82" t="s">
        <v>53</v>
      </c>
      <c r="F29" s="83" t="s">
        <v>53</v>
      </c>
      <c r="G29" s="83" t="s">
        <v>53</v>
      </c>
      <c r="H29" s="84"/>
      <c r="I29" s="85"/>
      <c r="J29" s="38" t="s">
        <v>2</v>
      </c>
      <c r="K29" s="39" t="str">
        <f t="shared" ref="K29:K35" si="232">ifs(ISBLANK(I29), C29, I29="Novice 1", C29, I29="Novice 2", C29, I29="Novice 3", C29, I29="Intermediate 2", C29, I29="Intermediate 1", C29, I29="Advanced 2", C29, I29="Advanced 1", C29)</f>
        <v>---</v>
      </c>
      <c r="L29" s="40" t="str">
        <f t="shared" ref="L29:L35" si="233">ifs(ISBLANK(I29), E29, I29="Novice 1", E29, I29="Novice 2", E29, I29="Novice 3", E29, I29="Intermediate 2", E29, I29="Intermediate 1", F29, I29="Advanced 2", E29, I29="Advanced 1", F29)</f>
        <v>---</v>
      </c>
      <c r="M29" s="40" t="str">
        <f t="shared" ref="M29:M35" si="234">G29</f>
        <v>---</v>
      </c>
      <c r="N29" s="41" t="b">
        <v>0</v>
      </c>
      <c r="O29" s="42"/>
      <c r="P29" s="43"/>
      <c r="Q29" s="42" t="str">
        <f t="shared" ref="Q29:Q34" si="235">I29</f>
        <v/>
      </c>
      <c r="R29" s="45" t="s">
        <v>3</v>
      </c>
      <c r="S29" s="39" t="str">
        <f t="shared" ref="S29:S34" si="236">IFS((AND(N29=TRUE, O29="Yes")), (ifs(ISBLANK(Q29), K29, Q29="Novice 1", K29, Q29="Novice 2", K29, Q29="Novice 3", K29, Q29="Intermediate 2", K29, Q29="Intermediate 1", K29, Q29="Advanced 2", (IF((K29+(($D29-$C29)/2))&gt;$D29, $C29, (K29+(($D29-$C29)/2)))), Q29="Advanced 1", (IF((K29+(($D29-$C29)/2))&gt;$D29, $C29, (K29+(($D29-$C29)/2)))))), (NOT((AND(N29=TRUE, O29="Yes")))), K29)</f>
        <v>---</v>
      </c>
      <c r="T29" s="46" t="str">
        <f t="shared" ref="T29:T34" si="237">IFS((AND(N29=TRUE, O29="Yes")), (IFS(ISBLANK(Q29), L29, Q29="Novice 1", L29, Q29="Novice 2", L29, Q29="Novice 3", L29, Q29="Intermediate 2", (IF((L29+(($F29-$E29)/2))&gt;$F29, $E29, (L29+(($F29-$E29)/2)))), Q29="Intermediate 1", (IF((L29-(($F29-$E29)/2))&lt;$E29, $F29, (L29-(($F29-$E29)/2)))), Q29="Advanced 2", (IF((((($D29-$C29)/2))+K29)&gt;$D29, (IF((L29+(($F29-$E29)/2))&gt;$F29, $E29, (L29+(($F29-$E29)/2)))), L29)), Q29="Advanced 1", (IF((((($D29-$C29)/2))+K29)&gt;$D29, (IF((L29-(($F29-$E29)/2))&lt;$E29, $F29, (L29-(($F29-$E29)/2)))), L29)))), (NOT((AND(N29=TRUE, O29="Yes")))), L29)</f>
        <v>---</v>
      </c>
      <c r="U29" s="40" t="str">
        <f>IFERROR(__xludf.DUMMYFUNCTION("IFS((AND(N29=TRUE, O29=""Yes"")), (IFS(ISBLANK(Q29), M29, Q29=""Novice 1"", CEILING((M29*1.05), $H29), Q29=""Novice 2"", CEILING((M29*1.025), $H29), Q29=""Novice 3"", M29+$H29, Q29=""Intermediate 2"", (IF((ISBETWEEN(((((F29-E29)/2))+L29), E29, F29)), M29,"&amp;" M29+$H29)), Q29=""Intermediate 1"", (IF((ISBETWEEN((L29-((F29-E29)/2)), E29, F29)), M29+$H29, (FLOOR((M29*0.9875), $H29)))), Q29=""Advanced 2"", (IF(AND(((K29+((D29-C29)/2))&gt;D29), ((L29+((F29-E29)/2))&gt;F29)), M29+$H29, (M29))), Q29=""Advanced 1"", (IFS(T2"&amp;"9&lt;L29, M29+$H29, T29=L29, (M29), T29&gt;L29, (FLOOR((M29*0.9875), $H29)))))), (AND(F29=TRUE, G29=""No"", N29=TRUE, O29=""No"")), (FLOOR((M29*0.9), $H29)), (NOT((AND(N29=TRUE, O29=""Yes"")))), M29)"),"---")</f>
        <v>---</v>
      </c>
      <c r="V29" s="41" t="b">
        <v>0</v>
      </c>
      <c r="W29" s="47"/>
      <c r="X29" s="47"/>
      <c r="Y29" s="47" t="str">
        <f t="shared" ref="Y29:Y34" si="238">IF((AND(N29=TRUE, O29="No", V29=TRUE, W29="No")), (IFS(ISBLANK(Q29), Q29, Q29="Novice 1", "Novice 2", Q29="Novice 2", "Novice 3", Q29="Novice 3", "Intermediate 1", Q29="Intermediate 1", "Intermediate 2", Q29="Intermediate 2", "Advanced 1", Q29="Advanced 1", "Advanced 2", Q29="Advanced 2", "Advanced 2")), Q29)</f>
        <v/>
      </c>
      <c r="Z29" s="45" t="s">
        <v>4</v>
      </c>
      <c r="AA29" s="39" t="str">
        <f t="shared" ref="AA29:AA34" si="239">IFS((AND(V29=TRUE, W29="Yes")), (ifs(ISBLANK(Y29), S29, Y29="Novice 1", S29, Y29="Novice 2", S29, Y29="Novice 3", S29, Y29="Intermediate 2", S29, Y29="Intermediate 1", S29, Y29="Advanced 2", (IF((S29+(($D29-$C29)/2))&gt;$D29, $C29, (S29+(($D29-$C29)/2)))), Y29="Advanced 1", (IF((S29+(($D29-$C29)/2))&gt;$D29, $C29, (S29+(($D29-$C29)/2)))))), (NOT((AND(V29=TRUE, W29="Yes")))), S29)</f>
        <v>---</v>
      </c>
      <c r="AB29" s="46" t="str">
        <f t="shared" ref="AB29:AB34" si="240">IFS((AND(V29=TRUE, W29="Yes")), (IFS(ISBLANK(Y29), T29, Y29="Novice 1", T29, Y29="Novice 2", T29, Y29="Novice 3", T29, Y29="Intermediate 2", (IF((T29+(($F29-$E29)/2))&gt;$F29, $E29, (T29+(($F29-$E29)/2)))), Y29="Intermediate 1", (IF((T29-(($F29-$E29)/2))&lt;$E29, $F29, (T29-(($F29-$E29)/2)))), Y29="Advanced 2", (IF((((($D29-$C29)/2))+S29)&gt;$D29, (IF((T29+(($F29-$E29)/2))&gt;$F29, $E29, (T29+(($F29-$E29)/2)))), T29)), Y29="Advanced 1", (IF((((($D29-$C29)/2))+S29)&gt;$D29, (IF((T29-(($F29-$E29)/2))&lt;$E29, $F29, (T29-(($F29-$E29)/2)))), T29)))), (NOT((AND(V29=TRUE, W29="Yes")))), T29)</f>
        <v>---</v>
      </c>
      <c r="AC29" s="40" t="str">
        <f>IFERROR(__xludf.DUMMYFUNCTION("IFS((AND(V29=TRUE, W29=""Yes"")), (IFS(ISBLANK(Y29), U29, Y29=""Novice 1"", CEILING((U29*1.05), $H29), Y29=""Novice 2"", CEILING((U29*1.025), $H29), Y29=""Novice 3"", U29+$H29, Y29=""Intermediate 2"", (IF((ISBETWEEN(((((N29-M29)/2))+T29), M29, N29)), U29,"&amp;" U29+$H29)), Y29=""Intermediate 1"", (IF((ISBETWEEN((T29-((N29-M29)/2)), M29, N29)), U29+$H29, (FLOOR((U29*0.9875), $H29)))), Y29=""Advanced 2"", (IF(AND(((S29+((L29-K29)/2))&gt;L29), ((T29+((N29-M29)/2))&gt;N29)), U29+$H29, (U29))), Y29=""Advanced 1"", (IFS(AB"&amp;"29&lt;T29, U29+$H29, AB29=T29, (U29), AB29&gt;T29, (FLOOR((U29*0.9875), $H29)))))), (AND(N29=TRUE, O29=""No"", V29=TRUE, W29=""No"")), (FLOOR((U29*0.9), $H29)), (NOT((AND(V29=TRUE, W29=""Yes"")))), U29)"),"---")</f>
        <v>---</v>
      </c>
      <c r="AD29" s="41" t="b">
        <v>0</v>
      </c>
      <c r="AE29" s="47"/>
      <c r="AF29" s="47"/>
      <c r="AG29" s="47" t="str">
        <f t="shared" ref="AG29:AG34" si="241">IF((AND(V29=TRUE, W29="No", AD29=TRUE, AE29="No")), (IFS(ISBLANK(Y29), Y29, Y29="Novice 1", "Novice 2", Y29="Novice 2", "Novice 3", Y29="Novice 3", "Intermediate 1", Y29="Intermediate 1", "Intermediate 2", Y29="Intermediate 2", "Advanced 1", Y29="Advanced 1", "Advanced 2", Y29="Advanced 2", "Advanced 2")), Y29)</f>
        <v/>
      </c>
      <c r="AH29" s="45" t="s">
        <v>5</v>
      </c>
      <c r="AI29" s="48" t="str">
        <f t="shared" ref="AI29:AI34" si="242">IFS((AND(AD29=TRUE, AE29="Yes")), (ifs(ISBLANK(AG29), AA29, AG29="Novice 1", AA29, AG29="Novice 2", AA29, AG29="Novice 3", AA29, AG29="Intermediate 2", AA29, AG29="Intermediate 1", AA29, AG29="Advanced 2", (IF((AA29+(($D29-$C29)/2))&gt;$D29, $C29, (AA29+(($D29-$C29)/2)))), AG29="Advanced 1", (IF((AA29+(($D29-$C29)/2))&gt;$D29, $C29, (AA29+(($D29-$C29)/2)))))), (NOT((AND(AD29=TRUE, AE29="Yes")))), AA29)</f>
        <v>---</v>
      </c>
      <c r="AJ29" s="49" t="str">
        <f t="shared" ref="AJ29:AJ34" si="243">IFS((AND(AD29=TRUE, AE29="Yes")), (IFS(ISBLANK(AG29), AB29, AG29="Novice 1", AB29, AG29="Novice 2", AB29, AG29="Novice 3", AB29, AG29="Intermediate 2", (IF((AB29+(($F29-$E29)/2))&gt;$F29, $E29, (AB29+(($F29-$E29)/2)))), AG29="Intermediate 1", (IF((AB29-(($F29-$E29)/2))&lt;$E29, $F29, (AB29-(($F29-$E29)/2)))), AG29="Advanced 2", (IF((((($D29-$C29)/2))+AA29)&gt;$D29, (IF((AB29+(($F29-$E29)/2))&gt;$F29, $E29, (AB29+(($F29-$E29)/2)))), AB29)), AG29="Advanced 1", (IF((((($D29-$C29)/2))+AA29)&gt;$D29, (IF((AB29-(($F29-$E29)/2))&lt;$E29, $F29, (AB29-(($F29-$E29)/2)))), AB29)))), (NOT((AND(AD29=TRUE, AE29="Yes")))), AB29)</f>
        <v>---</v>
      </c>
      <c r="AK29" s="50" t="str">
        <f>IFERROR(__xludf.DUMMYFUNCTION("IFS((AND(AD29=TRUE, AE29=""Yes"")), (IFS(ISBLANK(AG29), AC29, AG29=""Novice 1"", CEILING((AC29*1.05), $H29), AG29=""Novice 2"", CEILING((AC29*1.025), $H29), AG29=""Novice 3"", AC29+$H29, AG29=""Intermediate 2"", (IF((ISBETWEEN(((((V29-U29)/2))+AB29), U29,"&amp;" V29)), AC29, AC29+$H29)), AG29=""Intermediate 1"", (IF((ISBETWEEN((AB29-((V29-U29)/2)), U29, V29)), AC29+$H29, (FLOOR((AC29*0.9875), $H29)))), AG29=""Advanced 2"", (IF(AND(((AA29+((T29-S29)/2))&gt;T29), ((AB29+((V29-U29)/2))&gt;V29)), AC29+$H29, (AC29))), AG29"&amp;"=""Advanced 1"", (IFS(AJ29&lt;AB29, AC29+$H29, AJ29=AB29, (AC29), AJ29&gt;AB29, (FLOOR((AC29*0.9875), $H29)))))), (AND(V29=TRUE, W29=""No"", AD29=TRUE, AE29=""No"")), (FLOOR((AC29*0.9), $H29)), (NOT((AND(AD29=TRUE, AE29=""Yes"")))), AC29)"),"---")</f>
        <v>---</v>
      </c>
      <c r="AL29" s="51" t="b">
        <v>0</v>
      </c>
      <c r="AM29" s="52"/>
      <c r="AN29" s="52"/>
      <c r="AO29" s="52" t="str">
        <f t="shared" ref="AO29:AO34" si="244">IF((AND(AD29=TRUE, AE29="No", AL29=TRUE, AM29="No")), (IFS(ISBLANK(AG29), AG29, AG29="Novice 1", "Novice 2", AG29="Novice 2", "Novice 3", AG29="Novice 3", "Intermediate 1", AG29="Intermediate 1", "Intermediate 2", AG29="Intermediate 2", "Advanced 1", AG29="Advanced 1", "Advanced 2", AG29="Advanced 2", "Advanced 2")), AG29)</f>
        <v/>
      </c>
      <c r="AP29" s="45" t="s">
        <v>6</v>
      </c>
      <c r="AQ29" s="53" t="str">
        <f t="shared" ref="AQ29:AR29" si="228">IFERROR(AI29/2,AI29)</f>
        <v>---</v>
      </c>
      <c r="AR29" s="53" t="str">
        <f t="shared" si="228"/>
        <v>---</v>
      </c>
      <c r="AS29" s="53" t="str">
        <f t="shared" ref="AS29:AS34" si="246">AK29</f>
        <v>---</v>
      </c>
      <c r="AT29" s="54"/>
      <c r="AU29" s="45" t="s">
        <v>7</v>
      </c>
      <c r="AV29" s="39" t="str">
        <f t="shared" ref="AV29:AV34" si="247">IFS((AND(AL29=TRUE, AM29="Yes")), (ifs(ISBLANK(AO29), AI29, AO29="Novice 1", AI29, AO29="Novice 2", AI29, AO29="Novice 3", AI29, AO29="Intermediate 2", AI29, AO29="Intermediate 1", AI29, AO29="Advanced 2", (IF((AI29+(($D29-$C29)/2))&gt;$D29, $C29, (AI29+(($D29-$C29)/2)))), AO29="Advanced 1", (IF((AI29+(($D29-$C29)/2))&gt;$D29, $C29, (AI29+(($D29-$C29)/2)))))), (NOT((AND(AL29=TRUE, AM29="Yes")))), AI29)</f>
        <v>---</v>
      </c>
      <c r="AW29" s="46" t="str">
        <f t="shared" ref="AW29:AW34" si="248">IFS((AND(AL29=TRUE, AM29="Yes")), (IFS(ISBLANK(AO29), AJ29, AO29="Novice 1", AJ29, AO29="Novice 2", AJ29, AO29="Novice 3", AJ29, AO29="Intermediate 2", (IF((AJ29+(($F29-$E29)/2))&gt;$F29, $E29, (AJ29+(($F29-$E29)/2)))), AO29="Intermediate 1", (IF((AJ29-(($F29-$E29)/2))&lt;$E29, $F29, (AJ29-(($F29-$E29)/2)))), AO29="Advanced 2", (IF((((($D29-$C29)/2))+AI29)&gt;$D29, (IF((AJ29+(($F29-$E29)/2))&gt;$F29, $E29, (AJ29+(($F29-$E29)/2)))), AJ29)), AO29="Advanced 1", (IF((((($D29-$C29)/2))+AI29)&gt;$D29, (IF((AJ29-(($F29-$E29)/2))&lt;$E29, $F29, (AJ29-(($F29-$E29)/2)))), AJ29)))), (NOT((AND(AL29=TRUE, AM29="Yes")))), AJ29)</f>
        <v>---</v>
      </c>
      <c r="AX29" s="40" t="str">
        <f>IFERROR(__xludf.DUMMYFUNCTION("IFS((AND(AL29=TRUE, AM29=""Yes"")), (IFS(ISBLANK(AO29), AK29, AO29=""Novice 1"", CEILING((AK29*1.05), $H29), AO29=""Novice 2"", CEILING((AK29*1.025), $H29), AO29=""Novice 3"", AK29+$H29, AO29=""Intermediate 2"", (IF((ISBETWEEN(((((AD29-AC29)/2))+AJ29), AC"&amp;"29, AD29)), AK29, AK29+$H29)), AO29=""Intermediate 1"", (IF((ISBETWEEN((AJ29-((AD29-AC29)/2)), AC29, AD29)), AK29+$H29, (FLOOR((AK29*0.9875), $H29)))), AO29=""Advanced 2"", (IF(AND(((AI29+((AB29-AA29)/2))&gt;AB29), ((AJ29+((AD29-AC29)/2))&gt;AD29)), AK29+$H29, "&amp;"(AK29))), AO29=""Advanced 1"", (IFS(AW29&lt;AJ29, AK29+$H29, AW29=AJ29, (AK29), AW29&gt;AJ29, (FLOOR((AK29*0.9875), $H29)))))), (AND(AD29=TRUE, AE29=""No"", AL29=TRUE, AM29=""No"")), (FLOOR((AK29*0.9), $H29)), (NOT((AND(AL29=TRUE, AM29=""Yes"")))), AK29)"),"---")</f>
        <v>---</v>
      </c>
      <c r="AY29" s="41" t="b">
        <v>0</v>
      </c>
      <c r="AZ29" s="47"/>
      <c r="BA29" s="47"/>
      <c r="BB29" s="47" t="str">
        <f t="shared" ref="BB29:BB34" si="249">IF((AND(AL29=TRUE, AM29="No", AY29=TRUE, AZ29="No")), (IFS(ISBLANK(AO29), AO29, AO29="Novice 1", "Novice 2", AO29="Novice 2", "Novice 3", AO29="Novice 3", "Intermediate 1", AO29="Intermediate 1", "Intermediate 2", AO29="Intermediate 2", "Advanced 1", AO29="Advanced 1", "Advanced 2", AO29="Advanced 2", "Advanced 2")), AO29)</f>
        <v/>
      </c>
      <c r="BC29" s="45" t="s">
        <v>8</v>
      </c>
      <c r="BD29" s="39" t="str">
        <f t="shared" ref="BD29:BD34" si="250">IFS((AND(AY29=TRUE, AZ29="Yes")), (ifs(ISBLANK(BB29), AV29, BB29="Novice 1", AV29, BB29="Novice 2", AV29, BB29="Novice 3", AV29, BB29="Intermediate 2", AV29, BB29="Intermediate 1", AV29, BB29="Advanced 2", (IF((AV29+(($D29-$C29)/2))&gt;$D29, $C29, (AV29+(($D29-$C29)/2)))), BB29="Advanced 1", (IF((AV29+(($D29-$C29)/2))&gt;$D29, $C29, (AV29+(($D29-$C29)/2)))))), (NOT((AND(AY29=TRUE, AZ29="Yes")))), AV29)</f>
        <v>---</v>
      </c>
      <c r="BE29" s="46" t="str">
        <f t="shared" ref="BE29:BE34" si="251">IFS((AND(AY29=TRUE, AZ29="Yes")), (IFS(ISBLANK(BB29), AW29, BB29="Novice 1", AW29, BB29="Novice 2", AW29, BB29="Novice 3", AW29, BB29="Intermediate 2", (IF((AW29+(($F29-$E29)/2))&gt;$F29, $E29, (AW29+(($F29-$E29)/2)))), BB29="Intermediate 1", (IF((AW29-(($F29-$E29)/2))&lt;$E29, $F29, (AW29-(($F29-$E29)/2)))), BB29="Advanced 2", (IF((((($D29-$C29)/2))+AV29)&gt;$D29, (IF((AW29+(($F29-$E29)/2))&gt;$F29, $E29, (AW29+(($F29-$E29)/2)))), AW29)), BB29="Advanced 1", (IF((((($D29-$C29)/2))+AV29)&gt;$D29, (IF((AW29-(($F29-$E29)/2))&lt;$E29, $F29, (AW29-(($F29-$E29)/2)))), AW29)))), (NOT((AND(AY29=TRUE, AZ29="Yes")))), AW29)</f>
        <v>---</v>
      </c>
      <c r="BF29" s="40" t="str">
        <f>IFERROR(__xludf.DUMMYFUNCTION("IFS((AND(AY29=TRUE, AZ29=""Yes"")), (IFS(ISBLANK(BB29), AX29, BB29=""Novice 1"", CEILING((AX29*1.05), $H29), BB29=""Novice 2"", CEILING((AX29*1.025), $H29), BB29=""Novice 3"", AX29+$H29, BB29=""Intermediate 2"", (IF((ISBETWEEN(((((AL29-AK29)/2))+AW29), AK"&amp;"29, AL29)), AX29, AX29+$H29)), BB29=""Intermediate 1"", (IF((ISBETWEEN((AW29-((AL29-AK29)/2)), AK29, AL29)), AX29+$H29, (FLOOR((AX29*0.9875), $H29)))), BB29=""Advanced 2"", (IF(AND(((AV29+((AJ29-AI29)/2))&gt;AJ29), ((AW29+((AL29-AK29)/2))&gt;AL29)), AX29+$H29, "&amp;"(AX29))), BB29=""Advanced 1"", (IFS(BE29&lt;AW29, AX29+$H29, BE29=AW29, (AX29), BE29&gt;AW29, (FLOOR((AX29*0.9875), $H29)))))), (AND(AL29=TRUE, AM29=""No"", AY29=TRUE, AZ29=""No"")), (FLOOR((AX29*0.9), $H29)), (NOT((AND(AY29=TRUE, AZ29=""Yes"")))), AX29)"),"---")</f>
        <v>---</v>
      </c>
      <c r="BG29" s="41" t="b">
        <v>0</v>
      </c>
      <c r="BH29" s="47"/>
      <c r="BI29" s="47"/>
      <c r="BJ29" s="47" t="str">
        <f t="shared" ref="BJ29:BJ34" si="252">IF((AND(AY29=TRUE, AZ29="No", BG29=TRUE, BH29="No")), (IFS(ISBLANK(BB29), BB29, BB29="Novice 1", "Novice 2", BB29="Novice 2", "Novice 3", BB29="Novice 3", "Intermediate 1", BB29="Intermediate 1", "Intermediate 2", BB29="Intermediate 2", "Advanced 1", BB29="Advanced 1", "Advanced 2", BB29="Advanced 2", "Advanced 2")), BB29)</f>
        <v/>
      </c>
      <c r="BK29" s="45" t="s">
        <v>9</v>
      </c>
      <c r="BL29" s="39" t="str">
        <f t="shared" ref="BL29:BL34" si="253">IFS((AND(BG29=TRUE, BH29="Yes")), (ifs(ISBLANK(BJ29), BD29, BJ29="Novice 1", BD29, BJ29="Novice 2", BD29, BJ29="Novice 3", BD29, BJ29="Intermediate 2", BD29, BJ29="Intermediate 1", BD29, BJ29="Advanced 2", (IF((BD29+(($D29-$C29)/2))&gt;$D29, $C29, (BD29+(($D29-$C29)/2)))), BJ29="Advanced 1", (IF((BD29+(($D29-$C29)/2))&gt;$D29, $C29, (BD29+(($D29-$C29)/2)))))), (NOT((AND(BG29=TRUE, BH29="Yes")))), BD29)</f>
        <v>---</v>
      </c>
      <c r="BM29" s="46" t="str">
        <f t="shared" ref="BM29:BM34" si="254">IFS((AND(BG29=TRUE, BH29="Yes")), (IFS(ISBLANK(BJ29), BE29, BJ29="Novice 1", BE29, BJ29="Novice 2", BE29, BJ29="Novice 3", BE29, BJ29="Intermediate 2", (IF((BE29+(($F29-$E29)/2))&gt;$F29, $E29, (BE29+(($F29-$E29)/2)))), BJ29="Intermediate 1", (IF((BE29-(($F29-$E29)/2))&lt;$E29, $F29, (BE29-(($F29-$E29)/2)))), BJ29="Advanced 2", (IF((((($D29-$C29)/2))+BD29)&gt;$D29, (IF((BE29+(($F29-$E29)/2))&gt;$F29, $E29, (BE29+(($F29-$E29)/2)))), BE29)), BJ29="Advanced 1", (IF((((($D29-$C29)/2))+BD29)&gt;$D29, (IF((BE29-(($F29-$E29)/2))&lt;$E29, $F29, (BE29-(($F29-$E29)/2)))), BE29)))), (NOT((AND(BG29=TRUE, BH29="Yes")))), BE29)</f>
        <v>---</v>
      </c>
      <c r="BN29" s="40" t="str">
        <f>IFERROR(__xludf.DUMMYFUNCTION("IFS((AND(BG29=TRUE, BH29=""Yes"")), (IFS(ISBLANK(BJ29), BF29, BJ29=""Novice 1"", CEILING((BF29*1.05), $H29), BJ29=""Novice 2"", CEILING((BF29*1.025), $H29), BJ29=""Novice 3"", BF29+$H29, BJ29=""Intermediate 2"", (IF((ISBETWEEN(((((AY29-AX29)/2))+BE29), AX"&amp;"29, AY29)), BF29, BF29+$H29)), BJ29=""Intermediate 1"", (IF((ISBETWEEN((BE29-((AY29-AX29)/2)), AX29, AY29)), BF29+$H29, (FLOOR((BF29*0.9875), $H29)))), BJ29=""Advanced 2"", (IF(AND(((BD29+((AW29-AV29)/2))&gt;AW29), ((BE29+((AY29-AX29)/2))&gt;AY29)), BF29+$H29, "&amp;"(BF29))), BJ29=""Advanced 1"", (IFS(BM29&lt;BE29, BF29+$H29, BM29=BE29, (BF29), BM29&gt;BE29, (FLOOR((BF29*0.9875), $H29)))))), (AND(AY29=TRUE, AZ29=""No"", BG29=TRUE, BH29=""No"")), (FLOOR((BF29*0.9), $H29)), (NOT((AND(BG29=TRUE, BH29=""Yes"")))), BF29)"),"---")</f>
        <v>---</v>
      </c>
      <c r="BO29" s="41" t="b">
        <v>0</v>
      </c>
      <c r="BP29" s="47"/>
      <c r="BQ29" s="47"/>
      <c r="BR29" s="47" t="str">
        <f t="shared" ref="BR29:BR34" si="255">IF((AND(BG29=TRUE, BH29="No", BO29=TRUE, BP29="No")), (IFS(ISBLANK(BJ29), BJ29, BJ29="Novice 1", "Novice 2", BJ29="Novice 2", "Novice 3", BJ29="Novice 3", "Intermediate 1", BJ29="Intermediate 1", "Intermediate 2", BJ29="Intermediate 2", "Advanced 1", BJ29="Advanced 1", "Advanced 2", BJ29="Advanced 2", "Advanced 2")), BJ29)</f>
        <v/>
      </c>
      <c r="BS29" s="45" t="s">
        <v>10</v>
      </c>
      <c r="BT29" s="48" t="str">
        <f t="shared" ref="BT29:BT34" si="256">IFS((AND(BO29=TRUE, BP29="Yes")), (ifs(ISBLANK(BR29), BL29, BR29="Novice 1", BL29, BR29="Novice 2", BL29, BR29="Novice 3", BL29, BR29="Intermediate 2", BL29, BR29="Intermediate 1", BL29, BR29="Advanced 2", (IF((BL29+(($D29-$C29)/2))&gt;$D29, $C29, (BL29+(($D29-$C29)/2)))), BR29="Advanced 1", (IF((BL29+(($D29-$C29)/2))&gt;$D29, $C29, (BL29+(($D29-$C29)/2)))))), (NOT((AND(BO29=TRUE, BP29="Yes")))), BL29)</f>
        <v>---</v>
      </c>
      <c r="BU29" s="49" t="str">
        <f t="shared" ref="BU29:BU34" si="257">IFS((AND(BO29=TRUE, BP29="Yes")), (IFS(ISBLANK(BR29), BM29, BR29="Novice 1", BM29, BR29="Novice 2", BM29, BR29="Novice 3", BM29, BR29="Intermediate 2", (IF((BM29+(($F29-$E29)/2))&gt;$F29, $E29, (BM29+(($F29-$E29)/2)))), BR29="Intermediate 1", (IF((BM29-(($F29-$E29)/2))&lt;$E29, $F29, (BM29-(($F29-$E29)/2)))), BR29="Advanced 2", (IF((((($D29-$C29)/2))+BL29)&gt;$D29, (IF((BM29+(($F29-$E29)/2))&gt;$F29, $E29, (BM29+(($F29-$E29)/2)))), BM29)), BR29="Advanced 1", (IF((((($D29-$C29)/2))+BL29)&gt;$D29, (IF((BM29-(($F29-$E29)/2))&lt;$E29, $F29, (BM29-(($F29-$E29)/2)))), BM29)))), (NOT((AND(BO29=TRUE, BP29="Yes")))), BM29)</f>
        <v>---</v>
      </c>
      <c r="BV29" s="50" t="str">
        <f>IFERROR(__xludf.DUMMYFUNCTION("IFS((AND(BO29=TRUE, BP29=""Yes"")), (IFS(ISBLANK(BR29), BN29, BR29=""Novice 1"", CEILING((BN29*1.05), $H29), BR29=""Novice 2"", CEILING((BN29*1.025), $H29), BR29=""Novice 3"", BN29+$H29, BR29=""Intermediate 2"", (IF((ISBETWEEN(((((BG29-BF29)/2))+BM29), BF"&amp;"29, BG29)), BN29, BN29+$H29)), BR29=""Intermediate 1"", (IF((ISBETWEEN((BM29-((BG29-BF29)/2)), BF29, BG29)), BN29+$H29, (FLOOR((BN29*0.9875), $H29)))), BR29=""Advanced 2"", (IF(AND(((BL29+((BE29-BD29)/2))&gt;BE29), ((BM29+((BG29-BF29)/2))&gt;BG29)), BN29+$H29, "&amp;"(BN29))), BR29=""Advanced 1"", (IFS(BU29&lt;BM29, BN29+$H29, BU29=BM29, (BN29), BU29&gt;BM29, (FLOOR((BN29*0.9875), $H29)))))), (AND(BG29=TRUE, BH29=""No"", BO29=TRUE, BP29=""No"")), (FLOOR((BN29*0.9), $H29)), (NOT((AND(BO29=TRUE, BP29=""Yes"")))), BN29)"),"---")</f>
        <v>---</v>
      </c>
      <c r="BW29" s="51" t="b">
        <v>0</v>
      </c>
      <c r="BX29" s="52"/>
      <c r="BY29" s="52"/>
      <c r="BZ29" s="52" t="str">
        <f t="shared" ref="BZ29:BZ34" si="258">IF((AND(BO29=TRUE, BP29="No", BW29=TRUE, BX29="No")), (IFS(ISBLANK(BR29), BR29, BR29="Novice 1", "Novice 2", BR29="Novice 2", "Novice 3", BR29="Novice 3", "Intermediate 1", BR29="Intermediate 1", "Intermediate 2", BR29="Intermediate 2", "Advanced 1", BR29="Advanced 1", "Advanced 2", BR29="Advanced 2", "Advanced 2")), BR29)</f>
        <v/>
      </c>
      <c r="CA29" s="45" t="s">
        <v>6</v>
      </c>
      <c r="CB29" s="53" t="str">
        <f t="shared" ref="CB29:CC29" si="229">IFERROR(BT29/2,BT29)</f>
        <v>---</v>
      </c>
      <c r="CC29" s="53" t="str">
        <f t="shared" si="229"/>
        <v>---</v>
      </c>
      <c r="CD29" s="53" t="str">
        <f t="shared" ref="CD29:CD34" si="260">BV29</f>
        <v>---</v>
      </c>
      <c r="CE29" s="54"/>
      <c r="CF29" s="45" t="s">
        <v>11</v>
      </c>
      <c r="CG29" s="39" t="str">
        <f t="shared" ref="CG29:CG34" si="261">IFS((AND(BW29=TRUE, BX29="Yes")), (ifs(ISBLANK(BZ29), BT29, BZ29="Novice 1", BT29, BZ29="Novice 2", BT29, BZ29="Novice 3", BT29, BZ29="Intermediate 2", BT29, BZ29="Intermediate 1", BT29, BZ29="Advanced 2", (IF((BT29+(($D29-$C29)/2))&gt;$D29, $C29, (BT29+(($D29-$C29)/2)))), BZ29="Advanced 1", (IF((BT29+(($D29-$C29)/2))&gt;$D29, $C29, (BT29+(($D29-$C29)/2)))))), (NOT((AND(BW29=TRUE, BX29="Yes")))), BT29)</f>
        <v>---</v>
      </c>
      <c r="CH29" s="46" t="str">
        <f t="shared" ref="CH29:CH34" si="262">IFS((AND(BW29=TRUE, BX29="Yes")), (IFS(ISBLANK(BZ29), BU29, BZ29="Novice 1", BU29, BZ29="Novice 2", BU29, BZ29="Novice 3", BU29, BZ29="Intermediate 2", (IF((BU29+(($F29-$E29)/2))&gt;$F29, $E29, (BU29+(($F29-$E29)/2)))), BZ29="Intermediate 1", (IF((BU29-(($F29-$E29)/2))&lt;$E29, $F29, (BU29-(($F29-$E29)/2)))), BZ29="Advanced 2", (IF((((($D29-$C29)/2))+BT29)&gt;$D29, (IF((BU29+(($F29-$E29)/2))&gt;$F29, $E29, (BU29+(($F29-$E29)/2)))), BU29)), BZ29="Advanced 1", (IF((((($D29-$C29)/2))+BT29)&gt;$D29, (IF((BU29-(($F29-$E29)/2))&lt;$E29, $F29, (BU29-(($F29-$E29)/2)))), BU29)))), (NOT((AND(BW29=TRUE, BX29="Yes")))), BU29)</f>
        <v>---</v>
      </c>
      <c r="CI29" s="40" t="str">
        <f>IFERROR(__xludf.DUMMYFUNCTION("IFS((AND(BW29=TRUE, BX29=""Yes"")), (IFS(ISBLANK(BZ29), BV29, BZ29=""Novice 1"", CEILING((BV29*1.05), $H29), BZ29=""Novice 2"", CEILING((BV29*1.025), $H29), BZ29=""Novice 3"", BV29+$H29, BZ29=""Intermediate 2"", (IF((ISBETWEEN(((((BO29-BN29)/2))+BU29), BN"&amp;"29, BO29)), BV29, BV29+$H29)), BZ29=""Intermediate 1"", (IF((ISBETWEEN((BU29-((BO29-BN29)/2)), BN29, BO29)), BV29+$H29, (FLOOR((BV29*0.9875), $H29)))), BZ29=""Advanced 2"", (IF(AND(((BT29+((BM29-BL29)/2))&gt;BM29), ((BU29+((BO29-BN29)/2))&gt;BO29)), BV29+$H29, "&amp;"(BV29))), BZ29=""Advanced 1"", (IFS(CH29&lt;BU29, BV29+$H29, CH29=BU29, (BV29), CH29&gt;BU29, (FLOOR((BV29*0.9875), $H29)))))), (AND(BO29=TRUE, BP29=""No"", BW29=TRUE, BX29=""No"")), (FLOOR((BV29*0.9), $H29)), (NOT((AND(BW29=TRUE, BX29=""Yes"")))), BV29)"),"---")</f>
        <v>---</v>
      </c>
      <c r="CJ29" s="41" t="b">
        <v>0</v>
      </c>
      <c r="CK29" s="47"/>
      <c r="CL29" s="47"/>
      <c r="CM29" s="47" t="str">
        <f t="shared" ref="CM29:CM34" si="263">IF((AND(BW29=TRUE, BX29="No", CJ29=TRUE, CK29="No")), (IFS(ISBLANK(BZ29), BZ29, BZ29="Novice 1", "Novice 2", BZ29="Novice 2", "Novice 3", BZ29="Novice 3", "Intermediate 1", BZ29="Intermediate 1", "Intermediate 2", BZ29="Intermediate 2", "Advanced 1", BZ29="Advanced 1", "Advanced 2", BZ29="Advanced 2", "Advanced 2")), BZ29)</f>
        <v/>
      </c>
      <c r="CN29" s="45" t="s">
        <v>12</v>
      </c>
      <c r="CO29" s="39" t="str">
        <f t="shared" ref="CO29:CO34" si="264">IFS((AND(CJ29=TRUE, CK29="Yes")), (ifs(ISBLANK(CM29), CG29, CM29="Novice 1", CG29, CM29="Novice 2", CG29, CM29="Novice 3", CG29, CM29="Intermediate 2", CG29, CM29="Intermediate 1", CG29, CM29="Advanced 2", (IF((CG29+(($D29-$C29)/2))&gt;$D29, $C29, (CG29+(($D29-$C29)/2)))), CM29="Advanced 1", (IF((CG29+(($D29-$C29)/2))&gt;$D29, $C29, (CG29+(($D29-$C29)/2)))))), (NOT((AND(CJ29=TRUE, CK29="Yes")))), CG29)</f>
        <v>---</v>
      </c>
      <c r="CP29" s="46" t="str">
        <f t="shared" ref="CP29:CP34" si="265">IFS((AND(CJ29=TRUE, CK29="Yes")), (IFS(ISBLANK(CM29), CH29, CM29="Novice 1", CH29, CM29="Novice 2", CH29, CM29="Novice 3", CH29, CM29="Intermediate 2", (IF((CH29+(($F29-$E29)/2))&gt;$F29, $E29, (CH29+(($F29-$E29)/2)))), CM29="Intermediate 1", (IF((CH29-(($F29-$E29)/2))&lt;$E29, $F29, (CH29-(($F29-$E29)/2)))), CM29="Advanced 2", (IF((((($D29-$C29)/2))+CG29)&gt;$D29, (IF((CH29+(($F29-$E29)/2))&gt;$F29, $E29, (CH29+(($F29-$E29)/2)))), CH29)), CM29="Advanced 1", (IF((((($D29-$C29)/2))+CG29)&gt;$D29, (IF((CH29-(($F29-$E29)/2))&lt;$E29, $F29, (CH29-(($F29-$E29)/2)))), CH29)))), (NOT((AND(CJ29=TRUE, CK29="Yes")))), CH29)</f>
        <v>---</v>
      </c>
      <c r="CQ29" s="40" t="str">
        <f>IFERROR(__xludf.DUMMYFUNCTION("IFS((AND(CJ29=TRUE, CK29=""Yes"")), (IFS(ISBLANK(CM29), CI29, CM29=""Novice 1"", CEILING((CI29*1.05), $H29), CM29=""Novice 2"", CEILING((CI29*1.025), $H29), CM29=""Novice 3"", CI29+$H29, CM29=""Intermediate 2"", (IF((ISBETWEEN(((((BW29-BV29)/2))+CH29), BV"&amp;"29, BW29)), CI29, CI29+$H29)), CM29=""Intermediate 1"", (IF((ISBETWEEN((CH29-((BW29-BV29)/2)), BV29, BW29)), CI29+$H29, (FLOOR((CI29*0.9875), $H29)))), CM29=""Advanced 2"", (IF(AND(((CG29+((BU29-BT29)/2))&gt;BU29), ((CH29+((BW29-BV29)/2))&gt;BW29)), CI29+$H29, "&amp;"(CI29))), CM29=""Advanced 1"", (IFS(CP29&lt;CH29, CI29+$H29, CP29=CH29, (CI29), CP29&gt;CH29, (FLOOR((CI29*0.9875), $H29)))))), (AND(BW29=TRUE, BX29=""No"", CJ29=TRUE, CK29=""No"")), (FLOOR((CI29*0.9), $H29)), (NOT((AND(CJ29=TRUE, CK29=""Yes"")))), CI29)"),"---")</f>
        <v>---</v>
      </c>
      <c r="CR29" s="41" t="b">
        <v>0</v>
      </c>
      <c r="CS29" s="47"/>
      <c r="CT29" s="47"/>
      <c r="CU29" s="47" t="str">
        <f t="shared" ref="CU29:CU34" si="266">IF((AND(CJ29=TRUE, CK29="No", CR29=TRUE, CS29="No")), (IFS(ISBLANK(CM29), CM29, CM29="Novice 1", "Novice 2", CM29="Novice 2", "Novice 3", CM29="Novice 3", "Intermediate 1", CM29="Intermediate 1", "Intermediate 2", CM29="Intermediate 2", "Advanced 1", CM29="Advanced 1", "Advanced 2", CM29="Advanced 2", "Advanced 2")), CM29)</f>
        <v/>
      </c>
      <c r="CV29" s="45" t="s">
        <v>13</v>
      </c>
      <c r="CW29" s="39" t="str">
        <f t="shared" ref="CW29:CW34" si="267">IFS((AND(CR29=TRUE, CS29="Yes")), (ifs(ISBLANK(CU29), CO29, CU29="Novice 1", CO29, CU29="Novice 2", CO29, CU29="Novice 3", CO29, CU29="Intermediate 2", CO29, CU29="Intermediate 1", CO29, CU29="Advanced 2", (IF((CO29+(($D29-$C29)/2))&gt;$D29, $C29, (CO29+(($D29-$C29)/2)))), CU29="Advanced 1", (IF((CO29+(($D29-$C29)/2))&gt;$D29, $C29, (CO29+(($D29-$C29)/2)))))), (NOT((AND(CR29=TRUE, CS29="Yes")))), CO29)</f>
        <v>---</v>
      </c>
      <c r="CX29" s="46" t="str">
        <f t="shared" ref="CX29:CX34" si="268">IFS((AND(CR29=TRUE, CS29="Yes")), (IFS(ISBLANK(CU29), CP29, CU29="Novice 1", CP29, CU29="Novice 2", CP29, CU29="Novice 3", CP29, CU29="Intermediate 2", (IF((CP29+(($F29-$E29)/2))&gt;$F29, $E29, (CP29+(($F29-$E29)/2)))), CU29="Intermediate 1", (IF((CP29-(($F29-$E29)/2))&lt;$E29, $F29, (CP29-(($F29-$E29)/2)))), CU29="Advanced 2", (IF((((($D29-$C29)/2))+CO29)&gt;$D29, (IF((CP29+(($F29-$E29)/2))&gt;$F29, $E29, (CP29+(($F29-$E29)/2)))), CP29)), CU29="Advanced 1", (IF((((($D29-$C29)/2))+CO29)&gt;$D29, (IF((CP29-(($F29-$E29)/2))&lt;$E29, $F29, (CP29-(($F29-$E29)/2)))), CP29)))), (NOT((AND(CR29=TRUE, CS29="Yes")))), CP29)</f>
        <v>---</v>
      </c>
      <c r="CY29" s="40" t="str">
        <f>IFERROR(__xludf.DUMMYFUNCTION("IFS((AND(CR29=TRUE, CS29=""Yes"")), (IFS(ISBLANK(CU29), CQ29, CU29=""Novice 1"", CEILING((CQ29*1.05), $H29), CU29=""Novice 2"", CEILING((CQ29*1.025), $H29), CU29=""Novice 3"", CQ29+$H29, CU29=""Intermediate 2"", (IF((ISBETWEEN(((((CJ29-CI29)/2))+CP29), CI"&amp;"29, CJ29)), CQ29, CQ29+$H29)), CU29=""Intermediate 1"", (IF((ISBETWEEN((CP29-((CJ29-CI29)/2)), CI29, CJ29)), CQ29+$H29, (FLOOR((CQ29*0.9875), $H29)))), CU29=""Advanced 2"", (IF(AND(((CO29+((CH29-CG29)/2))&gt;CH29), ((CP29+((CJ29-CI29)/2))&gt;CJ29)), CQ29+$H29, "&amp;"(CQ29))), CU29=""Advanced 1"", (IFS(CX29&lt;CP29, CQ29+$H29, CX29=CP29, (CQ29), CX29&gt;CP29, (FLOOR((CQ29*0.9875), $H29)))))), (AND(CJ29=TRUE, CK29=""No"", CR29=TRUE, CS29=""No"")), (FLOOR((CQ29*0.9), $H29)), (NOT((AND(CR29=TRUE, CS29=""Yes"")))), CQ29)"),"---")</f>
        <v>---</v>
      </c>
      <c r="CZ29" s="41" t="b">
        <v>0</v>
      </c>
      <c r="DA29" s="47"/>
      <c r="DB29" s="47"/>
      <c r="DC29" s="47" t="str">
        <f t="shared" ref="DC29:DC34" si="269">IF((AND(CR29=TRUE, CS29="No", CZ29=TRUE, DA29="No")), (IFS(ISBLANK(CU29), CU29, CU29="Novice 1", "Novice 2", CU29="Novice 2", "Novice 3", CU29="Novice 3", "Intermediate 1", CU29="Intermediate 1", "Intermediate 2", CU29="Intermediate 2", "Advanced 1", CU29="Advanced 1", "Advanced 2", CU29="Advanced 2", "Advanced 2")), CU29)</f>
        <v/>
      </c>
      <c r="DD29" s="45" t="s">
        <v>14</v>
      </c>
      <c r="DE29" s="48" t="str">
        <f t="shared" ref="DE29:DE34" si="270">IFS((AND(CZ29=TRUE, DA29="Yes")), (ifs(ISBLANK(DC29), CW29, DC29="Novice 1", CW29, DC29="Novice 2", CW29, DC29="Novice 3", CW29, DC29="Intermediate 2", CW29, DC29="Intermediate 1", CW29, DC29="Advanced 2", (IF((CW29+(($D29-$C29)/2))&gt;$D29, $C29, (CW29+(($D29-$C29)/2)))), DC29="Advanced 1", (IF((CW29+(($D29-$C29)/2))&gt;$D29, $C29, (CW29+(($D29-$C29)/2)))))), (NOT((AND(CZ29=TRUE, DA29="Yes")))), CW29)</f>
        <v>---</v>
      </c>
      <c r="DF29" s="49" t="str">
        <f t="shared" ref="DF29:DF34" si="271">IFS((AND(CZ29=TRUE, DA29="Yes")), (IFS(ISBLANK(DC29), CX29, DC29="Novice 1", CX29, DC29="Novice 2", CX29, DC29="Novice 3", CX29, DC29="Intermediate 2", (IF((CX29+(($F29-$E29)/2))&gt;$F29, $E29, (CX29+(($F29-$E29)/2)))), DC29="Intermediate 1", (IF((CX29-(($F29-$E29)/2))&lt;$E29, $F29, (CX29-(($F29-$E29)/2)))), DC29="Advanced 2", (IF((((($D29-$C29)/2))+CW29)&gt;$D29, (IF((CX29+(($F29-$E29)/2))&gt;$F29, $E29, (CX29+(($F29-$E29)/2)))), CX29)), DC29="Advanced 1", (IF((((($D29-$C29)/2))+CW29)&gt;$D29, (IF((CX29-(($F29-$E29)/2))&lt;$E29, $F29, (CX29-(($F29-$E29)/2)))), CX29)))), (NOT((AND(CZ29=TRUE, DA29="Yes")))), CX29)</f>
        <v>---</v>
      </c>
      <c r="DG29" s="50" t="str">
        <f>IFERROR(__xludf.DUMMYFUNCTION("IFS((AND(CZ29=TRUE, DA29=""Yes"")), (IFS(ISBLANK(DC29), CY29, DC29=""Novice 1"", CEILING((CY29*1.05), $H29), DC29=""Novice 2"", CEILING((CY29*1.025), $H29), DC29=""Novice 3"", CY29+$H29, DC29=""Intermediate 2"", (IF((ISBETWEEN(((((CR29-CQ29)/2))+CX29), CQ"&amp;"29, CR29)), CY29, CY29+$H29)), DC29=""Intermediate 1"", (IF((ISBETWEEN((CX29-((CR29-CQ29)/2)), CQ29, CR29)), CY29+$H29, (FLOOR((CY29*0.9875), $H29)))), DC29=""Advanced 2"", (IF(AND(((CW29+((CP29-CO29)/2))&gt;CP29), ((CX29+((CR29-CQ29)/2))&gt;CR29)), CY29+$H29, "&amp;"(CY29))), DC29=""Advanced 1"", (IFS(DF29&lt;CX29, CY29+$H29, DF29=CX29, (CY29), DF29&gt;CX29, (FLOOR((CY29*0.9875), $H29)))))), (AND(CR29=TRUE, CS29=""No"", CZ29=TRUE, DA29=""No"")), (FLOOR((CY29*0.9), $H29)), (NOT((AND(CZ29=TRUE, DA29=""Yes"")))), CY29)"),"---")</f>
        <v>---</v>
      </c>
      <c r="DH29" s="51" t="b">
        <v>0</v>
      </c>
      <c r="DI29" s="52"/>
      <c r="DJ29" s="52"/>
      <c r="DK29" s="52" t="str">
        <f t="shared" ref="DK29:DK34" si="272">IF((AND(CZ29=TRUE, DA29="No", DH29=TRUE, DI29="No")), (IFS(ISBLANK(DC29), DC29, DC29="Novice 1", "Novice 2", DC29="Novice 2", "Novice 3", DC29="Novice 3", "Intermediate 1", DC29="Intermediate 1", "Intermediate 2", DC29="Intermediate 2", "Advanced 1", DC29="Advanced 1", "Advanced 2", DC29="Advanced 2", "Advanced 2")), DC29)</f>
        <v/>
      </c>
      <c r="DL29" s="45" t="s">
        <v>6</v>
      </c>
      <c r="DM29" s="53" t="str">
        <f t="shared" ref="DM29:DN29" si="230">IFERROR(DE29/2,DE29)</f>
        <v>---</v>
      </c>
      <c r="DN29" s="53" t="str">
        <f t="shared" si="230"/>
        <v>---</v>
      </c>
      <c r="DO29" s="53" t="str">
        <f t="shared" ref="DO29:DO34" si="274">DG29</f>
        <v>---</v>
      </c>
      <c r="DP29" s="54"/>
      <c r="DQ29" s="45" t="s">
        <v>15</v>
      </c>
      <c r="DR29" s="39" t="str">
        <f t="shared" ref="DR29:DR34" si="275">IFS((AND(DH29=TRUE, DI29="Yes")), (ifs(ISBLANK(DK29), DE29, DK29="Novice 1", DE29, DK29="Novice 2", DE29, DK29="Novice 3", DE29, DK29="Intermediate 2", DE29, DK29="Intermediate 1", DE29, DK29="Advanced 2", (IF((DE29+(($D29-$C29)/2))&gt;$D29, $C29, (DE29+(($D29-$C29)/2)))), DK29="Advanced 1", (IF((DE29+(($D29-$C29)/2))&gt;$D29, $C29, (DE29+(($D29-$C29)/2)))))), (NOT((AND(DH29=TRUE, DI29="Yes")))), DE29)</f>
        <v>---</v>
      </c>
      <c r="DS29" s="46" t="str">
        <f t="shared" ref="DS29:DS34" si="276">IFS((AND(DH29=TRUE, DI29="Yes")), (IFS(ISBLANK(DK29), DF29, DK29="Novice 1", DF29, DK29="Novice 2", DF29, DK29="Novice 3", DF29, DK29="Intermediate 2", (IF((DF29+(($F29-$E29)/2))&gt;$F29, $E29, (DF29+(($F29-$E29)/2)))), DK29="Intermediate 1", (IF((DF29-(($F29-$E29)/2))&lt;$E29, $F29, (DF29-(($F29-$E29)/2)))), DK29="Advanced 2", (IF((((($D29-$C29)/2))+DE29)&gt;$D29, (IF((DF29+(($F29-$E29)/2))&gt;$F29, $E29, (DF29+(($F29-$E29)/2)))), DF29)), DK29="Advanced 1", (IF((((($D29-$C29)/2))+DE29)&gt;$D29, (IF((DF29-(($F29-$E29)/2))&lt;$E29, $F29, (DF29-(($F29-$E29)/2)))), DF29)))), (NOT((AND(DH29=TRUE, DI29="Yes")))), DF29)</f>
        <v>---</v>
      </c>
      <c r="DT29" s="40" t="str">
        <f>IFERROR(__xludf.DUMMYFUNCTION("IFS((AND(DH29=TRUE, DI29=""Yes"")), (IFS(ISBLANK(DK29), DG29, DK29=""Novice 1"", CEILING((DG29*1.05), $H29), DK29=""Novice 2"", CEILING((DG29*1.025), $H29), DK29=""Novice 3"", DG29+$H29, DK29=""Intermediate 2"", (IF((ISBETWEEN(((((CZ29-CY29)/2))+DF29), CY"&amp;"29, CZ29)), DG29, DG29+$H29)), DK29=""Intermediate 1"", (IF((ISBETWEEN((DF29-((CZ29-CY29)/2)), CY29, CZ29)), DG29+$H29, (FLOOR((DG29*0.9875), $H29)))), DK29=""Advanced 2"", (IF(AND(((DE29+((CX29-CW29)/2))&gt;CX29), ((DF29+((CZ29-CY29)/2))&gt;CZ29)), DG29+$H29, "&amp;"(DG29))), DK29=""Advanced 1"", (IFS(DS29&lt;DF29, DG29+$H29, DS29=DF29, (DG29), DS29&gt;DF29, (FLOOR((DG29*0.9875), $H29)))))), (AND(CZ29=TRUE, DA29=""No"", DH29=TRUE, DI29=""No"")), (FLOOR((DG29*0.9), $H29)), (NOT((AND(DH29=TRUE, DI29=""Yes"")))), DG29)"),"---")</f>
        <v>---</v>
      </c>
      <c r="DU29" s="41" t="b">
        <v>0</v>
      </c>
      <c r="DV29" s="47"/>
      <c r="DW29" s="47"/>
      <c r="DX29" s="47" t="str">
        <f t="shared" ref="DX29:DX34" si="277">IF((AND(DH29=TRUE, DI29="No", DU29=TRUE, DV29="No")), (IFS(ISBLANK(DK29), DK29, DK29="Novice 1", "Novice 2", DK29="Novice 2", "Novice 3", DK29="Novice 3", "Intermediate 1", DK29="Intermediate 1", "Intermediate 2", DK29="Intermediate 2", "Advanced 1", DK29="Advanced 1", "Advanced 2", DK29="Advanced 2", "Advanced 2")), DK29)</f>
        <v/>
      </c>
      <c r="DY29" s="45" t="s">
        <v>16</v>
      </c>
      <c r="DZ29" s="39" t="str">
        <f t="shared" ref="DZ29:DZ34" si="278">IFS((AND(DU29=TRUE, DV29="Yes")), (ifs(ISBLANK(DX29), DR29, DX29="Novice 1", DR29, DX29="Novice 2", DR29, DX29="Novice 3", DR29, DX29="Intermediate 2", DR29, DX29="Intermediate 1", DR29, DX29="Advanced 2", (IF((DR29+(($D29-$C29)/2))&gt;$D29, $C29, (DR29+(($D29-$C29)/2)))), DX29="Advanced 1", (IF((DR29+(($D29-$C29)/2))&gt;$D29, $C29, (DR29+(($D29-$C29)/2)))))), (NOT((AND(DU29=TRUE, DV29="Yes")))), DR29)</f>
        <v>---</v>
      </c>
      <c r="EA29" s="46" t="str">
        <f t="shared" ref="EA29:EA34" si="279">IFS((AND(DU29=TRUE, DV29="Yes")), (IFS(ISBLANK(DX29), DS29, DX29="Novice 1", DS29, DX29="Novice 2", DS29, DX29="Novice 3", DS29, DX29="Intermediate 2", (IF((DS29+(($F29-$E29)/2))&gt;$F29, $E29, (DS29+(($F29-$E29)/2)))), DX29="Intermediate 1", (IF((DS29-(($F29-$E29)/2))&lt;$E29, $F29, (DS29-(($F29-$E29)/2)))), DX29="Advanced 2", (IF((((($D29-$C29)/2))+DR29)&gt;$D29, (IF((DS29+(($F29-$E29)/2))&gt;$F29, $E29, (DS29+(($F29-$E29)/2)))), DS29)), DX29="Advanced 1", (IF((((($D29-$C29)/2))+DR29)&gt;$D29, (IF((DS29-(($F29-$E29)/2))&lt;$E29, $F29, (DS29-(($F29-$E29)/2)))), DS29)))), (NOT((AND(DU29=TRUE, DV29="Yes")))), DS29)</f>
        <v>---</v>
      </c>
      <c r="EB29" s="40" t="str">
        <f>IFERROR(__xludf.DUMMYFUNCTION("IFS((AND(DU29=TRUE, DV29=""Yes"")), (IFS(ISBLANK(DX29), DT29, DX29=""Novice 1"", CEILING((DT29*1.05), $H29), DX29=""Novice 2"", CEILING((DT29*1.025), $H29), DX29=""Novice 3"", DT29+$H29, DX29=""Intermediate 2"", (IF((ISBETWEEN(((((DH29-DG29)/2))+DS29), DG"&amp;"29, DH29)), DT29, DT29+$H29)), DX29=""Intermediate 1"", (IF((ISBETWEEN((DS29-((DH29-DG29)/2)), DG29, DH29)), DT29+$H29, (FLOOR((DT29*0.9875), $H29)))), DX29=""Advanced 2"", (IF(AND(((DR29+((DF29-DE29)/2))&gt;DF29), ((DS29+((DH29-DG29)/2))&gt;DH29)), DT29+$H29, "&amp;"(DT29))), DX29=""Advanced 1"", (IFS(EA29&lt;DS29, DT29+$H29, EA29=DS29, (DT29), EA29&gt;DS29, (FLOOR((DT29*0.9875), $H29)))))), (AND(DH29=TRUE, DI29=""No"", DU29=TRUE, DV29=""No"")), (FLOOR((DT29*0.9), $H29)), (NOT((AND(DU29=TRUE, DV29=""Yes"")))), DT29)"),"---")</f>
        <v>---</v>
      </c>
      <c r="EC29" s="41" t="b">
        <v>0</v>
      </c>
      <c r="ED29" s="47"/>
      <c r="EE29" s="47"/>
      <c r="EF29" s="47" t="str">
        <f t="shared" ref="EF29:EF34" si="280">IF((AND(DU29=TRUE, DV29="No", EC29=TRUE, ED29="No")), (IFS(ISBLANK(DX29), DX29, DX29="Novice 1", "Novice 2", DX29="Novice 2", "Novice 3", DX29="Novice 3", "Intermediate 1", DX29="Intermediate 1", "Intermediate 2", DX29="Intermediate 2", "Advanced 1", DX29="Advanced 1", "Advanced 2", DX29="Advanced 2", "Advanced 2")), DX29)</f>
        <v/>
      </c>
      <c r="EG29" s="45" t="s">
        <v>17</v>
      </c>
      <c r="EH29" s="39" t="str">
        <f t="shared" ref="EH29:EH34" si="281">IFS((AND(EC29=TRUE, ED29="Yes")), (ifs(ISBLANK(EF29), DZ29, EF29="Novice 1", DZ29, EF29="Novice 2", DZ29, EF29="Novice 3", DZ29, EF29="Intermediate 2", DZ29, EF29="Intermediate 1", DZ29, EF29="Advanced 2", (IF((DZ29+(($D29-$C29)/2))&gt;$D29, $C29, (DZ29+(($D29-$C29)/2)))), EF29="Advanced 1", (IF((DZ29+(($D29-$C29)/2))&gt;$D29, $C29, (DZ29+(($D29-$C29)/2)))))), (NOT((AND(EC29=TRUE, ED29="Yes")))), DZ29)</f>
        <v>---</v>
      </c>
      <c r="EI29" s="46" t="str">
        <f t="shared" ref="EI29:EI34" si="282">IFS((AND(EC29=TRUE, ED29="Yes")), (IFS(ISBLANK(EF29), EA29, EF29="Novice 1", EA29, EF29="Novice 2", EA29, EF29="Novice 3", EA29, EF29="Intermediate 2", (IF((EA29+(($F29-$E29)/2))&gt;$F29, $E29, (EA29+(($F29-$E29)/2)))), EF29="Intermediate 1", (IF((EA29-(($F29-$E29)/2))&lt;$E29, $F29, (EA29-(($F29-$E29)/2)))), EF29="Advanced 2", (IF((((($D29-$C29)/2))+DZ29)&gt;$D29, (IF((EA29+(($F29-$E29)/2))&gt;$F29, $E29, (EA29+(($F29-$E29)/2)))), EA29)), EF29="Advanced 1", (IF((((($D29-$C29)/2))+DZ29)&gt;$D29, (IF((EA29-(($F29-$E29)/2))&lt;$E29, $F29, (EA29-(($F29-$E29)/2)))), EA29)))), (NOT((AND(EC29=TRUE, ED29="Yes")))), EA29)</f>
        <v>---</v>
      </c>
      <c r="EJ29" s="40" t="str">
        <f>IFERROR(__xludf.DUMMYFUNCTION("IFS((AND(EC29=TRUE, ED29=""Yes"")), (IFS(ISBLANK(EF29), EB29, EF29=""Novice 1"", CEILING((EB29*1.05), $H29), EF29=""Novice 2"", CEILING((EB29*1.025), $H29), EF29=""Novice 3"", EB29+$H29, EF29=""Intermediate 2"", (IF((ISBETWEEN(((((DU29-DT29)/2))+EA29), DT"&amp;"29, DU29)), EB29, EB29+$H29)), EF29=""Intermediate 1"", (IF((ISBETWEEN((EA29-((DU29-DT29)/2)), DT29, DU29)), EB29+$H29, (FLOOR((EB29*0.9875), $H29)))), EF29=""Advanced 2"", (IF(AND(((DZ29+((DS29-DR29)/2))&gt;DS29), ((EA29+((DU29-DT29)/2))&gt;DU29)), EB29+$H29, "&amp;"(EB29))), EF29=""Advanced 1"", (IFS(EI29&lt;EA29, EB29+$H29, EI29=EA29, (EB29), EI29&gt;EA29, (FLOOR((EB29*0.9875), $H29)))))), (AND(DU29=TRUE, DV29=""No"", EC29=TRUE, ED29=""No"")), (FLOOR((EB29*0.9), $H29)), (NOT((AND(EC29=TRUE, ED29=""Yes"")))), EB29)"),"---")</f>
        <v>---</v>
      </c>
      <c r="EK29" s="41" t="b">
        <v>0</v>
      </c>
      <c r="EL29" s="47"/>
      <c r="EM29" s="47"/>
      <c r="EN29" s="47" t="str">
        <f t="shared" ref="EN29:EN34" si="283">IF((AND(EC29=TRUE, ED29="No", EK29=TRUE, EL29="No")), (IFS(ISBLANK(EF29), EF29, EF29="Novice 1", "Novice 2", EF29="Novice 2", "Novice 3", EF29="Novice 3", "Intermediate 1", EF29="Intermediate 1", "Intermediate 2", EF29="Intermediate 2", "Advanced 1", EF29="Advanced 1", "Advanced 2", EF29="Advanced 2", "Advanced 2")), EF29)</f>
        <v/>
      </c>
      <c r="EO29" s="45" t="s">
        <v>18</v>
      </c>
      <c r="EP29" s="48" t="str">
        <f t="shared" ref="EP29:EP34" si="284">IFS((AND(EK29=TRUE, EL29="Yes")), (ifs(ISBLANK(EN29), EH29, EN29="Novice 1", EH29, EN29="Novice 2", EH29, EN29="Novice 3", EH29, EN29="Intermediate 2", EH29, EN29="Intermediate 1", EH29, EN29="Advanced 2", (IF((EH29+(($D29-$C29)/2))&gt;$D29, $C29, (EH29+(($D29-$C29)/2)))), EN29="Advanced 1", (IF((EH29+(($D29-$C29)/2))&gt;$D29, $C29, (EH29+(($D29-$C29)/2)))))), (NOT((AND(EK29=TRUE, EL29="Yes")))), EH29)</f>
        <v>---</v>
      </c>
      <c r="EQ29" s="49" t="str">
        <f t="shared" ref="EQ29:EQ34" si="285">IFS((AND(EK29=TRUE, EL29="Yes")), (IFS(ISBLANK(EN29), EI29, EN29="Novice 1", EI29, EN29="Novice 2", EI29, EN29="Novice 3", EI29, EN29="Intermediate 2", (IF((EI29+(($F29-$E29)/2))&gt;$F29, $E29, (EI29+(($F29-$E29)/2)))), EN29="Intermediate 1", (IF((EI29-(($F29-$E29)/2))&lt;$E29, $F29, (EI29-(($F29-$E29)/2)))), EN29="Advanced 2", (IF((((($D29-$C29)/2))+EH29)&gt;$D29, (IF((EI29+(($F29-$E29)/2))&gt;$F29, $E29, (EI29+(($F29-$E29)/2)))), EI29)), EN29="Advanced 1", (IF((((($D29-$C29)/2))+EH29)&gt;$D29, (IF((EI29-(($F29-$E29)/2))&lt;$E29, $F29, (EI29-(($F29-$E29)/2)))), EI29)))), (NOT((AND(EK29=TRUE, EL29="Yes")))), EI29)</f>
        <v>---</v>
      </c>
      <c r="ER29" s="50" t="str">
        <f>IFERROR(__xludf.DUMMYFUNCTION("IFS((AND(EK29=TRUE, EL29=""Yes"")), (IFS(ISBLANK(EN29), EJ29, EN29=""Novice 1"", CEILING((EJ29*1.05), $H29), EN29=""Novice 2"", CEILING((EJ29*1.025), $H29), EN29=""Novice 3"", EJ29+$H29, EN29=""Intermediate 2"", (IF((ISBETWEEN(((((EC29-EB29)/2))+EI29), EB"&amp;"29, EC29)), EJ29, EJ29+$H29)), EN29=""Intermediate 1"", (IF((ISBETWEEN((EI29-((EC29-EB29)/2)), EB29, EC29)), EJ29+$H29, (FLOOR((EJ29*0.9875), $H29)))), EN29=""Advanced 2"", (IF(AND(((EH29+((EA29-DZ29)/2))&gt;EA29), ((EI29+((EC29-EB29)/2))&gt;EC29)), EJ29+$H29, "&amp;"(EJ29))), EN29=""Advanced 1"", (IFS(EQ29&lt;EI29, EJ29+$H29, EQ29=EI29, (EJ29), EQ29&gt;EI29, (FLOOR((EJ29*0.9875), $H29)))))), (AND(EC29=TRUE, ED29=""No"", EK29=TRUE, EL29=""No"")), (FLOOR((EJ29*0.9), $H29)), (NOT((AND(EK29=TRUE, EL29=""Yes"")))), EJ29)"),"---")</f>
        <v>---</v>
      </c>
      <c r="ES29" s="51" t="b">
        <v>0</v>
      </c>
      <c r="ET29" s="52"/>
      <c r="EU29" s="52"/>
      <c r="EV29" s="52" t="str">
        <f t="shared" ref="EV29:EV34" si="286">IF((AND(EK29=TRUE, EL29="No", ES29=TRUE, ET29="No")), (IFS(ISBLANK(EN29), EN29, EN29="Novice 1", "Novice 2", EN29="Novice 2", "Novice 3", EN29="Novice 3", "Intermediate 1", EN29="Intermediate 1", "Intermediate 2", EN29="Intermediate 2", "Advanced 1", EN29="Advanced 1", "Advanced 2", EN29="Advanced 2", "Advanced 2")), EN29)</f>
        <v/>
      </c>
      <c r="EW29" s="45" t="s">
        <v>6</v>
      </c>
      <c r="EX29" s="53" t="str">
        <f t="shared" ref="EX29:EY29" si="231">IFERROR(EP29/2,EP29)</f>
        <v>---</v>
      </c>
      <c r="EY29" s="53" t="str">
        <f t="shared" si="231"/>
        <v>---</v>
      </c>
      <c r="EZ29" s="53" t="str">
        <f t="shared" ref="EZ29:EZ34" si="288">ER29</f>
        <v>---</v>
      </c>
      <c r="FA29" s="54"/>
      <c r="FB29" s="86"/>
      <c r="FC29" s="57"/>
    </row>
    <row r="30" outlineLevel="1">
      <c r="A30" s="81" t="s">
        <v>57</v>
      </c>
      <c r="B30" s="58"/>
      <c r="C30" s="82" t="s">
        <v>53</v>
      </c>
      <c r="D30" s="83" t="s">
        <v>53</v>
      </c>
      <c r="E30" s="82" t="s">
        <v>53</v>
      </c>
      <c r="F30" s="83" t="s">
        <v>53</v>
      </c>
      <c r="G30" s="83" t="s">
        <v>53</v>
      </c>
      <c r="H30" s="84"/>
      <c r="I30" s="85"/>
      <c r="J30" s="59"/>
      <c r="K30" s="39" t="str">
        <f t="shared" si="232"/>
        <v>---</v>
      </c>
      <c r="L30" s="40" t="str">
        <f t="shared" si="233"/>
        <v>---</v>
      </c>
      <c r="M30" s="40" t="str">
        <f t="shared" si="234"/>
        <v>---</v>
      </c>
      <c r="N30" s="41" t="b">
        <v>0</v>
      </c>
      <c r="O30" s="42"/>
      <c r="P30" s="43"/>
      <c r="Q30" s="42" t="str">
        <f t="shared" si="235"/>
        <v/>
      </c>
      <c r="R30" s="60"/>
      <c r="S30" s="39" t="str">
        <f t="shared" si="236"/>
        <v>---</v>
      </c>
      <c r="T30" s="46" t="str">
        <f t="shared" si="237"/>
        <v>---</v>
      </c>
      <c r="U30" s="40" t="str">
        <f>IFERROR(__xludf.DUMMYFUNCTION("IFS((AND(N30=TRUE, O30=""Yes"")), (IFS(ISBLANK(Q30), M30, Q30=""Novice 1"", CEILING((M30*1.05), $H30), Q30=""Novice 2"", CEILING((M30*1.025), $H30), Q30=""Novice 3"", M30+$H30, Q30=""Intermediate 2"", (IF((ISBETWEEN(((((F30-E30)/2))+L30), E30, F30)), M30,"&amp;" M30+$H30)), Q30=""Intermediate 1"", (IF((ISBETWEEN((L30-((F30-E30)/2)), E30, F30)), M30+$H30, (FLOOR((M30*0.9875), $H30)))), Q30=""Advanced 2"", (IF(AND(((K30+((D30-C30)/2))&gt;D30), ((L30+((F30-E30)/2))&gt;F30)), M30+$H30, (M30))), Q30=""Advanced 1"", (IFS(T3"&amp;"0&lt;L30, M30+$H30, T30=L30, (M30), T30&gt;L30, (FLOOR((M30*0.9875), $H30)))))), (AND(F30=TRUE, G30=""No"", N30=TRUE, O30=""No"")), (FLOOR((M30*0.9), $H30)), (NOT((AND(N30=TRUE, O30=""Yes"")))), M30)"),"---")</f>
        <v>---</v>
      </c>
      <c r="V30" s="41" t="b">
        <v>0</v>
      </c>
      <c r="W30" s="47"/>
      <c r="X30" s="47"/>
      <c r="Y30" s="47" t="str">
        <f t="shared" si="238"/>
        <v/>
      </c>
      <c r="Z30" s="60"/>
      <c r="AA30" s="39" t="str">
        <f t="shared" si="239"/>
        <v>---</v>
      </c>
      <c r="AB30" s="46" t="str">
        <f t="shared" si="240"/>
        <v>---</v>
      </c>
      <c r="AC30" s="40" t="str">
        <f>IFERROR(__xludf.DUMMYFUNCTION("IFS((AND(V30=TRUE, W30=""Yes"")), (IFS(ISBLANK(Y30), U30, Y30=""Novice 1"", CEILING((U30*1.05), $H30), Y30=""Novice 2"", CEILING((U30*1.025), $H30), Y30=""Novice 3"", U30+$H30, Y30=""Intermediate 2"", (IF((ISBETWEEN(((((N30-M30)/2))+T30), M30, N30)), U30,"&amp;" U30+$H30)), Y30=""Intermediate 1"", (IF((ISBETWEEN((T30-((N30-M30)/2)), M30, N30)), U30+$H30, (FLOOR((U30*0.9875), $H30)))), Y30=""Advanced 2"", (IF(AND(((S30+((L30-K30)/2))&gt;L30), ((T30+((N30-M30)/2))&gt;N30)), U30+$H30, (U30))), Y30=""Advanced 1"", (IFS(AB"&amp;"30&lt;T30, U30+$H30, AB30=T30, (U30), AB30&gt;T30, (FLOOR((U30*0.9875), $H30)))))), (AND(N30=TRUE, O30=""No"", V30=TRUE, W30=""No"")), (FLOOR((U30*0.9), $H30)), (NOT((AND(V30=TRUE, W30=""Yes"")))), U30)"),"---")</f>
        <v>---</v>
      </c>
      <c r="AD30" s="41" t="b">
        <v>0</v>
      </c>
      <c r="AE30" s="47"/>
      <c r="AF30" s="47"/>
      <c r="AG30" s="47" t="str">
        <f t="shared" si="241"/>
        <v/>
      </c>
      <c r="AH30" s="60"/>
      <c r="AI30" s="61" t="str">
        <f t="shared" si="242"/>
        <v>---</v>
      </c>
      <c r="AJ30" s="62" t="str">
        <f t="shared" si="243"/>
        <v>---</v>
      </c>
      <c r="AK30" s="63" t="str">
        <f>IFERROR(__xludf.DUMMYFUNCTION("IFS((AND(AD30=TRUE, AE30=""Yes"")), (IFS(ISBLANK(AG30), AC30, AG30=""Novice 1"", CEILING((AC30*1.05), $H30), AG30=""Novice 2"", CEILING((AC30*1.025), $H30), AG30=""Novice 3"", AC30+$H30, AG30=""Intermediate 2"", (IF((ISBETWEEN(((((V30-U30)/2))+AB30), U30,"&amp;" V30)), AC30, AC30+$H30)), AG30=""Intermediate 1"", (IF((ISBETWEEN((AB30-((V30-U30)/2)), U30, V30)), AC30+$H30, (FLOOR((AC30*0.9875), $H30)))), AG30=""Advanced 2"", (IF(AND(((AA30+((T30-S30)/2))&gt;T30), ((AB30+((V30-U30)/2))&gt;V30)), AC30+$H30, (AC30))), AG30"&amp;"=""Advanced 1"", (IFS(AJ30&lt;AB30, AC30+$H30, AJ30=AB30, (AC30), AJ30&gt;AB30, (FLOOR((AC30*0.9875), $H30)))))), (AND(V30=TRUE, W30=""No"", AD30=TRUE, AE30=""No"")), (FLOOR((AC30*0.9), $H30)), (NOT((AND(AD30=TRUE, AE30=""Yes"")))), AC30)"),"---")</f>
        <v>---</v>
      </c>
      <c r="AL30" s="64" t="b">
        <v>0</v>
      </c>
      <c r="AM30" s="65"/>
      <c r="AN30" s="65"/>
      <c r="AO30" s="65" t="str">
        <f t="shared" si="244"/>
        <v/>
      </c>
      <c r="AP30" s="66"/>
      <c r="AQ30" s="53" t="str">
        <f t="shared" ref="AQ30:AR30" si="245">IFERROR(AI30/2,AI30)</f>
        <v>---</v>
      </c>
      <c r="AR30" s="53" t="str">
        <f t="shared" si="245"/>
        <v>---</v>
      </c>
      <c r="AS30" s="53" t="str">
        <f t="shared" si="246"/>
        <v>---</v>
      </c>
      <c r="AT30" s="67"/>
      <c r="AU30" s="60"/>
      <c r="AV30" s="39" t="str">
        <f t="shared" si="247"/>
        <v>---</v>
      </c>
      <c r="AW30" s="46" t="str">
        <f t="shared" si="248"/>
        <v>---</v>
      </c>
      <c r="AX30" s="40" t="str">
        <f>IFERROR(__xludf.DUMMYFUNCTION("IFS((AND(AL30=TRUE, AM30=""Yes"")), (IFS(ISBLANK(AO30), AK30, AO30=""Novice 1"", CEILING((AK30*1.05), $H30), AO30=""Novice 2"", CEILING((AK30*1.025), $H30), AO30=""Novice 3"", AK30+$H30, AO30=""Intermediate 2"", (IF((ISBETWEEN(((((AD30-AC30)/2))+AJ30), AC"&amp;"30, AD30)), AK30, AK30+$H30)), AO30=""Intermediate 1"", (IF((ISBETWEEN((AJ30-((AD30-AC30)/2)), AC30, AD30)), AK30+$H30, (FLOOR((AK30*0.9875), $H30)))), AO30=""Advanced 2"", (IF(AND(((AI30+((AB30-AA30)/2))&gt;AB30), ((AJ30+((AD30-AC30)/2))&gt;AD30)), AK30+$H30, "&amp;"(AK30))), AO30=""Advanced 1"", (IFS(AW30&lt;AJ30, AK30+$H30, AW30=AJ30, (AK30), AW30&gt;AJ30, (FLOOR((AK30*0.9875), $H30)))))), (AND(AD30=TRUE, AE30=""No"", AL30=TRUE, AM30=""No"")), (FLOOR((AK30*0.9), $H30)), (NOT((AND(AL30=TRUE, AM30=""Yes"")))), AK30)"),"---")</f>
        <v>---</v>
      </c>
      <c r="AY30" s="41" t="b">
        <v>0</v>
      </c>
      <c r="AZ30" s="47"/>
      <c r="BA30" s="47"/>
      <c r="BB30" s="47" t="str">
        <f t="shared" si="249"/>
        <v/>
      </c>
      <c r="BC30" s="60"/>
      <c r="BD30" s="39" t="str">
        <f t="shared" si="250"/>
        <v>---</v>
      </c>
      <c r="BE30" s="46" t="str">
        <f t="shared" si="251"/>
        <v>---</v>
      </c>
      <c r="BF30" s="40" t="str">
        <f>IFERROR(__xludf.DUMMYFUNCTION("IFS((AND(AY30=TRUE, AZ30=""Yes"")), (IFS(ISBLANK(BB30), AX30, BB30=""Novice 1"", CEILING((AX30*1.05), $H30), BB30=""Novice 2"", CEILING((AX30*1.025), $H30), BB30=""Novice 3"", AX30+$H30, BB30=""Intermediate 2"", (IF((ISBETWEEN(((((AL30-AK30)/2))+AW30), AK"&amp;"30, AL30)), AX30, AX30+$H30)), BB30=""Intermediate 1"", (IF((ISBETWEEN((AW30-((AL30-AK30)/2)), AK30, AL30)), AX30+$H30, (FLOOR((AX30*0.9875), $H30)))), BB30=""Advanced 2"", (IF(AND(((AV30+((AJ30-AI30)/2))&gt;AJ30), ((AW30+((AL30-AK30)/2))&gt;AL30)), AX30+$H30, "&amp;"(AX30))), BB30=""Advanced 1"", (IFS(BE30&lt;AW30, AX30+$H30, BE30=AW30, (AX30), BE30&gt;AW30, (FLOOR((AX30*0.9875), $H30)))))), (AND(AL30=TRUE, AM30=""No"", AY30=TRUE, AZ30=""No"")), (FLOOR((AX30*0.9), $H30)), (NOT((AND(AY30=TRUE, AZ30=""Yes"")))), AX30)"),"---")</f>
        <v>---</v>
      </c>
      <c r="BG30" s="41" t="b">
        <v>0</v>
      </c>
      <c r="BH30" s="47"/>
      <c r="BI30" s="47"/>
      <c r="BJ30" s="47" t="str">
        <f t="shared" si="252"/>
        <v/>
      </c>
      <c r="BK30" s="60"/>
      <c r="BL30" s="39" t="str">
        <f t="shared" si="253"/>
        <v>---</v>
      </c>
      <c r="BM30" s="46" t="str">
        <f t="shared" si="254"/>
        <v>---</v>
      </c>
      <c r="BN30" s="40" t="str">
        <f>IFERROR(__xludf.DUMMYFUNCTION("IFS((AND(BG30=TRUE, BH30=""Yes"")), (IFS(ISBLANK(BJ30), BF30, BJ30=""Novice 1"", CEILING((BF30*1.05), $H30), BJ30=""Novice 2"", CEILING((BF30*1.025), $H30), BJ30=""Novice 3"", BF30+$H30, BJ30=""Intermediate 2"", (IF((ISBETWEEN(((((AY30-AX30)/2))+BE30), AX"&amp;"30, AY30)), BF30, BF30+$H30)), BJ30=""Intermediate 1"", (IF((ISBETWEEN((BE30-((AY30-AX30)/2)), AX30, AY30)), BF30+$H30, (FLOOR((BF30*0.9875), $H30)))), BJ30=""Advanced 2"", (IF(AND(((BD30+((AW30-AV30)/2))&gt;AW30), ((BE30+((AY30-AX30)/2))&gt;AY30)), BF30+$H30, "&amp;"(BF30))), BJ30=""Advanced 1"", (IFS(BM30&lt;BE30, BF30+$H30, BM30=BE30, (BF30), BM30&gt;BE30, (FLOOR((BF30*0.9875), $H30)))))), (AND(AY30=TRUE, AZ30=""No"", BG30=TRUE, BH30=""No"")), (FLOOR((BF30*0.9), $H30)), (NOT((AND(BG30=TRUE, BH30=""Yes"")))), BF30)"),"---")</f>
        <v>---</v>
      </c>
      <c r="BO30" s="41" t="b">
        <v>0</v>
      </c>
      <c r="BP30" s="47"/>
      <c r="BQ30" s="47"/>
      <c r="BR30" s="47" t="str">
        <f t="shared" si="255"/>
        <v/>
      </c>
      <c r="BS30" s="60"/>
      <c r="BT30" s="61" t="str">
        <f t="shared" si="256"/>
        <v>---</v>
      </c>
      <c r="BU30" s="62" t="str">
        <f t="shared" si="257"/>
        <v>---</v>
      </c>
      <c r="BV30" s="63" t="str">
        <f>IFERROR(__xludf.DUMMYFUNCTION("IFS((AND(BO30=TRUE, BP30=""Yes"")), (IFS(ISBLANK(BR30), BN30, BR30=""Novice 1"", CEILING((BN30*1.05), $H30), BR30=""Novice 2"", CEILING((BN30*1.025), $H30), BR30=""Novice 3"", BN30+$H30, BR30=""Intermediate 2"", (IF((ISBETWEEN(((((BG30-BF30)/2))+BM30), BF"&amp;"30, BG30)), BN30, BN30+$H30)), BR30=""Intermediate 1"", (IF((ISBETWEEN((BM30-((BG30-BF30)/2)), BF30, BG30)), BN30+$H30, (FLOOR((BN30*0.9875), $H30)))), BR30=""Advanced 2"", (IF(AND(((BL30+((BE30-BD30)/2))&gt;BE30), ((BM30+((BG30-BF30)/2))&gt;BG30)), BN30+$H30, "&amp;"(BN30))), BR30=""Advanced 1"", (IFS(BU30&lt;BM30, BN30+$H30, BU30=BM30, (BN30), BU30&gt;BM30, (FLOOR((BN30*0.9875), $H30)))))), (AND(BG30=TRUE, BH30=""No"", BO30=TRUE, BP30=""No"")), (FLOOR((BN30*0.9), $H30)), (NOT((AND(BO30=TRUE, BP30=""Yes"")))), BN30)"),"---")</f>
        <v>---</v>
      </c>
      <c r="BW30" s="64" t="b">
        <v>0</v>
      </c>
      <c r="BX30" s="65"/>
      <c r="BY30" s="65"/>
      <c r="BZ30" s="65" t="str">
        <f t="shared" si="258"/>
        <v/>
      </c>
      <c r="CA30" s="66"/>
      <c r="CB30" s="53" t="str">
        <f t="shared" ref="CB30:CC30" si="259">IFERROR(BT30/2,BT30)</f>
        <v>---</v>
      </c>
      <c r="CC30" s="53" t="str">
        <f t="shared" si="259"/>
        <v>---</v>
      </c>
      <c r="CD30" s="53" t="str">
        <f t="shared" si="260"/>
        <v>---</v>
      </c>
      <c r="CE30" s="67"/>
      <c r="CF30" s="60"/>
      <c r="CG30" s="39" t="str">
        <f t="shared" si="261"/>
        <v>---</v>
      </c>
      <c r="CH30" s="46" t="str">
        <f t="shared" si="262"/>
        <v>---</v>
      </c>
      <c r="CI30" s="40" t="str">
        <f>IFERROR(__xludf.DUMMYFUNCTION("IFS((AND(BW30=TRUE, BX30=""Yes"")), (IFS(ISBLANK(BZ30), BV30, BZ30=""Novice 1"", CEILING((BV30*1.05), $H30), BZ30=""Novice 2"", CEILING((BV30*1.025), $H30), BZ30=""Novice 3"", BV30+$H30, BZ30=""Intermediate 2"", (IF((ISBETWEEN(((((BO30-BN30)/2))+BU30), BN"&amp;"30, BO30)), BV30, BV30+$H30)), BZ30=""Intermediate 1"", (IF((ISBETWEEN((BU30-((BO30-BN30)/2)), BN30, BO30)), BV30+$H30, (FLOOR((BV30*0.9875), $H30)))), BZ30=""Advanced 2"", (IF(AND(((BT30+((BM30-BL30)/2))&gt;BM30), ((BU30+((BO30-BN30)/2))&gt;BO30)), BV30+$H30, "&amp;"(BV30))), BZ30=""Advanced 1"", (IFS(CH30&lt;BU30, BV30+$H30, CH30=BU30, (BV30), CH30&gt;BU30, (FLOOR((BV30*0.9875), $H30)))))), (AND(BO30=TRUE, BP30=""No"", BW30=TRUE, BX30=""No"")), (FLOOR((BV30*0.9), $H30)), (NOT((AND(BW30=TRUE, BX30=""Yes"")))), BV30)"),"---")</f>
        <v>---</v>
      </c>
      <c r="CJ30" s="41" t="b">
        <v>0</v>
      </c>
      <c r="CK30" s="47"/>
      <c r="CL30" s="47"/>
      <c r="CM30" s="47" t="str">
        <f t="shared" si="263"/>
        <v/>
      </c>
      <c r="CN30" s="60"/>
      <c r="CO30" s="39" t="str">
        <f t="shared" si="264"/>
        <v>---</v>
      </c>
      <c r="CP30" s="46" t="str">
        <f t="shared" si="265"/>
        <v>---</v>
      </c>
      <c r="CQ30" s="40" t="str">
        <f>IFERROR(__xludf.DUMMYFUNCTION("IFS((AND(CJ30=TRUE, CK30=""Yes"")), (IFS(ISBLANK(CM30), CI30, CM30=""Novice 1"", CEILING((CI30*1.05), $H30), CM30=""Novice 2"", CEILING((CI30*1.025), $H30), CM30=""Novice 3"", CI30+$H30, CM30=""Intermediate 2"", (IF((ISBETWEEN(((((BW30-BV30)/2))+CH30), BV"&amp;"30, BW30)), CI30, CI30+$H30)), CM30=""Intermediate 1"", (IF((ISBETWEEN((CH30-((BW30-BV30)/2)), BV30, BW30)), CI30+$H30, (FLOOR((CI30*0.9875), $H30)))), CM30=""Advanced 2"", (IF(AND(((CG30+((BU30-BT30)/2))&gt;BU30), ((CH30+((BW30-BV30)/2))&gt;BW30)), CI30+$H30, "&amp;"(CI30))), CM30=""Advanced 1"", (IFS(CP30&lt;CH30, CI30+$H30, CP30=CH30, (CI30), CP30&gt;CH30, (FLOOR((CI30*0.9875), $H30)))))), (AND(BW30=TRUE, BX30=""No"", CJ30=TRUE, CK30=""No"")), (FLOOR((CI30*0.9), $H30)), (NOT((AND(CJ30=TRUE, CK30=""Yes"")))), CI30)"),"---")</f>
        <v>---</v>
      </c>
      <c r="CR30" s="41" t="b">
        <v>0</v>
      </c>
      <c r="CS30" s="47"/>
      <c r="CT30" s="47"/>
      <c r="CU30" s="47" t="str">
        <f t="shared" si="266"/>
        <v/>
      </c>
      <c r="CV30" s="60"/>
      <c r="CW30" s="39" t="str">
        <f t="shared" si="267"/>
        <v>---</v>
      </c>
      <c r="CX30" s="46" t="str">
        <f t="shared" si="268"/>
        <v>---</v>
      </c>
      <c r="CY30" s="40" t="str">
        <f>IFERROR(__xludf.DUMMYFUNCTION("IFS((AND(CR30=TRUE, CS30=""Yes"")), (IFS(ISBLANK(CU30), CQ30, CU30=""Novice 1"", CEILING((CQ30*1.05), $H30), CU30=""Novice 2"", CEILING((CQ30*1.025), $H30), CU30=""Novice 3"", CQ30+$H30, CU30=""Intermediate 2"", (IF((ISBETWEEN(((((CJ30-CI30)/2))+CP30), CI"&amp;"30, CJ30)), CQ30, CQ30+$H30)), CU30=""Intermediate 1"", (IF((ISBETWEEN((CP30-((CJ30-CI30)/2)), CI30, CJ30)), CQ30+$H30, (FLOOR((CQ30*0.9875), $H30)))), CU30=""Advanced 2"", (IF(AND(((CO30+((CH30-CG30)/2))&gt;CH30), ((CP30+((CJ30-CI30)/2))&gt;CJ30)), CQ30+$H30, "&amp;"(CQ30))), CU30=""Advanced 1"", (IFS(CX30&lt;CP30, CQ30+$H30, CX30=CP30, (CQ30), CX30&gt;CP30, (FLOOR((CQ30*0.9875), $H30)))))), (AND(CJ30=TRUE, CK30=""No"", CR30=TRUE, CS30=""No"")), (FLOOR((CQ30*0.9), $H30)), (NOT((AND(CR30=TRUE, CS30=""Yes"")))), CQ30)"),"---")</f>
        <v>---</v>
      </c>
      <c r="CZ30" s="41" t="b">
        <v>0</v>
      </c>
      <c r="DA30" s="47"/>
      <c r="DB30" s="47"/>
      <c r="DC30" s="47" t="str">
        <f t="shared" si="269"/>
        <v/>
      </c>
      <c r="DD30" s="60"/>
      <c r="DE30" s="61" t="str">
        <f t="shared" si="270"/>
        <v>---</v>
      </c>
      <c r="DF30" s="62" t="str">
        <f t="shared" si="271"/>
        <v>---</v>
      </c>
      <c r="DG30" s="63" t="str">
        <f>IFERROR(__xludf.DUMMYFUNCTION("IFS((AND(CZ30=TRUE, DA30=""Yes"")), (IFS(ISBLANK(DC30), CY30, DC30=""Novice 1"", CEILING((CY30*1.05), $H30), DC30=""Novice 2"", CEILING((CY30*1.025), $H30), DC30=""Novice 3"", CY30+$H30, DC30=""Intermediate 2"", (IF((ISBETWEEN(((((CR30-CQ30)/2))+CX30), CQ"&amp;"30, CR30)), CY30, CY30+$H30)), DC30=""Intermediate 1"", (IF((ISBETWEEN((CX30-((CR30-CQ30)/2)), CQ30, CR30)), CY30+$H30, (FLOOR((CY30*0.9875), $H30)))), DC30=""Advanced 2"", (IF(AND(((CW30+((CP30-CO30)/2))&gt;CP30), ((CX30+((CR30-CQ30)/2))&gt;CR30)), CY30+$H30, "&amp;"(CY30))), DC30=""Advanced 1"", (IFS(DF30&lt;CX30, CY30+$H30, DF30=CX30, (CY30), DF30&gt;CX30, (FLOOR((CY30*0.9875), $H30)))))), (AND(CR30=TRUE, CS30=""No"", CZ30=TRUE, DA30=""No"")), (FLOOR((CY30*0.9), $H30)), (NOT((AND(CZ30=TRUE, DA30=""Yes"")))), CY30)"),"---")</f>
        <v>---</v>
      </c>
      <c r="DH30" s="64" t="b">
        <v>0</v>
      </c>
      <c r="DI30" s="65"/>
      <c r="DJ30" s="65"/>
      <c r="DK30" s="65" t="str">
        <f t="shared" si="272"/>
        <v/>
      </c>
      <c r="DL30" s="66"/>
      <c r="DM30" s="53" t="str">
        <f t="shared" ref="DM30:DN30" si="273">IFERROR(DE30/2,DE30)</f>
        <v>---</v>
      </c>
      <c r="DN30" s="53" t="str">
        <f t="shared" si="273"/>
        <v>---</v>
      </c>
      <c r="DO30" s="53" t="str">
        <f t="shared" si="274"/>
        <v>---</v>
      </c>
      <c r="DP30" s="67"/>
      <c r="DQ30" s="60"/>
      <c r="DR30" s="39" t="str">
        <f t="shared" si="275"/>
        <v>---</v>
      </c>
      <c r="DS30" s="46" t="str">
        <f t="shared" si="276"/>
        <v>---</v>
      </c>
      <c r="DT30" s="40" t="str">
        <f>IFERROR(__xludf.DUMMYFUNCTION("IFS((AND(DH30=TRUE, DI30=""Yes"")), (IFS(ISBLANK(DK30), DG30, DK30=""Novice 1"", CEILING((DG30*1.05), $H30), DK30=""Novice 2"", CEILING((DG30*1.025), $H30), DK30=""Novice 3"", DG30+$H30, DK30=""Intermediate 2"", (IF((ISBETWEEN(((((CZ30-CY30)/2))+DF30), CY"&amp;"30, CZ30)), DG30, DG30+$H30)), DK30=""Intermediate 1"", (IF((ISBETWEEN((DF30-((CZ30-CY30)/2)), CY30, CZ30)), DG30+$H30, (FLOOR((DG30*0.9875), $H30)))), DK30=""Advanced 2"", (IF(AND(((DE30+((CX30-CW30)/2))&gt;CX30), ((DF30+((CZ30-CY30)/2))&gt;CZ30)), DG30+$H30, "&amp;"(DG30))), DK30=""Advanced 1"", (IFS(DS30&lt;DF30, DG30+$H30, DS30=DF30, (DG30), DS30&gt;DF30, (FLOOR((DG30*0.9875), $H30)))))), (AND(CZ30=TRUE, DA30=""No"", DH30=TRUE, DI30=""No"")), (FLOOR((DG30*0.9), $H30)), (NOT((AND(DH30=TRUE, DI30=""Yes"")))), DG30)"),"---")</f>
        <v>---</v>
      </c>
      <c r="DU30" s="41" t="b">
        <v>0</v>
      </c>
      <c r="DV30" s="47"/>
      <c r="DW30" s="47"/>
      <c r="DX30" s="47" t="str">
        <f t="shared" si="277"/>
        <v/>
      </c>
      <c r="DY30" s="60"/>
      <c r="DZ30" s="39" t="str">
        <f t="shared" si="278"/>
        <v>---</v>
      </c>
      <c r="EA30" s="46" t="str">
        <f t="shared" si="279"/>
        <v>---</v>
      </c>
      <c r="EB30" s="40" t="str">
        <f>IFERROR(__xludf.DUMMYFUNCTION("IFS((AND(DU30=TRUE, DV30=""Yes"")), (IFS(ISBLANK(DX30), DT30, DX30=""Novice 1"", CEILING((DT30*1.05), $H30), DX30=""Novice 2"", CEILING((DT30*1.025), $H30), DX30=""Novice 3"", DT30+$H30, DX30=""Intermediate 2"", (IF((ISBETWEEN(((((DH30-DG30)/2))+DS30), DG"&amp;"30, DH30)), DT30, DT30+$H30)), DX30=""Intermediate 1"", (IF((ISBETWEEN((DS30-((DH30-DG30)/2)), DG30, DH30)), DT30+$H30, (FLOOR((DT30*0.9875), $H30)))), DX30=""Advanced 2"", (IF(AND(((DR30+((DF30-DE30)/2))&gt;DF30), ((DS30+((DH30-DG30)/2))&gt;DH30)), DT30+$H30, "&amp;"(DT30))), DX30=""Advanced 1"", (IFS(EA30&lt;DS30, DT30+$H30, EA30=DS30, (DT30), EA30&gt;DS30, (FLOOR((DT30*0.9875), $H30)))))), (AND(DH30=TRUE, DI30=""No"", DU30=TRUE, DV30=""No"")), (FLOOR((DT30*0.9), $H30)), (NOT((AND(DU30=TRUE, DV30=""Yes"")))), DT30)"),"---")</f>
        <v>---</v>
      </c>
      <c r="EC30" s="41" t="b">
        <v>0</v>
      </c>
      <c r="ED30" s="47"/>
      <c r="EE30" s="47"/>
      <c r="EF30" s="47" t="str">
        <f t="shared" si="280"/>
        <v/>
      </c>
      <c r="EG30" s="60"/>
      <c r="EH30" s="39" t="str">
        <f t="shared" si="281"/>
        <v>---</v>
      </c>
      <c r="EI30" s="46" t="str">
        <f t="shared" si="282"/>
        <v>---</v>
      </c>
      <c r="EJ30" s="40" t="str">
        <f>IFERROR(__xludf.DUMMYFUNCTION("IFS((AND(EC30=TRUE, ED30=""Yes"")), (IFS(ISBLANK(EF30), EB30, EF30=""Novice 1"", CEILING((EB30*1.05), $H30), EF30=""Novice 2"", CEILING((EB30*1.025), $H30), EF30=""Novice 3"", EB30+$H30, EF30=""Intermediate 2"", (IF((ISBETWEEN(((((DU30-DT30)/2))+EA30), DT"&amp;"30, DU30)), EB30, EB30+$H30)), EF30=""Intermediate 1"", (IF((ISBETWEEN((EA30-((DU30-DT30)/2)), DT30, DU30)), EB30+$H30, (FLOOR((EB30*0.9875), $H30)))), EF30=""Advanced 2"", (IF(AND(((DZ30+((DS30-DR30)/2))&gt;DS30), ((EA30+((DU30-DT30)/2))&gt;DU30)), EB30+$H30, "&amp;"(EB30))), EF30=""Advanced 1"", (IFS(EI30&lt;EA30, EB30+$H30, EI30=EA30, (EB30), EI30&gt;EA30, (FLOOR((EB30*0.9875), $H30)))))), (AND(DU30=TRUE, DV30=""No"", EC30=TRUE, ED30=""No"")), (FLOOR((EB30*0.9), $H30)), (NOT((AND(EC30=TRUE, ED30=""Yes"")))), EB30)"),"---")</f>
        <v>---</v>
      </c>
      <c r="EK30" s="41" t="b">
        <v>0</v>
      </c>
      <c r="EL30" s="47"/>
      <c r="EM30" s="47"/>
      <c r="EN30" s="47" t="str">
        <f t="shared" si="283"/>
        <v/>
      </c>
      <c r="EO30" s="60"/>
      <c r="EP30" s="61" t="str">
        <f t="shared" si="284"/>
        <v>---</v>
      </c>
      <c r="EQ30" s="62" t="str">
        <f t="shared" si="285"/>
        <v>---</v>
      </c>
      <c r="ER30" s="63" t="str">
        <f>IFERROR(__xludf.DUMMYFUNCTION("IFS((AND(EK30=TRUE, EL30=""Yes"")), (IFS(ISBLANK(EN30), EJ30, EN30=""Novice 1"", CEILING((EJ30*1.05), $H30), EN30=""Novice 2"", CEILING((EJ30*1.025), $H30), EN30=""Novice 3"", EJ30+$H30, EN30=""Intermediate 2"", (IF((ISBETWEEN(((((EC30-EB30)/2))+EI30), EB"&amp;"30, EC30)), EJ30, EJ30+$H30)), EN30=""Intermediate 1"", (IF((ISBETWEEN((EI30-((EC30-EB30)/2)), EB30, EC30)), EJ30+$H30, (FLOOR((EJ30*0.9875), $H30)))), EN30=""Advanced 2"", (IF(AND(((EH30+((EA30-DZ30)/2))&gt;EA30), ((EI30+((EC30-EB30)/2))&gt;EC30)), EJ30+$H30, "&amp;"(EJ30))), EN30=""Advanced 1"", (IFS(EQ30&lt;EI30, EJ30+$H30, EQ30=EI30, (EJ30), EQ30&gt;EI30, (FLOOR((EJ30*0.9875), $H30)))))), (AND(EC30=TRUE, ED30=""No"", EK30=TRUE, EL30=""No"")), (FLOOR((EJ30*0.9), $H30)), (NOT((AND(EK30=TRUE, EL30=""Yes"")))), EJ30)"),"---")</f>
        <v>---</v>
      </c>
      <c r="ES30" s="64" t="b">
        <v>0</v>
      </c>
      <c r="ET30" s="65"/>
      <c r="EU30" s="65"/>
      <c r="EV30" s="65" t="str">
        <f t="shared" si="286"/>
        <v/>
      </c>
      <c r="EW30" s="66"/>
      <c r="EX30" s="53" t="str">
        <f t="shared" ref="EX30:EY30" si="287">IFERROR(EP30/2,EP30)</f>
        <v>---</v>
      </c>
      <c r="EY30" s="53" t="str">
        <f t="shared" si="287"/>
        <v>---</v>
      </c>
      <c r="EZ30" s="53" t="str">
        <f t="shared" si="288"/>
        <v>---</v>
      </c>
      <c r="FA30" s="67"/>
      <c r="FB30" s="86"/>
      <c r="FC30" s="57"/>
    </row>
    <row r="31" outlineLevel="1">
      <c r="A31" s="81" t="s">
        <v>58</v>
      </c>
      <c r="B31" s="58"/>
      <c r="C31" s="82" t="s">
        <v>53</v>
      </c>
      <c r="D31" s="83" t="s">
        <v>53</v>
      </c>
      <c r="E31" s="82" t="s">
        <v>53</v>
      </c>
      <c r="F31" s="83" t="s">
        <v>53</v>
      </c>
      <c r="G31" s="83" t="s">
        <v>53</v>
      </c>
      <c r="H31" s="84"/>
      <c r="I31" s="85"/>
      <c r="J31" s="59"/>
      <c r="K31" s="39" t="str">
        <f t="shared" si="232"/>
        <v>---</v>
      </c>
      <c r="L31" s="40" t="str">
        <f t="shared" si="233"/>
        <v>---</v>
      </c>
      <c r="M31" s="40" t="str">
        <f t="shared" si="234"/>
        <v>---</v>
      </c>
      <c r="N31" s="41" t="b">
        <v>0</v>
      </c>
      <c r="O31" s="42"/>
      <c r="P31" s="43"/>
      <c r="Q31" s="42" t="str">
        <f t="shared" si="235"/>
        <v/>
      </c>
      <c r="R31" s="60"/>
      <c r="S31" s="39" t="str">
        <f t="shared" si="236"/>
        <v>---</v>
      </c>
      <c r="T31" s="46" t="str">
        <f t="shared" si="237"/>
        <v>---</v>
      </c>
      <c r="U31" s="40" t="str">
        <f>IFERROR(__xludf.DUMMYFUNCTION("IFS((AND(N31=TRUE, O31=""Yes"")), (IFS(ISBLANK(Q31), M31, Q31=""Novice 1"", CEILING((M31*1.05), $H31), Q31=""Novice 2"", CEILING((M31*1.025), $H31), Q31=""Novice 3"", M31+$H31, Q31=""Intermediate 2"", (IF((ISBETWEEN(((((F31-E31)/2))+L31), E31, F31)), M31,"&amp;" M31+$H31)), Q31=""Intermediate 1"", (IF((ISBETWEEN((L31-((F31-E31)/2)), E31, F31)), M31+$H31, (FLOOR((M31*0.9875), $H31)))), Q31=""Advanced 2"", (IF(AND(((K31+((D31-C31)/2))&gt;D31), ((L31+((F31-E31)/2))&gt;F31)), M31+$H31, (M31))), Q31=""Advanced 1"", (IFS(T3"&amp;"1&lt;L31, M31+$H31, T31=L31, (M31), T31&gt;L31, (FLOOR((M31*0.9875), $H31)))))), (AND(F31=TRUE, G31=""No"", N31=TRUE, O31=""No"")), (FLOOR((M31*0.9), $H31)), (NOT((AND(N31=TRUE, O31=""Yes"")))), M31)"),"---")</f>
        <v>---</v>
      </c>
      <c r="V31" s="41" t="b">
        <v>0</v>
      </c>
      <c r="W31" s="47"/>
      <c r="X31" s="47"/>
      <c r="Y31" s="47" t="str">
        <f t="shared" si="238"/>
        <v/>
      </c>
      <c r="Z31" s="60"/>
      <c r="AA31" s="39" t="str">
        <f t="shared" si="239"/>
        <v>---</v>
      </c>
      <c r="AB31" s="46" t="str">
        <f t="shared" si="240"/>
        <v>---</v>
      </c>
      <c r="AC31" s="40" t="str">
        <f>IFERROR(__xludf.DUMMYFUNCTION("IFS((AND(V31=TRUE, W31=""Yes"")), (IFS(ISBLANK(Y31), U31, Y31=""Novice 1"", CEILING((U31*1.05), $H31), Y31=""Novice 2"", CEILING((U31*1.025), $H31), Y31=""Novice 3"", U31+$H31, Y31=""Intermediate 2"", (IF((ISBETWEEN(((((N31-M31)/2))+T31), M31, N31)), U31,"&amp;" U31+$H31)), Y31=""Intermediate 1"", (IF((ISBETWEEN((T31-((N31-M31)/2)), M31, N31)), U31+$H31, (FLOOR((U31*0.9875), $H31)))), Y31=""Advanced 2"", (IF(AND(((S31+((L31-K31)/2))&gt;L31), ((T31+((N31-M31)/2))&gt;N31)), U31+$H31, (U31))), Y31=""Advanced 1"", (IFS(AB"&amp;"31&lt;T31, U31+$H31, AB31=T31, (U31), AB31&gt;T31, (FLOOR((U31*0.9875), $H31)))))), (AND(N31=TRUE, O31=""No"", V31=TRUE, W31=""No"")), (FLOOR((U31*0.9), $H31)), (NOT((AND(V31=TRUE, W31=""Yes"")))), U31)"),"---")</f>
        <v>---</v>
      </c>
      <c r="AD31" s="41" t="b">
        <v>0</v>
      </c>
      <c r="AE31" s="47"/>
      <c r="AF31" s="47"/>
      <c r="AG31" s="47" t="str">
        <f t="shared" si="241"/>
        <v/>
      </c>
      <c r="AH31" s="60"/>
      <c r="AI31" s="48" t="str">
        <f t="shared" si="242"/>
        <v>---</v>
      </c>
      <c r="AJ31" s="49" t="str">
        <f t="shared" si="243"/>
        <v>---</v>
      </c>
      <c r="AK31" s="50" t="str">
        <f>IFERROR(__xludf.DUMMYFUNCTION("IFS((AND(AD31=TRUE, AE31=""Yes"")), (IFS(ISBLANK(AG31), AC31, AG31=""Novice 1"", CEILING((AC31*1.05), $H31), AG31=""Novice 2"", CEILING((AC31*1.025), $H31), AG31=""Novice 3"", AC31+$H31, AG31=""Intermediate 2"", (IF((ISBETWEEN(((((V31-U31)/2))+AB31), U31,"&amp;" V31)), AC31, AC31+$H31)), AG31=""Intermediate 1"", (IF((ISBETWEEN((AB31-((V31-U31)/2)), U31, V31)), AC31+$H31, (FLOOR((AC31*0.9875), $H31)))), AG31=""Advanced 2"", (IF(AND(((AA31+((T31-S31)/2))&gt;T31), ((AB31+((V31-U31)/2))&gt;V31)), AC31+$H31, (AC31))), AG31"&amp;"=""Advanced 1"", (IFS(AJ31&lt;AB31, AC31+$H31, AJ31=AB31, (AC31), AJ31&gt;AB31, (FLOOR((AC31*0.9875), $H31)))))), (AND(V31=TRUE, W31=""No"", AD31=TRUE, AE31=""No"")), (FLOOR((AC31*0.9), $H31)), (NOT((AND(AD31=TRUE, AE31=""Yes"")))), AC31)"),"---")</f>
        <v>---</v>
      </c>
      <c r="AL31" s="51" t="b">
        <v>0</v>
      </c>
      <c r="AM31" s="52"/>
      <c r="AN31" s="52"/>
      <c r="AO31" s="52" t="str">
        <f t="shared" si="244"/>
        <v/>
      </c>
      <c r="AP31" s="69"/>
      <c r="AQ31" s="53" t="str">
        <f t="shared" ref="AQ31:AR31" si="289">IFERROR(AI31/2,AI31)</f>
        <v>---</v>
      </c>
      <c r="AR31" s="53" t="str">
        <f t="shared" si="289"/>
        <v>---</v>
      </c>
      <c r="AS31" s="53" t="str">
        <f t="shared" si="246"/>
        <v>---</v>
      </c>
      <c r="AT31" s="67"/>
      <c r="AU31" s="60"/>
      <c r="AV31" s="39" t="str">
        <f t="shared" si="247"/>
        <v>---</v>
      </c>
      <c r="AW31" s="46" t="str">
        <f t="shared" si="248"/>
        <v>---</v>
      </c>
      <c r="AX31" s="40" t="str">
        <f>IFERROR(__xludf.DUMMYFUNCTION("IFS((AND(AL31=TRUE, AM31=""Yes"")), (IFS(ISBLANK(AO31), AK31, AO31=""Novice 1"", CEILING((AK31*1.05), $H31), AO31=""Novice 2"", CEILING((AK31*1.025), $H31), AO31=""Novice 3"", AK31+$H31, AO31=""Intermediate 2"", (IF((ISBETWEEN(((((AD31-AC31)/2))+AJ31), AC"&amp;"31, AD31)), AK31, AK31+$H31)), AO31=""Intermediate 1"", (IF((ISBETWEEN((AJ31-((AD31-AC31)/2)), AC31, AD31)), AK31+$H31, (FLOOR((AK31*0.9875), $H31)))), AO31=""Advanced 2"", (IF(AND(((AI31+((AB31-AA31)/2))&gt;AB31), ((AJ31+((AD31-AC31)/2))&gt;AD31)), AK31+$H31, "&amp;"(AK31))), AO31=""Advanced 1"", (IFS(AW31&lt;AJ31, AK31+$H31, AW31=AJ31, (AK31), AW31&gt;AJ31, (FLOOR((AK31*0.9875), $H31)))))), (AND(AD31=TRUE, AE31=""No"", AL31=TRUE, AM31=""No"")), (FLOOR((AK31*0.9), $H31)), (NOT((AND(AL31=TRUE, AM31=""Yes"")))), AK31)"),"---")</f>
        <v>---</v>
      </c>
      <c r="AY31" s="41" t="b">
        <v>0</v>
      </c>
      <c r="AZ31" s="47"/>
      <c r="BA31" s="47"/>
      <c r="BB31" s="47" t="str">
        <f t="shared" si="249"/>
        <v/>
      </c>
      <c r="BC31" s="60"/>
      <c r="BD31" s="39" t="str">
        <f t="shared" si="250"/>
        <v>---</v>
      </c>
      <c r="BE31" s="46" t="str">
        <f t="shared" si="251"/>
        <v>---</v>
      </c>
      <c r="BF31" s="40" t="str">
        <f>IFERROR(__xludf.DUMMYFUNCTION("IFS((AND(AY31=TRUE, AZ31=""Yes"")), (IFS(ISBLANK(BB31), AX31, BB31=""Novice 1"", CEILING((AX31*1.05), $H31), BB31=""Novice 2"", CEILING((AX31*1.025), $H31), BB31=""Novice 3"", AX31+$H31, BB31=""Intermediate 2"", (IF((ISBETWEEN(((((AL31-AK31)/2))+AW31), AK"&amp;"31, AL31)), AX31, AX31+$H31)), BB31=""Intermediate 1"", (IF((ISBETWEEN((AW31-((AL31-AK31)/2)), AK31, AL31)), AX31+$H31, (FLOOR((AX31*0.9875), $H31)))), BB31=""Advanced 2"", (IF(AND(((AV31+((AJ31-AI31)/2))&gt;AJ31), ((AW31+((AL31-AK31)/2))&gt;AL31)), AX31+$H31, "&amp;"(AX31))), BB31=""Advanced 1"", (IFS(BE31&lt;AW31, AX31+$H31, BE31=AW31, (AX31), BE31&gt;AW31, (FLOOR((AX31*0.9875), $H31)))))), (AND(AL31=TRUE, AM31=""No"", AY31=TRUE, AZ31=""No"")), (FLOOR((AX31*0.9), $H31)), (NOT((AND(AY31=TRUE, AZ31=""Yes"")))), AX31)"),"---")</f>
        <v>---</v>
      </c>
      <c r="BG31" s="41" t="b">
        <v>0</v>
      </c>
      <c r="BH31" s="47"/>
      <c r="BI31" s="47"/>
      <c r="BJ31" s="47" t="str">
        <f t="shared" si="252"/>
        <v/>
      </c>
      <c r="BK31" s="60"/>
      <c r="BL31" s="39" t="str">
        <f t="shared" si="253"/>
        <v>---</v>
      </c>
      <c r="BM31" s="46" t="str">
        <f t="shared" si="254"/>
        <v>---</v>
      </c>
      <c r="BN31" s="40" t="str">
        <f>IFERROR(__xludf.DUMMYFUNCTION("IFS((AND(BG31=TRUE, BH31=""Yes"")), (IFS(ISBLANK(BJ31), BF31, BJ31=""Novice 1"", CEILING((BF31*1.05), $H31), BJ31=""Novice 2"", CEILING((BF31*1.025), $H31), BJ31=""Novice 3"", BF31+$H31, BJ31=""Intermediate 2"", (IF((ISBETWEEN(((((AY31-AX31)/2))+BE31), AX"&amp;"31, AY31)), BF31, BF31+$H31)), BJ31=""Intermediate 1"", (IF((ISBETWEEN((BE31-((AY31-AX31)/2)), AX31, AY31)), BF31+$H31, (FLOOR((BF31*0.9875), $H31)))), BJ31=""Advanced 2"", (IF(AND(((BD31+((AW31-AV31)/2))&gt;AW31), ((BE31+((AY31-AX31)/2))&gt;AY31)), BF31+$H31, "&amp;"(BF31))), BJ31=""Advanced 1"", (IFS(BM31&lt;BE31, BF31+$H31, BM31=BE31, (BF31), BM31&gt;BE31, (FLOOR((BF31*0.9875), $H31)))))), (AND(AY31=TRUE, AZ31=""No"", BG31=TRUE, BH31=""No"")), (FLOOR((BF31*0.9), $H31)), (NOT((AND(BG31=TRUE, BH31=""Yes"")))), BF31)"),"---")</f>
        <v>---</v>
      </c>
      <c r="BO31" s="41" t="b">
        <v>0</v>
      </c>
      <c r="BP31" s="47"/>
      <c r="BQ31" s="47"/>
      <c r="BR31" s="47" t="str">
        <f t="shared" si="255"/>
        <v/>
      </c>
      <c r="BS31" s="60"/>
      <c r="BT31" s="48" t="str">
        <f t="shared" si="256"/>
        <v>---</v>
      </c>
      <c r="BU31" s="49" t="str">
        <f t="shared" si="257"/>
        <v>---</v>
      </c>
      <c r="BV31" s="50" t="str">
        <f>IFERROR(__xludf.DUMMYFUNCTION("IFS((AND(BO31=TRUE, BP31=""Yes"")), (IFS(ISBLANK(BR31), BN31, BR31=""Novice 1"", CEILING((BN31*1.05), $H31), BR31=""Novice 2"", CEILING((BN31*1.025), $H31), BR31=""Novice 3"", BN31+$H31, BR31=""Intermediate 2"", (IF((ISBETWEEN(((((BG31-BF31)/2))+BM31), BF"&amp;"31, BG31)), BN31, BN31+$H31)), BR31=""Intermediate 1"", (IF((ISBETWEEN((BM31-((BG31-BF31)/2)), BF31, BG31)), BN31+$H31, (FLOOR((BN31*0.9875), $H31)))), BR31=""Advanced 2"", (IF(AND(((BL31+((BE31-BD31)/2))&gt;BE31), ((BM31+((BG31-BF31)/2))&gt;BG31)), BN31+$H31, "&amp;"(BN31))), BR31=""Advanced 1"", (IFS(BU31&lt;BM31, BN31+$H31, BU31=BM31, (BN31), BU31&gt;BM31, (FLOOR((BN31*0.9875), $H31)))))), (AND(BG31=TRUE, BH31=""No"", BO31=TRUE, BP31=""No"")), (FLOOR((BN31*0.9), $H31)), (NOT((AND(BO31=TRUE, BP31=""Yes"")))), BN31)"),"---")</f>
        <v>---</v>
      </c>
      <c r="BW31" s="51" t="b">
        <v>0</v>
      </c>
      <c r="BX31" s="52"/>
      <c r="BY31" s="52"/>
      <c r="BZ31" s="52" t="str">
        <f t="shared" si="258"/>
        <v/>
      </c>
      <c r="CA31" s="69"/>
      <c r="CB31" s="53" t="str">
        <f t="shared" ref="CB31:CC31" si="290">IFERROR(BT31/2,BT31)</f>
        <v>---</v>
      </c>
      <c r="CC31" s="53" t="str">
        <f t="shared" si="290"/>
        <v>---</v>
      </c>
      <c r="CD31" s="53" t="str">
        <f t="shared" si="260"/>
        <v>---</v>
      </c>
      <c r="CE31" s="67"/>
      <c r="CF31" s="60"/>
      <c r="CG31" s="39" t="str">
        <f t="shared" si="261"/>
        <v>---</v>
      </c>
      <c r="CH31" s="46" t="str">
        <f t="shared" si="262"/>
        <v>---</v>
      </c>
      <c r="CI31" s="40" t="str">
        <f>IFERROR(__xludf.DUMMYFUNCTION("IFS((AND(BW31=TRUE, BX31=""Yes"")), (IFS(ISBLANK(BZ31), BV31, BZ31=""Novice 1"", CEILING((BV31*1.05), $H31), BZ31=""Novice 2"", CEILING((BV31*1.025), $H31), BZ31=""Novice 3"", BV31+$H31, BZ31=""Intermediate 2"", (IF((ISBETWEEN(((((BO31-BN31)/2))+BU31), BN"&amp;"31, BO31)), BV31, BV31+$H31)), BZ31=""Intermediate 1"", (IF((ISBETWEEN((BU31-((BO31-BN31)/2)), BN31, BO31)), BV31+$H31, (FLOOR((BV31*0.9875), $H31)))), BZ31=""Advanced 2"", (IF(AND(((BT31+((BM31-BL31)/2))&gt;BM31), ((BU31+((BO31-BN31)/2))&gt;BO31)), BV31+$H31, "&amp;"(BV31))), BZ31=""Advanced 1"", (IFS(CH31&lt;BU31, BV31+$H31, CH31=BU31, (BV31), CH31&gt;BU31, (FLOOR((BV31*0.9875), $H31)))))), (AND(BO31=TRUE, BP31=""No"", BW31=TRUE, BX31=""No"")), (FLOOR((BV31*0.9), $H31)), (NOT((AND(BW31=TRUE, BX31=""Yes"")))), BV31)"),"---")</f>
        <v>---</v>
      </c>
      <c r="CJ31" s="41" t="b">
        <v>0</v>
      </c>
      <c r="CK31" s="47"/>
      <c r="CL31" s="47"/>
      <c r="CM31" s="47" t="str">
        <f t="shared" si="263"/>
        <v/>
      </c>
      <c r="CN31" s="60"/>
      <c r="CO31" s="39" t="str">
        <f t="shared" si="264"/>
        <v>---</v>
      </c>
      <c r="CP31" s="46" t="str">
        <f t="shared" si="265"/>
        <v>---</v>
      </c>
      <c r="CQ31" s="40" t="str">
        <f>IFERROR(__xludf.DUMMYFUNCTION("IFS((AND(CJ31=TRUE, CK31=""Yes"")), (IFS(ISBLANK(CM31), CI31, CM31=""Novice 1"", CEILING((CI31*1.05), $H31), CM31=""Novice 2"", CEILING((CI31*1.025), $H31), CM31=""Novice 3"", CI31+$H31, CM31=""Intermediate 2"", (IF((ISBETWEEN(((((BW31-BV31)/2))+CH31), BV"&amp;"31, BW31)), CI31, CI31+$H31)), CM31=""Intermediate 1"", (IF((ISBETWEEN((CH31-((BW31-BV31)/2)), BV31, BW31)), CI31+$H31, (FLOOR((CI31*0.9875), $H31)))), CM31=""Advanced 2"", (IF(AND(((CG31+((BU31-BT31)/2))&gt;BU31), ((CH31+((BW31-BV31)/2))&gt;BW31)), CI31+$H31, "&amp;"(CI31))), CM31=""Advanced 1"", (IFS(CP31&lt;CH31, CI31+$H31, CP31=CH31, (CI31), CP31&gt;CH31, (FLOOR((CI31*0.9875), $H31)))))), (AND(BW31=TRUE, BX31=""No"", CJ31=TRUE, CK31=""No"")), (FLOOR((CI31*0.9), $H31)), (NOT((AND(CJ31=TRUE, CK31=""Yes"")))), CI31)"),"---")</f>
        <v>---</v>
      </c>
      <c r="CR31" s="41" t="b">
        <v>0</v>
      </c>
      <c r="CS31" s="47"/>
      <c r="CT31" s="47"/>
      <c r="CU31" s="47" t="str">
        <f t="shared" si="266"/>
        <v/>
      </c>
      <c r="CV31" s="60"/>
      <c r="CW31" s="39" t="str">
        <f t="shared" si="267"/>
        <v>---</v>
      </c>
      <c r="CX31" s="46" t="str">
        <f t="shared" si="268"/>
        <v>---</v>
      </c>
      <c r="CY31" s="40" t="str">
        <f>IFERROR(__xludf.DUMMYFUNCTION("IFS((AND(CR31=TRUE, CS31=""Yes"")), (IFS(ISBLANK(CU31), CQ31, CU31=""Novice 1"", CEILING((CQ31*1.05), $H31), CU31=""Novice 2"", CEILING((CQ31*1.025), $H31), CU31=""Novice 3"", CQ31+$H31, CU31=""Intermediate 2"", (IF((ISBETWEEN(((((CJ31-CI31)/2))+CP31), CI"&amp;"31, CJ31)), CQ31, CQ31+$H31)), CU31=""Intermediate 1"", (IF((ISBETWEEN((CP31-((CJ31-CI31)/2)), CI31, CJ31)), CQ31+$H31, (FLOOR((CQ31*0.9875), $H31)))), CU31=""Advanced 2"", (IF(AND(((CO31+((CH31-CG31)/2))&gt;CH31), ((CP31+((CJ31-CI31)/2))&gt;CJ31)), CQ31+$H31, "&amp;"(CQ31))), CU31=""Advanced 1"", (IFS(CX31&lt;CP31, CQ31+$H31, CX31=CP31, (CQ31), CX31&gt;CP31, (FLOOR((CQ31*0.9875), $H31)))))), (AND(CJ31=TRUE, CK31=""No"", CR31=TRUE, CS31=""No"")), (FLOOR((CQ31*0.9), $H31)), (NOT((AND(CR31=TRUE, CS31=""Yes"")))), CQ31)"),"---")</f>
        <v>---</v>
      </c>
      <c r="CZ31" s="41" t="b">
        <v>0</v>
      </c>
      <c r="DA31" s="47"/>
      <c r="DB31" s="47"/>
      <c r="DC31" s="47" t="str">
        <f t="shared" si="269"/>
        <v/>
      </c>
      <c r="DD31" s="60"/>
      <c r="DE31" s="48" t="str">
        <f t="shared" si="270"/>
        <v>---</v>
      </c>
      <c r="DF31" s="49" t="str">
        <f t="shared" si="271"/>
        <v>---</v>
      </c>
      <c r="DG31" s="50" t="str">
        <f>IFERROR(__xludf.DUMMYFUNCTION("IFS((AND(CZ31=TRUE, DA31=""Yes"")), (IFS(ISBLANK(DC31), CY31, DC31=""Novice 1"", CEILING((CY31*1.05), $H31), DC31=""Novice 2"", CEILING((CY31*1.025), $H31), DC31=""Novice 3"", CY31+$H31, DC31=""Intermediate 2"", (IF((ISBETWEEN(((((CR31-CQ31)/2))+CX31), CQ"&amp;"31, CR31)), CY31, CY31+$H31)), DC31=""Intermediate 1"", (IF((ISBETWEEN((CX31-((CR31-CQ31)/2)), CQ31, CR31)), CY31+$H31, (FLOOR((CY31*0.9875), $H31)))), DC31=""Advanced 2"", (IF(AND(((CW31+((CP31-CO31)/2))&gt;CP31), ((CX31+((CR31-CQ31)/2))&gt;CR31)), CY31+$H31, "&amp;"(CY31))), DC31=""Advanced 1"", (IFS(DF31&lt;CX31, CY31+$H31, DF31=CX31, (CY31), DF31&gt;CX31, (FLOOR((CY31*0.9875), $H31)))))), (AND(CR31=TRUE, CS31=""No"", CZ31=TRUE, DA31=""No"")), (FLOOR((CY31*0.9), $H31)), (NOT((AND(CZ31=TRUE, DA31=""Yes"")))), CY31)"),"---")</f>
        <v>---</v>
      </c>
      <c r="DH31" s="51" t="b">
        <v>0</v>
      </c>
      <c r="DI31" s="52"/>
      <c r="DJ31" s="52"/>
      <c r="DK31" s="52" t="str">
        <f t="shared" si="272"/>
        <v/>
      </c>
      <c r="DL31" s="69"/>
      <c r="DM31" s="53" t="str">
        <f t="shared" ref="DM31:DN31" si="291">IFERROR(DE31/2,DE31)</f>
        <v>---</v>
      </c>
      <c r="DN31" s="53" t="str">
        <f t="shared" si="291"/>
        <v>---</v>
      </c>
      <c r="DO31" s="53" t="str">
        <f t="shared" si="274"/>
        <v>---</v>
      </c>
      <c r="DP31" s="67"/>
      <c r="DQ31" s="60"/>
      <c r="DR31" s="39" t="str">
        <f t="shared" si="275"/>
        <v>---</v>
      </c>
      <c r="DS31" s="46" t="str">
        <f t="shared" si="276"/>
        <v>---</v>
      </c>
      <c r="DT31" s="40" t="str">
        <f>IFERROR(__xludf.DUMMYFUNCTION("IFS((AND(DH31=TRUE, DI31=""Yes"")), (IFS(ISBLANK(DK31), DG31, DK31=""Novice 1"", CEILING((DG31*1.05), $H31), DK31=""Novice 2"", CEILING((DG31*1.025), $H31), DK31=""Novice 3"", DG31+$H31, DK31=""Intermediate 2"", (IF((ISBETWEEN(((((CZ31-CY31)/2))+DF31), CY"&amp;"31, CZ31)), DG31, DG31+$H31)), DK31=""Intermediate 1"", (IF((ISBETWEEN((DF31-((CZ31-CY31)/2)), CY31, CZ31)), DG31+$H31, (FLOOR((DG31*0.9875), $H31)))), DK31=""Advanced 2"", (IF(AND(((DE31+((CX31-CW31)/2))&gt;CX31), ((DF31+((CZ31-CY31)/2))&gt;CZ31)), DG31+$H31, "&amp;"(DG31))), DK31=""Advanced 1"", (IFS(DS31&lt;DF31, DG31+$H31, DS31=DF31, (DG31), DS31&gt;DF31, (FLOOR((DG31*0.9875), $H31)))))), (AND(CZ31=TRUE, DA31=""No"", DH31=TRUE, DI31=""No"")), (FLOOR((DG31*0.9), $H31)), (NOT((AND(DH31=TRUE, DI31=""Yes"")))), DG31)"),"---")</f>
        <v>---</v>
      </c>
      <c r="DU31" s="41" t="b">
        <v>0</v>
      </c>
      <c r="DV31" s="47"/>
      <c r="DW31" s="47"/>
      <c r="DX31" s="47" t="str">
        <f t="shared" si="277"/>
        <v/>
      </c>
      <c r="DY31" s="60"/>
      <c r="DZ31" s="39" t="str">
        <f t="shared" si="278"/>
        <v>---</v>
      </c>
      <c r="EA31" s="46" t="str">
        <f t="shared" si="279"/>
        <v>---</v>
      </c>
      <c r="EB31" s="40" t="str">
        <f>IFERROR(__xludf.DUMMYFUNCTION("IFS((AND(DU31=TRUE, DV31=""Yes"")), (IFS(ISBLANK(DX31), DT31, DX31=""Novice 1"", CEILING((DT31*1.05), $H31), DX31=""Novice 2"", CEILING((DT31*1.025), $H31), DX31=""Novice 3"", DT31+$H31, DX31=""Intermediate 2"", (IF((ISBETWEEN(((((DH31-DG31)/2))+DS31), DG"&amp;"31, DH31)), DT31, DT31+$H31)), DX31=""Intermediate 1"", (IF((ISBETWEEN((DS31-((DH31-DG31)/2)), DG31, DH31)), DT31+$H31, (FLOOR((DT31*0.9875), $H31)))), DX31=""Advanced 2"", (IF(AND(((DR31+((DF31-DE31)/2))&gt;DF31), ((DS31+((DH31-DG31)/2))&gt;DH31)), DT31+$H31, "&amp;"(DT31))), DX31=""Advanced 1"", (IFS(EA31&lt;DS31, DT31+$H31, EA31=DS31, (DT31), EA31&gt;DS31, (FLOOR((DT31*0.9875), $H31)))))), (AND(DH31=TRUE, DI31=""No"", DU31=TRUE, DV31=""No"")), (FLOOR((DT31*0.9), $H31)), (NOT((AND(DU31=TRUE, DV31=""Yes"")))), DT31)"),"---")</f>
        <v>---</v>
      </c>
      <c r="EC31" s="41" t="b">
        <v>0</v>
      </c>
      <c r="ED31" s="47"/>
      <c r="EE31" s="47"/>
      <c r="EF31" s="47" t="str">
        <f t="shared" si="280"/>
        <v/>
      </c>
      <c r="EG31" s="60"/>
      <c r="EH31" s="39" t="str">
        <f t="shared" si="281"/>
        <v>---</v>
      </c>
      <c r="EI31" s="46" t="str">
        <f t="shared" si="282"/>
        <v>---</v>
      </c>
      <c r="EJ31" s="40" t="str">
        <f>IFERROR(__xludf.DUMMYFUNCTION("IFS((AND(EC31=TRUE, ED31=""Yes"")), (IFS(ISBLANK(EF31), EB31, EF31=""Novice 1"", CEILING((EB31*1.05), $H31), EF31=""Novice 2"", CEILING((EB31*1.025), $H31), EF31=""Novice 3"", EB31+$H31, EF31=""Intermediate 2"", (IF((ISBETWEEN(((((DU31-DT31)/2))+EA31), DT"&amp;"31, DU31)), EB31, EB31+$H31)), EF31=""Intermediate 1"", (IF((ISBETWEEN((EA31-((DU31-DT31)/2)), DT31, DU31)), EB31+$H31, (FLOOR((EB31*0.9875), $H31)))), EF31=""Advanced 2"", (IF(AND(((DZ31+((DS31-DR31)/2))&gt;DS31), ((EA31+((DU31-DT31)/2))&gt;DU31)), EB31+$H31, "&amp;"(EB31))), EF31=""Advanced 1"", (IFS(EI31&lt;EA31, EB31+$H31, EI31=EA31, (EB31), EI31&gt;EA31, (FLOOR((EB31*0.9875), $H31)))))), (AND(DU31=TRUE, DV31=""No"", EC31=TRUE, ED31=""No"")), (FLOOR((EB31*0.9), $H31)), (NOT((AND(EC31=TRUE, ED31=""Yes"")))), EB31)"),"---")</f>
        <v>---</v>
      </c>
      <c r="EK31" s="41" t="b">
        <v>0</v>
      </c>
      <c r="EL31" s="47"/>
      <c r="EM31" s="47"/>
      <c r="EN31" s="47" t="str">
        <f t="shared" si="283"/>
        <v/>
      </c>
      <c r="EO31" s="60"/>
      <c r="EP31" s="48" t="str">
        <f t="shared" si="284"/>
        <v>---</v>
      </c>
      <c r="EQ31" s="49" t="str">
        <f t="shared" si="285"/>
        <v>---</v>
      </c>
      <c r="ER31" s="50" t="str">
        <f>IFERROR(__xludf.DUMMYFUNCTION("IFS((AND(EK31=TRUE, EL31=""Yes"")), (IFS(ISBLANK(EN31), EJ31, EN31=""Novice 1"", CEILING((EJ31*1.05), $H31), EN31=""Novice 2"", CEILING((EJ31*1.025), $H31), EN31=""Novice 3"", EJ31+$H31, EN31=""Intermediate 2"", (IF((ISBETWEEN(((((EC31-EB31)/2))+EI31), EB"&amp;"31, EC31)), EJ31, EJ31+$H31)), EN31=""Intermediate 1"", (IF((ISBETWEEN((EI31-((EC31-EB31)/2)), EB31, EC31)), EJ31+$H31, (FLOOR((EJ31*0.9875), $H31)))), EN31=""Advanced 2"", (IF(AND(((EH31+((EA31-DZ31)/2))&gt;EA31), ((EI31+((EC31-EB31)/2))&gt;EC31)), EJ31+$H31, "&amp;"(EJ31))), EN31=""Advanced 1"", (IFS(EQ31&lt;EI31, EJ31+$H31, EQ31=EI31, (EJ31), EQ31&gt;EI31, (FLOOR((EJ31*0.9875), $H31)))))), (AND(EC31=TRUE, ED31=""No"", EK31=TRUE, EL31=""No"")), (FLOOR((EJ31*0.9), $H31)), (NOT((AND(EK31=TRUE, EL31=""Yes"")))), EJ31)"),"---")</f>
        <v>---</v>
      </c>
      <c r="ES31" s="51" t="b">
        <v>0</v>
      </c>
      <c r="ET31" s="52"/>
      <c r="EU31" s="52"/>
      <c r="EV31" s="52" t="str">
        <f t="shared" si="286"/>
        <v/>
      </c>
      <c r="EW31" s="69"/>
      <c r="EX31" s="53" t="str">
        <f t="shared" ref="EX31:EY31" si="292">IFERROR(EP31/2,EP31)</f>
        <v>---</v>
      </c>
      <c r="EY31" s="53" t="str">
        <f t="shared" si="292"/>
        <v>---</v>
      </c>
      <c r="EZ31" s="53" t="str">
        <f t="shared" si="288"/>
        <v>---</v>
      </c>
      <c r="FA31" s="67"/>
      <c r="FB31" s="86"/>
      <c r="FC31" s="57"/>
    </row>
    <row r="32" outlineLevel="1">
      <c r="A32" s="81" t="s">
        <v>59</v>
      </c>
      <c r="B32" s="58"/>
      <c r="C32" s="82" t="s">
        <v>53</v>
      </c>
      <c r="D32" s="83" t="s">
        <v>53</v>
      </c>
      <c r="E32" s="82" t="s">
        <v>53</v>
      </c>
      <c r="F32" s="83" t="s">
        <v>53</v>
      </c>
      <c r="G32" s="83" t="s">
        <v>53</v>
      </c>
      <c r="H32" s="84"/>
      <c r="I32" s="85"/>
      <c r="J32" s="59"/>
      <c r="K32" s="39" t="str">
        <f t="shared" si="232"/>
        <v>---</v>
      </c>
      <c r="L32" s="40" t="str">
        <f t="shared" si="233"/>
        <v>---</v>
      </c>
      <c r="M32" s="40" t="str">
        <f t="shared" si="234"/>
        <v>---</v>
      </c>
      <c r="N32" s="41" t="b">
        <v>0</v>
      </c>
      <c r="O32" s="42"/>
      <c r="P32" s="43"/>
      <c r="Q32" s="42" t="str">
        <f t="shared" si="235"/>
        <v/>
      </c>
      <c r="R32" s="60"/>
      <c r="S32" s="39" t="str">
        <f t="shared" si="236"/>
        <v>---</v>
      </c>
      <c r="T32" s="46" t="str">
        <f t="shared" si="237"/>
        <v>---</v>
      </c>
      <c r="U32" s="40" t="str">
        <f>IFERROR(__xludf.DUMMYFUNCTION("IFS((AND(N32=TRUE, O32=""Yes"")), (IFS(ISBLANK(Q32), M32, Q32=""Novice 1"", CEILING((M32*1.05), $H32), Q32=""Novice 2"", CEILING((M32*1.025), $H32), Q32=""Novice 3"", M32+$H32, Q32=""Intermediate 2"", (IF((ISBETWEEN(((((F32-E32)/2))+L32), E32, F32)), M32,"&amp;" M32+$H32)), Q32=""Intermediate 1"", (IF((ISBETWEEN((L32-((F32-E32)/2)), E32, F32)), M32+$H32, (FLOOR((M32*0.9875), $H32)))), Q32=""Advanced 2"", (IF(AND(((K32+((D32-C32)/2))&gt;D32), ((L32+((F32-E32)/2))&gt;F32)), M32+$H32, (M32))), Q32=""Advanced 1"", (IFS(T3"&amp;"2&lt;L32, M32+$H32, T32=L32, (M32), T32&gt;L32, (FLOOR((M32*0.9875), $H32)))))), (AND(F32=TRUE, G32=""No"", N32=TRUE, O32=""No"")), (FLOOR((M32*0.9), $H32)), (NOT((AND(N32=TRUE, O32=""Yes"")))), M32)"),"---")</f>
        <v>---</v>
      </c>
      <c r="V32" s="41" t="b">
        <v>0</v>
      </c>
      <c r="W32" s="47"/>
      <c r="X32" s="47"/>
      <c r="Y32" s="47" t="str">
        <f t="shared" si="238"/>
        <v/>
      </c>
      <c r="Z32" s="60"/>
      <c r="AA32" s="39" t="str">
        <f t="shared" si="239"/>
        <v>---</v>
      </c>
      <c r="AB32" s="46" t="str">
        <f t="shared" si="240"/>
        <v>---</v>
      </c>
      <c r="AC32" s="40" t="str">
        <f>IFERROR(__xludf.DUMMYFUNCTION("IFS((AND(V32=TRUE, W32=""Yes"")), (IFS(ISBLANK(Y32), U32, Y32=""Novice 1"", CEILING((U32*1.05), $H32), Y32=""Novice 2"", CEILING((U32*1.025), $H32), Y32=""Novice 3"", U32+$H32, Y32=""Intermediate 2"", (IF((ISBETWEEN(((((N32-M32)/2))+T32), M32, N32)), U32,"&amp;" U32+$H32)), Y32=""Intermediate 1"", (IF((ISBETWEEN((T32-((N32-M32)/2)), M32, N32)), U32+$H32, (FLOOR((U32*0.9875), $H32)))), Y32=""Advanced 2"", (IF(AND(((S32+((L32-K32)/2))&gt;L32), ((T32+((N32-M32)/2))&gt;N32)), U32+$H32, (U32))), Y32=""Advanced 1"", (IFS(AB"&amp;"32&lt;T32, U32+$H32, AB32=T32, (U32), AB32&gt;T32, (FLOOR((U32*0.9875), $H32)))))), (AND(N32=TRUE, O32=""No"", V32=TRUE, W32=""No"")), (FLOOR((U32*0.9), $H32)), (NOT((AND(V32=TRUE, W32=""Yes"")))), U32)"),"---")</f>
        <v>---</v>
      </c>
      <c r="AD32" s="41" t="b">
        <v>0</v>
      </c>
      <c r="AE32" s="47"/>
      <c r="AF32" s="47"/>
      <c r="AG32" s="47" t="str">
        <f t="shared" si="241"/>
        <v/>
      </c>
      <c r="AH32" s="60"/>
      <c r="AI32" s="61" t="str">
        <f t="shared" si="242"/>
        <v>---</v>
      </c>
      <c r="AJ32" s="62" t="str">
        <f t="shared" si="243"/>
        <v>---</v>
      </c>
      <c r="AK32" s="63" t="str">
        <f>IFERROR(__xludf.DUMMYFUNCTION("IFS((AND(AD32=TRUE, AE32=""Yes"")), (IFS(ISBLANK(AG32), AC32, AG32=""Novice 1"", CEILING((AC32*1.05), $H32), AG32=""Novice 2"", CEILING((AC32*1.025), $H32), AG32=""Novice 3"", AC32+$H32, AG32=""Intermediate 2"", (IF((ISBETWEEN(((((V32-U32)/2))+AB32), U32,"&amp;" V32)), AC32, AC32+$H32)), AG32=""Intermediate 1"", (IF((ISBETWEEN((AB32-((V32-U32)/2)), U32, V32)), AC32+$H32, (FLOOR((AC32*0.9875), $H32)))), AG32=""Advanced 2"", (IF(AND(((AA32+((T32-S32)/2))&gt;T32), ((AB32+((V32-U32)/2))&gt;V32)), AC32+$H32, (AC32))), AG32"&amp;"=""Advanced 1"", (IFS(AJ32&lt;AB32, AC32+$H32, AJ32=AB32, (AC32), AJ32&gt;AB32, (FLOOR((AC32*0.9875), $H32)))))), (AND(V32=TRUE, W32=""No"", AD32=TRUE, AE32=""No"")), (FLOOR((AC32*0.9), $H32)), (NOT((AND(AD32=TRUE, AE32=""Yes"")))), AC32)"),"---")</f>
        <v>---</v>
      </c>
      <c r="AL32" s="64" t="b">
        <v>0</v>
      </c>
      <c r="AM32" s="65"/>
      <c r="AN32" s="65"/>
      <c r="AO32" s="65" t="str">
        <f t="shared" si="244"/>
        <v/>
      </c>
      <c r="AP32" s="66"/>
      <c r="AQ32" s="53" t="str">
        <f t="shared" ref="AQ32:AR32" si="293">IFERROR(AI32/2,AI32)</f>
        <v>---</v>
      </c>
      <c r="AR32" s="53" t="str">
        <f t="shared" si="293"/>
        <v>---</v>
      </c>
      <c r="AS32" s="53" t="str">
        <f t="shared" si="246"/>
        <v>---</v>
      </c>
      <c r="AT32" s="67"/>
      <c r="AU32" s="60"/>
      <c r="AV32" s="39" t="str">
        <f t="shared" si="247"/>
        <v>---</v>
      </c>
      <c r="AW32" s="46" t="str">
        <f t="shared" si="248"/>
        <v>---</v>
      </c>
      <c r="AX32" s="40" t="str">
        <f>IFERROR(__xludf.DUMMYFUNCTION("IFS((AND(AL32=TRUE, AM32=""Yes"")), (IFS(ISBLANK(AO32), AK32, AO32=""Novice 1"", CEILING((AK32*1.05), $H32), AO32=""Novice 2"", CEILING((AK32*1.025), $H32), AO32=""Novice 3"", AK32+$H32, AO32=""Intermediate 2"", (IF((ISBETWEEN(((((AD32-AC32)/2))+AJ32), AC"&amp;"32, AD32)), AK32, AK32+$H32)), AO32=""Intermediate 1"", (IF((ISBETWEEN((AJ32-((AD32-AC32)/2)), AC32, AD32)), AK32+$H32, (FLOOR((AK32*0.9875), $H32)))), AO32=""Advanced 2"", (IF(AND(((AI32+((AB32-AA32)/2))&gt;AB32), ((AJ32+((AD32-AC32)/2))&gt;AD32)), AK32+$H32, "&amp;"(AK32))), AO32=""Advanced 1"", (IFS(AW32&lt;AJ32, AK32+$H32, AW32=AJ32, (AK32), AW32&gt;AJ32, (FLOOR((AK32*0.9875), $H32)))))), (AND(AD32=TRUE, AE32=""No"", AL32=TRUE, AM32=""No"")), (FLOOR((AK32*0.9), $H32)), (NOT((AND(AL32=TRUE, AM32=""Yes"")))), AK32)"),"---")</f>
        <v>---</v>
      </c>
      <c r="AY32" s="41" t="b">
        <v>0</v>
      </c>
      <c r="AZ32" s="47"/>
      <c r="BA32" s="47"/>
      <c r="BB32" s="47" t="str">
        <f t="shared" si="249"/>
        <v/>
      </c>
      <c r="BC32" s="60"/>
      <c r="BD32" s="39" t="str">
        <f t="shared" si="250"/>
        <v>---</v>
      </c>
      <c r="BE32" s="46" t="str">
        <f t="shared" si="251"/>
        <v>---</v>
      </c>
      <c r="BF32" s="40" t="str">
        <f>IFERROR(__xludf.DUMMYFUNCTION("IFS((AND(AY32=TRUE, AZ32=""Yes"")), (IFS(ISBLANK(BB32), AX32, BB32=""Novice 1"", CEILING((AX32*1.05), $H32), BB32=""Novice 2"", CEILING((AX32*1.025), $H32), BB32=""Novice 3"", AX32+$H32, BB32=""Intermediate 2"", (IF((ISBETWEEN(((((AL32-AK32)/2))+AW32), AK"&amp;"32, AL32)), AX32, AX32+$H32)), BB32=""Intermediate 1"", (IF((ISBETWEEN((AW32-((AL32-AK32)/2)), AK32, AL32)), AX32+$H32, (FLOOR((AX32*0.9875), $H32)))), BB32=""Advanced 2"", (IF(AND(((AV32+((AJ32-AI32)/2))&gt;AJ32), ((AW32+((AL32-AK32)/2))&gt;AL32)), AX32+$H32, "&amp;"(AX32))), BB32=""Advanced 1"", (IFS(BE32&lt;AW32, AX32+$H32, BE32=AW32, (AX32), BE32&gt;AW32, (FLOOR((AX32*0.9875), $H32)))))), (AND(AL32=TRUE, AM32=""No"", AY32=TRUE, AZ32=""No"")), (FLOOR((AX32*0.9), $H32)), (NOT((AND(AY32=TRUE, AZ32=""Yes"")))), AX32)"),"---")</f>
        <v>---</v>
      </c>
      <c r="BG32" s="41" t="b">
        <v>0</v>
      </c>
      <c r="BH32" s="47"/>
      <c r="BI32" s="47"/>
      <c r="BJ32" s="47" t="str">
        <f t="shared" si="252"/>
        <v/>
      </c>
      <c r="BK32" s="60"/>
      <c r="BL32" s="39" t="str">
        <f t="shared" si="253"/>
        <v>---</v>
      </c>
      <c r="BM32" s="46" t="str">
        <f t="shared" si="254"/>
        <v>---</v>
      </c>
      <c r="BN32" s="40" t="str">
        <f>IFERROR(__xludf.DUMMYFUNCTION("IFS((AND(BG32=TRUE, BH32=""Yes"")), (IFS(ISBLANK(BJ32), BF32, BJ32=""Novice 1"", CEILING((BF32*1.05), $H32), BJ32=""Novice 2"", CEILING((BF32*1.025), $H32), BJ32=""Novice 3"", BF32+$H32, BJ32=""Intermediate 2"", (IF((ISBETWEEN(((((AY32-AX32)/2))+BE32), AX"&amp;"32, AY32)), BF32, BF32+$H32)), BJ32=""Intermediate 1"", (IF((ISBETWEEN((BE32-((AY32-AX32)/2)), AX32, AY32)), BF32+$H32, (FLOOR((BF32*0.9875), $H32)))), BJ32=""Advanced 2"", (IF(AND(((BD32+((AW32-AV32)/2))&gt;AW32), ((BE32+((AY32-AX32)/2))&gt;AY32)), BF32+$H32, "&amp;"(BF32))), BJ32=""Advanced 1"", (IFS(BM32&lt;BE32, BF32+$H32, BM32=BE32, (BF32), BM32&gt;BE32, (FLOOR((BF32*0.9875), $H32)))))), (AND(AY32=TRUE, AZ32=""No"", BG32=TRUE, BH32=""No"")), (FLOOR((BF32*0.9), $H32)), (NOT((AND(BG32=TRUE, BH32=""Yes"")))), BF32)"),"---")</f>
        <v>---</v>
      </c>
      <c r="BO32" s="41" t="b">
        <v>0</v>
      </c>
      <c r="BP32" s="47"/>
      <c r="BQ32" s="47"/>
      <c r="BR32" s="47" t="str">
        <f t="shared" si="255"/>
        <v/>
      </c>
      <c r="BS32" s="60"/>
      <c r="BT32" s="61" t="str">
        <f t="shared" si="256"/>
        <v>---</v>
      </c>
      <c r="BU32" s="62" t="str">
        <f t="shared" si="257"/>
        <v>---</v>
      </c>
      <c r="BV32" s="63" t="str">
        <f>IFERROR(__xludf.DUMMYFUNCTION("IFS((AND(BO32=TRUE, BP32=""Yes"")), (IFS(ISBLANK(BR32), BN32, BR32=""Novice 1"", CEILING((BN32*1.05), $H32), BR32=""Novice 2"", CEILING((BN32*1.025), $H32), BR32=""Novice 3"", BN32+$H32, BR32=""Intermediate 2"", (IF((ISBETWEEN(((((BG32-BF32)/2))+BM32), BF"&amp;"32, BG32)), BN32, BN32+$H32)), BR32=""Intermediate 1"", (IF((ISBETWEEN((BM32-((BG32-BF32)/2)), BF32, BG32)), BN32+$H32, (FLOOR((BN32*0.9875), $H32)))), BR32=""Advanced 2"", (IF(AND(((BL32+((BE32-BD32)/2))&gt;BE32), ((BM32+((BG32-BF32)/2))&gt;BG32)), BN32+$H32, "&amp;"(BN32))), BR32=""Advanced 1"", (IFS(BU32&lt;BM32, BN32+$H32, BU32=BM32, (BN32), BU32&gt;BM32, (FLOOR((BN32*0.9875), $H32)))))), (AND(BG32=TRUE, BH32=""No"", BO32=TRUE, BP32=""No"")), (FLOOR((BN32*0.9), $H32)), (NOT((AND(BO32=TRUE, BP32=""Yes"")))), BN32)"),"---")</f>
        <v>---</v>
      </c>
      <c r="BW32" s="64" t="b">
        <v>0</v>
      </c>
      <c r="BX32" s="65"/>
      <c r="BY32" s="65"/>
      <c r="BZ32" s="65" t="str">
        <f t="shared" si="258"/>
        <v/>
      </c>
      <c r="CA32" s="66"/>
      <c r="CB32" s="53" t="str">
        <f t="shared" ref="CB32:CC32" si="294">IFERROR(BT32/2,BT32)</f>
        <v>---</v>
      </c>
      <c r="CC32" s="53" t="str">
        <f t="shared" si="294"/>
        <v>---</v>
      </c>
      <c r="CD32" s="53" t="str">
        <f t="shared" si="260"/>
        <v>---</v>
      </c>
      <c r="CE32" s="67"/>
      <c r="CF32" s="60"/>
      <c r="CG32" s="39" t="str">
        <f t="shared" si="261"/>
        <v>---</v>
      </c>
      <c r="CH32" s="46" t="str">
        <f t="shared" si="262"/>
        <v>---</v>
      </c>
      <c r="CI32" s="40" t="str">
        <f>IFERROR(__xludf.DUMMYFUNCTION("IFS((AND(BW32=TRUE, BX32=""Yes"")), (IFS(ISBLANK(BZ32), BV32, BZ32=""Novice 1"", CEILING((BV32*1.05), $H32), BZ32=""Novice 2"", CEILING((BV32*1.025), $H32), BZ32=""Novice 3"", BV32+$H32, BZ32=""Intermediate 2"", (IF((ISBETWEEN(((((BO32-BN32)/2))+BU32), BN"&amp;"32, BO32)), BV32, BV32+$H32)), BZ32=""Intermediate 1"", (IF((ISBETWEEN((BU32-((BO32-BN32)/2)), BN32, BO32)), BV32+$H32, (FLOOR((BV32*0.9875), $H32)))), BZ32=""Advanced 2"", (IF(AND(((BT32+((BM32-BL32)/2))&gt;BM32), ((BU32+((BO32-BN32)/2))&gt;BO32)), BV32+$H32, "&amp;"(BV32))), BZ32=""Advanced 1"", (IFS(CH32&lt;BU32, BV32+$H32, CH32=BU32, (BV32), CH32&gt;BU32, (FLOOR((BV32*0.9875), $H32)))))), (AND(BO32=TRUE, BP32=""No"", BW32=TRUE, BX32=""No"")), (FLOOR((BV32*0.9), $H32)), (NOT((AND(BW32=TRUE, BX32=""Yes"")))), BV32)"),"---")</f>
        <v>---</v>
      </c>
      <c r="CJ32" s="41" t="b">
        <v>0</v>
      </c>
      <c r="CK32" s="47"/>
      <c r="CL32" s="47"/>
      <c r="CM32" s="47" t="str">
        <f t="shared" si="263"/>
        <v/>
      </c>
      <c r="CN32" s="60"/>
      <c r="CO32" s="39" t="str">
        <f t="shared" si="264"/>
        <v>---</v>
      </c>
      <c r="CP32" s="46" t="str">
        <f t="shared" si="265"/>
        <v>---</v>
      </c>
      <c r="CQ32" s="40" t="str">
        <f>IFERROR(__xludf.DUMMYFUNCTION("IFS((AND(CJ32=TRUE, CK32=""Yes"")), (IFS(ISBLANK(CM32), CI32, CM32=""Novice 1"", CEILING((CI32*1.05), $H32), CM32=""Novice 2"", CEILING((CI32*1.025), $H32), CM32=""Novice 3"", CI32+$H32, CM32=""Intermediate 2"", (IF((ISBETWEEN(((((BW32-BV32)/2))+CH32), BV"&amp;"32, BW32)), CI32, CI32+$H32)), CM32=""Intermediate 1"", (IF((ISBETWEEN((CH32-((BW32-BV32)/2)), BV32, BW32)), CI32+$H32, (FLOOR((CI32*0.9875), $H32)))), CM32=""Advanced 2"", (IF(AND(((CG32+((BU32-BT32)/2))&gt;BU32), ((CH32+((BW32-BV32)/2))&gt;BW32)), CI32+$H32, "&amp;"(CI32))), CM32=""Advanced 1"", (IFS(CP32&lt;CH32, CI32+$H32, CP32=CH32, (CI32), CP32&gt;CH32, (FLOOR((CI32*0.9875), $H32)))))), (AND(BW32=TRUE, BX32=""No"", CJ32=TRUE, CK32=""No"")), (FLOOR((CI32*0.9), $H32)), (NOT((AND(CJ32=TRUE, CK32=""Yes"")))), CI32)"),"---")</f>
        <v>---</v>
      </c>
      <c r="CR32" s="41" t="b">
        <v>0</v>
      </c>
      <c r="CS32" s="47"/>
      <c r="CT32" s="47"/>
      <c r="CU32" s="47" t="str">
        <f t="shared" si="266"/>
        <v/>
      </c>
      <c r="CV32" s="60"/>
      <c r="CW32" s="39" t="str">
        <f t="shared" si="267"/>
        <v>---</v>
      </c>
      <c r="CX32" s="46" t="str">
        <f t="shared" si="268"/>
        <v>---</v>
      </c>
      <c r="CY32" s="40" t="str">
        <f>IFERROR(__xludf.DUMMYFUNCTION("IFS((AND(CR32=TRUE, CS32=""Yes"")), (IFS(ISBLANK(CU32), CQ32, CU32=""Novice 1"", CEILING((CQ32*1.05), $H32), CU32=""Novice 2"", CEILING((CQ32*1.025), $H32), CU32=""Novice 3"", CQ32+$H32, CU32=""Intermediate 2"", (IF((ISBETWEEN(((((CJ32-CI32)/2))+CP32), CI"&amp;"32, CJ32)), CQ32, CQ32+$H32)), CU32=""Intermediate 1"", (IF((ISBETWEEN((CP32-((CJ32-CI32)/2)), CI32, CJ32)), CQ32+$H32, (FLOOR((CQ32*0.9875), $H32)))), CU32=""Advanced 2"", (IF(AND(((CO32+((CH32-CG32)/2))&gt;CH32), ((CP32+((CJ32-CI32)/2))&gt;CJ32)), CQ32+$H32, "&amp;"(CQ32))), CU32=""Advanced 1"", (IFS(CX32&lt;CP32, CQ32+$H32, CX32=CP32, (CQ32), CX32&gt;CP32, (FLOOR((CQ32*0.9875), $H32)))))), (AND(CJ32=TRUE, CK32=""No"", CR32=TRUE, CS32=""No"")), (FLOOR((CQ32*0.9), $H32)), (NOT((AND(CR32=TRUE, CS32=""Yes"")))), CQ32)"),"---")</f>
        <v>---</v>
      </c>
      <c r="CZ32" s="41" t="b">
        <v>0</v>
      </c>
      <c r="DA32" s="47"/>
      <c r="DB32" s="47"/>
      <c r="DC32" s="47" t="str">
        <f t="shared" si="269"/>
        <v/>
      </c>
      <c r="DD32" s="60"/>
      <c r="DE32" s="61" t="str">
        <f t="shared" si="270"/>
        <v>---</v>
      </c>
      <c r="DF32" s="62" t="str">
        <f t="shared" si="271"/>
        <v>---</v>
      </c>
      <c r="DG32" s="63" t="str">
        <f>IFERROR(__xludf.DUMMYFUNCTION("IFS((AND(CZ32=TRUE, DA32=""Yes"")), (IFS(ISBLANK(DC32), CY32, DC32=""Novice 1"", CEILING((CY32*1.05), $H32), DC32=""Novice 2"", CEILING((CY32*1.025), $H32), DC32=""Novice 3"", CY32+$H32, DC32=""Intermediate 2"", (IF((ISBETWEEN(((((CR32-CQ32)/2))+CX32), CQ"&amp;"32, CR32)), CY32, CY32+$H32)), DC32=""Intermediate 1"", (IF((ISBETWEEN((CX32-((CR32-CQ32)/2)), CQ32, CR32)), CY32+$H32, (FLOOR((CY32*0.9875), $H32)))), DC32=""Advanced 2"", (IF(AND(((CW32+((CP32-CO32)/2))&gt;CP32), ((CX32+((CR32-CQ32)/2))&gt;CR32)), CY32+$H32, "&amp;"(CY32))), DC32=""Advanced 1"", (IFS(DF32&lt;CX32, CY32+$H32, DF32=CX32, (CY32), DF32&gt;CX32, (FLOOR((CY32*0.9875), $H32)))))), (AND(CR32=TRUE, CS32=""No"", CZ32=TRUE, DA32=""No"")), (FLOOR((CY32*0.9), $H32)), (NOT((AND(CZ32=TRUE, DA32=""Yes"")))), CY32)"),"---")</f>
        <v>---</v>
      </c>
      <c r="DH32" s="64" t="b">
        <v>0</v>
      </c>
      <c r="DI32" s="65"/>
      <c r="DJ32" s="65"/>
      <c r="DK32" s="65" t="str">
        <f t="shared" si="272"/>
        <v/>
      </c>
      <c r="DL32" s="66"/>
      <c r="DM32" s="53" t="str">
        <f t="shared" ref="DM32:DN32" si="295">IFERROR(DE32/2,DE32)</f>
        <v>---</v>
      </c>
      <c r="DN32" s="53" t="str">
        <f t="shared" si="295"/>
        <v>---</v>
      </c>
      <c r="DO32" s="53" t="str">
        <f t="shared" si="274"/>
        <v>---</v>
      </c>
      <c r="DP32" s="67"/>
      <c r="DQ32" s="60"/>
      <c r="DR32" s="39" t="str">
        <f t="shared" si="275"/>
        <v>---</v>
      </c>
      <c r="DS32" s="46" t="str">
        <f t="shared" si="276"/>
        <v>---</v>
      </c>
      <c r="DT32" s="40" t="str">
        <f>IFERROR(__xludf.DUMMYFUNCTION("IFS((AND(DH32=TRUE, DI32=""Yes"")), (IFS(ISBLANK(DK32), DG32, DK32=""Novice 1"", CEILING((DG32*1.05), $H32), DK32=""Novice 2"", CEILING((DG32*1.025), $H32), DK32=""Novice 3"", DG32+$H32, DK32=""Intermediate 2"", (IF((ISBETWEEN(((((CZ32-CY32)/2))+DF32), CY"&amp;"32, CZ32)), DG32, DG32+$H32)), DK32=""Intermediate 1"", (IF((ISBETWEEN((DF32-((CZ32-CY32)/2)), CY32, CZ32)), DG32+$H32, (FLOOR((DG32*0.9875), $H32)))), DK32=""Advanced 2"", (IF(AND(((DE32+((CX32-CW32)/2))&gt;CX32), ((DF32+((CZ32-CY32)/2))&gt;CZ32)), DG32+$H32, "&amp;"(DG32))), DK32=""Advanced 1"", (IFS(DS32&lt;DF32, DG32+$H32, DS32=DF32, (DG32), DS32&gt;DF32, (FLOOR((DG32*0.9875), $H32)))))), (AND(CZ32=TRUE, DA32=""No"", DH32=TRUE, DI32=""No"")), (FLOOR((DG32*0.9), $H32)), (NOT((AND(DH32=TRUE, DI32=""Yes"")))), DG32)"),"---")</f>
        <v>---</v>
      </c>
      <c r="DU32" s="41" t="b">
        <v>0</v>
      </c>
      <c r="DV32" s="47"/>
      <c r="DW32" s="47"/>
      <c r="DX32" s="47" t="str">
        <f t="shared" si="277"/>
        <v/>
      </c>
      <c r="DY32" s="60"/>
      <c r="DZ32" s="39" t="str">
        <f t="shared" si="278"/>
        <v>---</v>
      </c>
      <c r="EA32" s="46" t="str">
        <f t="shared" si="279"/>
        <v>---</v>
      </c>
      <c r="EB32" s="40" t="str">
        <f>IFERROR(__xludf.DUMMYFUNCTION("IFS((AND(DU32=TRUE, DV32=""Yes"")), (IFS(ISBLANK(DX32), DT32, DX32=""Novice 1"", CEILING((DT32*1.05), $H32), DX32=""Novice 2"", CEILING((DT32*1.025), $H32), DX32=""Novice 3"", DT32+$H32, DX32=""Intermediate 2"", (IF((ISBETWEEN(((((DH32-DG32)/2))+DS32), DG"&amp;"32, DH32)), DT32, DT32+$H32)), DX32=""Intermediate 1"", (IF((ISBETWEEN((DS32-((DH32-DG32)/2)), DG32, DH32)), DT32+$H32, (FLOOR((DT32*0.9875), $H32)))), DX32=""Advanced 2"", (IF(AND(((DR32+((DF32-DE32)/2))&gt;DF32), ((DS32+((DH32-DG32)/2))&gt;DH32)), DT32+$H32, "&amp;"(DT32))), DX32=""Advanced 1"", (IFS(EA32&lt;DS32, DT32+$H32, EA32=DS32, (DT32), EA32&gt;DS32, (FLOOR((DT32*0.9875), $H32)))))), (AND(DH32=TRUE, DI32=""No"", DU32=TRUE, DV32=""No"")), (FLOOR((DT32*0.9), $H32)), (NOT((AND(DU32=TRUE, DV32=""Yes"")))), DT32)"),"---")</f>
        <v>---</v>
      </c>
      <c r="EC32" s="41" t="b">
        <v>0</v>
      </c>
      <c r="ED32" s="47"/>
      <c r="EE32" s="47"/>
      <c r="EF32" s="47" t="str">
        <f t="shared" si="280"/>
        <v/>
      </c>
      <c r="EG32" s="60"/>
      <c r="EH32" s="39" t="str">
        <f t="shared" si="281"/>
        <v>---</v>
      </c>
      <c r="EI32" s="46" t="str">
        <f t="shared" si="282"/>
        <v>---</v>
      </c>
      <c r="EJ32" s="40" t="str">
        <f>IFERROR(__xludf.DUMMYFUNCTION("IFS((AND(EC32=TRUE, ED32=""Yes"")), (IFS(ISBLANK(EF32), EB32, EF32=""Novice 1"", CEILING((EB32*1.05), $H32), EF32=""Novice 2"", CEILING((EB32*1.025), $H32), EF32=""Novice 3"", EB32+$H32, EF32=""Intermediate 2"", (IF((ISBETWEEN(((((DU32-DT32)/2))+EA32), DT"&amp;"32, DU32)), EB32, EB32+$H32)), EF32=""Intermediate 1"", (IF((ISBETWEEN((EA32-((DU32-DT32)/2)), DT32, DU32)), EB32+$H32, (FLOOR((EB32*0.9875), $H32)))), EF32=""Advanced 2"", (IF(AND(((DZ32+((DS32-DR32)/2))&gt;DS32), ((EA32+((DU32-DT32)/2))&gt;DU32)), EB32+$H32, "&amp;"(EB32))), EF32=""Advanced 1"", (IFS(EI32&lt;EA32, EB32+$H32, EI32=EA32, (EB32), EI32&gt;EA32, (FLOOR((EB32*0.9875), $H32)))))), (AND(DU32=TRUE, DV32=""No"", EC32=TRUE, ED32=""No"")), (FLOOR((EB32*0.9), $H32)), (NOT((AND(EC32=TRUE, ED32=""Yes"")))), EB32)"),"---")</f>
        <v>---</v>
      </c>
      <c r="EK32" s="41" t="b">
        <v>0</v>
      </c>
      <c r="EL32" s="47"/>
      <c r="EM32" s="47"/>
      <c r="EN32" s="47" t="str">
        <f t="shared" si="283"/>
        <v/>
      </c>
      <c r="EO32" s="60"/>
      <c r="EP32" s="61" t="str">
        <f t="shared" si="284"/>
        <v>---</v>
      </c>
      <c r="EQ32" s="62" t="str">
        <f t="shared" si="285"/>
        <v>---</v>
      </c>
      <c r="ER32" s="63" t="str">
        <f>IFERROR(__xludf.DUMMYFUNCTION("IFS((AND(EK32=TRUE, EL32=""Yes"")), (IFS(ISBLANK(EN32), EJ32, EN32=""Novice 1"", CEILING((EJ32*1.05), $H32), EN32=""Novice 2"", CEILING((EJ32*1.025), $H32), EN32=""Novice 3"", EJ32+$H32, EN32=""Intermediate 2"", (IF((ISBETWEEN(((((EC32-EB32)/2))+EI32), EB"&amp;"32, EC32)), EJ32, EJ32+$H32)), EN32=""Intermediate 1"", (IF((ISBETWEEN((EI32-((EC32-EB32)/2)), EB32, EC32)), EJ32+$H32, (FLOOR((EJ32*0.9875), $H32)))), EN32=""Advanced 2"", (IF(AND(((EH32+((EA32-DZ32)/2))&gt;EA32), ((EI32+((EC32-EB32)/2))&gt;EC32)), EJ32+$H32, "&amp;"(EJ32))), EN32=""Advanced 1"", (IFS(EQ32&lt;EI32, EJ32+$H32, EQ32=EI32, (EJ32), EQ32&gt;EI32, (FLOOR((EJ32*0.9875), $H32)))))), (AND(EC32=TRUE, ED32=""No"", EK32=TRUE, EL32=""No"")), (FLOOR((EJ32*0.9), $H32)), (NOT((AND(EK32=TRUE, EL32=""Yes"")))), EJ32)"),"---")</f>
        <v>---</v>
      </c>
      <c r="ES32" s="64" t="b">
        <v>0</v>
      </c>
      <c r="ET32" s="65"/>
      <c r="EU32" s="65"/>
      <c r="EV32" s="65" t="str">
        <f t="shared" si="286"/>
        <v/>
      </c>
      <c r="EW32" s="66"/>
      <c r="EX32" s="53" t="str">
        <f t="shared" ref="EX32:EY32" si="296">IFERROR(EP32/2,EP32)</f>
        <v>---</v>
      </c>
      <c r="EY32" s="53" t="str">
        <f t="shared" si="296"/>
        <v>---</v>
      </c>
      <c r="EZ32" s="53" t="str">
        <f t="shared" si="288"/>
        <v>---</v>
      </c>
      <c r="FA32" s="67"/>
      <c r="FB32" s="86"/>
      <c r="FC32" s="57"/>
    </row>
    <row r="33" outlineLevel="1">
      <c r="A33" s="81" t="s">
        <v>60</v>
      </c>
      <c r="B33" s="58"/>
      <c r="C33" s="82" t="s">
        <v>53</v>
      </c>
      <c r="D33" s="83" t="s">
        <v>53</v>
      </c>
      <c r="E33" s="82" t="s">
        <v>53</v>
      </c>
      <c r="F33" s="83" t="s">
        <v>53</v>
      </c>
      <c r="G33" s="83" t="s">
        <v>53</v>
      </c>
      <c r="H33" s="84"/>
      <c r="I33" s="85"/>
      <c r="J33" s="59"/>
      <c r="K33" s="39" t="str">
        <f t="shared" si="232"/>
        <v>---</v>
      </c>
      <c r="L33" s="40" t="str">
        <f t="shared" si="233"/>
        <v>---</v>
      </c>
      <c r="M33" s="40" t="str">
        <f t="shared" si="234"/>
        <v>---</v>
      </c>
      <c r="N33" s="41" t="b">
        <v>0</v>
      </c>
      <c r="O33" s="42"/>
      <c r="P33" s="43"/>
      <c r="Q33" s="42" t="str">
        <f t="shared" si="235"/>
        <v/>
      </c>
      <c r="R33" s="60"/>
      <c r="S33" s="39" t="str">
        <f t="shared" si="236"/>
        <v>---</v>
      </c>
      <c r="T33" s="46" t="str">
        <f t="shared" si="237"/>
        <v>---</v>
      </c>
      <c r="U33" s="40" t="str">
        <f>IFERROR(__xludf.DUMMYFUNCTION("IFS((AND(N33=TRUE, O33=""Yes"")), (IFS(ISBLANK(Q33), M33, Q33=""Novice 1"", CEILING((M33*1.05), $H33), Q33=""Novice 2"", CEILING((M33*1.025), $H33), Q33=""Novice 3"", M33+$H33, Q33=""Intermediate 2"", (IF((ISBETWEEN(((((F33-E33)/2))+L33), E33, F33)), M33,"&amp;" M33+$H33)), Q33=""Intermediate 1"", (IF((ISBETWEEN((L33-((F33-E33)/2)), E33, F33)), M33+$H33, (FLOOR((M33*0.9875), $H33)))), Q33=""Advanced 2"", (IF(AND(((K33+((D33-C33)/2))&gt;D33), ((L33+((F33-E33)/2))&gt;F33)), M33+$H33, (M33))), Q33=""Advanced 1"", (IFS(T3"&amp;"3&lt;L33, M33+$H33, T33=L33, (M33), T33&gt;L33, (FLOOR((M33*0.9875), $H33)))))), (AND(F33=TRUE, G33=""No"", N33=TRUE, O33=""No"")), (FLOOR((M33*0.9), $H33)), (NOT((AND(N33=TRUE, O33=""Yes"")))), M33)"),"---")</f>
        <v>---</v>
      </c>
      <c r="V33" s="41" t="b">
        <v>0</v>
      </c>
      <c r="W33" s="47"/>
      <c r="X33" s="47"/>
      <c r="Y33" s="47" t="str">
        <f t="shared" si="238"/>
        <v/>
      </c>
      <c r="Z33" s="60"/>
      <c r="AA33" s="39" t="str">
        <f t="shared" si="239"/>
        <v>---</v>
      </c>
      <c r="AB33" s="46" t="str">
        <f t="shared" si="240"/>
        <v>---</v>
      </c>
      <c r="AC33" s="40" t="str">
        <f>IFERROR(__xludf.DUMMYFUNCTION("IFS((AND(V33=TRUE, W33=""Yes"")), (IFS(ISBLANK(Y33), U33, Y33=""Novice 1"", CEILING((U33*1.05), $H33), Y33=""Novice 2"", CEILING((U33*1.025), $H33), Y33=""Novice 3"", U33+$H33, Y33=""Intermediate 2"", (IF((ISBETWEEN(((((N33-M33)/2))+T33), M33, N33)), U33,"&amp;" U33+$H33)), Y33=""Intermediate 1"", (IF((ISBETWEEN((T33-((N33-M33)/2)), M33, N33)), U33+$H33, (FLOOR((U33*0.9875), $H33)))), Y33=""Advanced 2"", (IF(AND(((S33+((L33-K33)/2))&gt;L33), ((T33+((N33-M33)/2))&gt;N33)), U33+$H33, (U33))), Y33=""Advanced 1"", (IFS(AB"&amp;"33&lt;T33, U33+$H33, AB33=T33, (U33), AB33&gt;T33, (FLOOR((U33*0.9875), $H33)))))), (AND(N33=TRUE, O33=""No"", V33=TRUE, W33=""No"")), (FLOOR((U33*0.9), $H33)), (NOT((AND(V33=TRUE, W33=""Yes"")))), U33)"),"---")</f>
        <v>---</v>
      </c>
      <c r="AD33" s="41" t="b">
        <v>0</v>
      </c>
      <c r="AE33" s="47"/>
      <c r="AF33" s="47"/>
      <c r="AG33" s="47" t="str">
        <f t="shared" si="241"/>
        <v/>
      </c>
      <c r="AH33" s="60"/>
      <c r="AI33" s="48" t="str">
        <f t="shared" si="242"/>
        <v>---</v>
      </c>
      <c r="AJ33" s="49" t="str">
        <f t="shared" si="243"/>
        <v>---</v>
      </c>
      <c r="AK33" s="50" t="str">
        <f>IFERROR(__xludf.DUMMYFUNCTION("IFS((AND(AD33=TRUE, AE33=""Yes"")), (IFS(ISBLANK(AG33), AC33, AG33=""Novice 1"", CEILING((AC33*1.05), $H33), AG33=""Novice 2"", CEILING((AC33*1.025), $H33), AG33=""Novice 3"", AC33+$H33, AG33=""Intermediate 2"", (IF((ISBETWEEN(((((V33-U33)/2))+AB33), U33,"&amp;" V33)), AC33, AC33+$H33)), AG33=""Intermediate 1"", (IF((ISBETWEEN((AB33-((V33-U33)/2)), U33, V33)), AC33+$H33, (FLOOR((AC33*0.9875), $H33)))), AG33=""Advanced 2"", (IF(AND(((AA33+((T33-S33)/2))&gt;T33), ((AB33+((V33-U33)/2))&gt;V33)), AC33+$H33, (AC33))), AG33"&amp;"=""Advanced 1"", (IFS(AJ33&lt;AB33, AC33+$H33, AJ33=AB33, (AC33), AJ33&gt;AB33, (FLOOR((AC33*0.9875), $H33)))))), (AND(V33=TRUE, W33=""No"", AD33=TRUE, AE33=""No"")), (FLOOR((AC33*0.9), $H33)), (NOT((AND(AD33=TRUE, AE33=""Yes"")))), AC33)"),"---")</f>
        <v>---</v>
      </c>
      <c r="AL33" s="51" t="b">
        <v>0</v>
      </c>
      <c r="AM33" s="52"/>
      <c r="AN33" s="52"/>
      <c r="AO33" s="52" t="str">
        <f t="shared" si="244"/>
        <v/>
      </c>
      <c r="AP33" s="69"/>
      <c r="AQ33" s="53" t="str">
        <f t="shared" ref="AQ33:AR33" si="297">IFERROR(AI33/2,AI33)</f>
        <v>---</v>
      </c>
      <c r="AR33" s="53" t="str">
        <f t="shared" si="297"/>
        <v>---</v>
      </c>
      <c r="AS33" s="53" t="str">
        <f t="shared" si="246"/>
        <v>---</v>
      </c>
      <c r="AT33" s="67"/>
      <c r="AU33" s="60"/>
      <c r="AV33" s="39" t="str">
        <f t="shared" si="247"/>
        <v>---</v>
      </c>
      <c r="AW33" s="46" t="str">
        <f t="shared" si="248"/>
        <v>---</v>
      </c>
      <c r="AX33" s="40" t="str">
        <f>IFERROR(__xludf.DUMMYFUNCTION("IFS((AND(AL33=TRUE, AM33=""Yes"")), (IFS(ISBLANK(AO33), AK33, AO33=""Novice 1"", CEILING((AK33*1.05), $H33), AO33=""Novice 2"", CEILING((AK33*1.025), $H33), AO33=""Novice 3"", AK33+$H33, AO33=""Intermediate 2"", (IF((ISBETWEEN(((((AD33-AC33)/2))+AJ33), AC"&amp;"33, AD33)), AK33, AK33+$H33)), AO33=""Intermediate 1"", (IF((ISBETWEEN((AJ33-((AD33-AC33)/2)), AC33, AD33)), AK33+$H33, (FLOOR((AK33*0.9875), $H33)))), AO33=""Advanced 2"", (IF(AND(((AI33+((AB33-AA33)/2))&gt;AB33), ((AJ33+((AD33-AC33)/2))&gt;AD33)), AK33+$H33, "&amp;"(AK33))), AO33=""Advanced 1"", (IFS(AW33&lt;AJ33, AK33+$H33, AW33=AJ33, (AK33), AW33&gt;AJ33, (FLOOR((AK33*0.9875), $H33)))))), (AND(AD33=TRUE, AE33=""No"", AL33=TRUE, AM33=""No"")), (FLOOR((AK33*0.9), $H33)), (NOT((AND(AL33=TRUE, AM33=""Yes"")))), AK33)"),"---")</f>
        <v>---</v>
      </c>
      <c r="AY33" s="41" t="b">
        <v>0</v>
      </c>
      <c r="AZ33" s="47"/>
      <c r="BA33" s="47"/>
      <c r="BB33" s="47" t="str">
        <f t="shared" si="249"/>
        <v/>
      </c>
      <c r="BC33" s="60"/>
      <c r="BD33" s="39" t="str">
        <f t="shared" si="250"/>
        <v>---</v>
      </c>
      <c r="BE33" s="46" t="str">
        <f t="shared" si="251"/>
        <v>---</v>
      </c>
      <c r="BF33" s="40" t="str">
        <f>IFERROR(__xludf.DUMMYFUNCTION("IFS((AND(AY33=TRUE, AZ33=""Yes"")), (IFS(ISBLANK(BB33), AX33, BB33=""Novice 1"", CEILING((AX33*1.05), $H33), BB33=""Novice 2"", CEILING((AX33*1.025), $H33), BB33=""Novice 3"", AX33+$H33, BB33=""Intermediate 2"", (IF((ISBETWEEN(((((AL33-AK33)/2))+AW33), AK"&amp;"33, AL33)), AX33, AX33+$H33)), BB33=""Intermediate 1"", (IF((ISBETWEEN((AW33-((AL33-AK33)/2)), AK33, AL33)), AX33+$H33, (FLOOR((AX33*0.9875), $H33)))), BB33=""Advanced 2"", (IF(AND(((AV33+((AJ33-AI33)/2))&gt;AJ33), ((AW33+((AL33-AK33)/2))&gt;AL33)), AX33+$H33, "&amp;"(AX33))), BB33=""Advanced 1"", (IFS(BE33&lt;AW33, AX33+$H33, BE33=AW33, (AX33), BE33&gt;AW33, (FLOOR((AX33*0.9875), $H33)))))), (AND(AL33=TRUE, AM33=""No"", AY33=TRUE, AZ33=""No"")), (FLOOR((AX33*0.9), $H33)), (NOT((AND(AY33=TRUE, AZ33=""Yes"")))), AX33)"),"---")</f>
        <v>---</v>
      </c>
      <c r="BG33" s="41" t="b">
        <v>0</v>
      </c>
      <c r="BH33" s="47"/>
      <c r="BI33" s="47"/>
      <c r="BJ33" s="47" t="str">
        <f t="shared" si="252"/>
        <v/>
      </c>
      <c r="BK33" s="60"/>
      <c r="BL33" s="39" t="str">
        <f t="shared" si="253"/>
        <v>---</v>
      </c>
      <c r="BM33" s="46" t="str">
        <f t="shared" si="254"/>
        <v>---</v>
      </c>
      <c r="BN33" s="40" t="str">
        <f>IFERROR(__xludf.DUMMYFUNCTION("IFS((AND(BG33=TRUE, BH33=""Yes"")), (IFS(ISBLANK(BJ33), BF33, BJ33=""Novice 1"", CEILING((BF33*1.05), $H33), BJ33=""Novice 2"", CEILING((BF33*1.025), $H33), BJ33=""Novice 3"", BF33+$H33, BJ33=""Intermediate 2"", (IF((ISBETWEEN(((((AY33-AX33)/2))+BE33), AX"&amp;"33, AY33)), BF33, BF33+$H33)), BJ33=""Intermediate 1"", (IF((ISBETWEEN((BE33-((AY33-AX33)/2)), AX33, AY33)), BF33+$H33, (FLOOR((BF33*0.9875), $H33)))), BJ33=""Advanced 2"", (IF(AND(((BD33+((AW33-AV33)/2))&gt;AW33), ((BE33+((AY33-AX33)/2))&gt;AY33)), BF33+$H33, "&amp;"(BF33))), BJ33=""Advanced 1"", (IFS(BM33&lt;BE33, BF33+$H33, BM33=BE33, (BF33), BM33&gt;BE33, (FLOOR((BF33*0.9875), $H33)))))), (AND(AY33=TRUE, AZ33=""No"", BG33=TRUE, BH33=""No"")), (FLOOR((BF33*0.9), $H33)), (NOT((AND(BG33=TRUE, BH33=""Yes"")))), BF33)"),"---")</f>
        <v>---</v>
      </c>
      <c r="BO33" s="41" t="b">
        <v>0</v>
      </c>
      <c r="BP33" s="47"/>
      <c r="BQ33" s="47"/>
      <c r="BR33" s="47" t="str">
        <f t="shared" si="255"/>
        <v/>
      </c>
      <c r="BS33" s="60"/>
      <c r="BT33" s="48" t="str">
        <f t="shared" si="256"/>
        <v>---</v>
      </c>
      <c r="BU33" s="49" t="str">
        <f t="shared" si="257"/>
        <v>---</v>
      </c>
      <c r="BV33" s="50" t="str">
        <f>IFERROR(__xludf.DUMMYFUNCTION("IFS((AND(BO33=TRUE, BP33=""Yes"")), (IFS(ISBLANK(BR33), BN33, BR33=""Novice 1"", CEILING((BN33*1.05), $H33), BR33=""Novice 2"", CEILING((BN33*1.025), $H33), BR33=""Novice 3"", BN33+$H33, BR33=""Intermediate 2"", (IF((ISBETWEEN(((((BG33-BF33)/2))+BM33), BF"&amp;"33, BG33)), BN33, BN33+$H33)), BR33=""Intermediate 1"", (IF((ISBETWEEN((BM33-((BG33-BF33)/2)), BF33, BG33)), BN33+$H33, (FLOOR((BN33*0.9875), $H33)))), BR33=""Advanced 2"", (IF(AND(((BL33+((BE33-BD33)/2))&gt;BE33), ((BM33+((BG33-BF33)/2))&gt;BG33)), BN33+$H33, "&amp;"(BN33))), BR33=""Advanced 1"", (IFS(BU33&lt;BM33, BN33+$H33, BU33=BM33, (BN33), BU33&gt;BM33, (FLOOR((BN33*0.9875), $H33)))))), (AND(BG33=TRUE, BH33=""No"", BO33=TRUE, BP33=""No"")), (FLOOR((BN33*0.9), $H33)), (NOT((AND(BO33=TRUE, BP33=""Yes"")))), BN33)"),"---")</f>
        <v>---</v>
      </c>
      <c r="BW33" s="51" t="b">
        <v>0</v>
      </c>
      <c r="BX33" s="52"/>
      <c r="BY33" s="52"/>
      <c r="BZ33" s="52" t="str">
        <f t="shared" si="258"/>
        <v/>
      </c>
      <c r="CA33" s="69"/>
      <c r="CB33" s="53" t="str">
        <f t="shared" ref="CB33:CC33" si="298">IFERROR(BT33/2,BT33)</f>
        <v>---</v>
      </c>
      <c r="CC33" s="53" t="str">
        <f t="shared" si="298"/>
        <v>---</v>
      </c>
      <c r="CD33" s="53" t="str">
        <f t="shared" si="260"/>
        <v>---</v>
      </c>
      <c r="CE33" s="67"/>
      <c r="CF33" s="60"/>
      <c r="CG33" s="39" t="str">
        <f t="shared" si="261"/>
        <v>---</v>
      </c>
      <c r="CH33" s="46" t="str">
        <f t="shared" si="262"/>
        <v>---</v>
      </c>
      <c r="CI33" s="40" t="str">
        <f>IFERROR(__xludf.DUMMYFUNCTION("IFS((AND(BW33=TRUE, BX33=""Yes"")), (IFS(ISBLANK(BZ33), BV33, BZ33=""Novice 1"", CEILING((BV33*1.05), $H33), BZ33=""Novice 2"", CEILING((BV33*1.025), $H33), BZ33=""Novice 3"", BV33+$H33, BZ33=""Intermediate 2"", (IF((ISBETWEEN(((((BO33-BN33)/2))+BU33), BN"&amp;"33, BO33)), BV33, BV33+$H33)), BZ33=""Intermediate 1"", (IF((ISBETWEEN((BU33-((BO33-BN33)/2)), BN33, BO33)), BV33+$H33, (FLOOR((BV33*0.9875), $H33)))), BZ33=""Advanced 2"", (IF(AND(((BT33+((BM33-BL33)/2))&gt;BM33), ((BU33+((BO33-BN33)/2))&gt;BO33)), BV33+$H33, "&amp;"(BV33))), BZ33=""Advanced 1"", (IFS(CH33&lt;BU33, BV33+$H33, CH33=BU33, (BV33), CH33&gt;BU33, (FLOOR((BV33*0.9875), $H33)))))), (AND(BO33=TRUE, BP33=""No"", BW33=TRUE, BX33=""No"")), (FLOOR((BV33*0.9), $H33)), (NOT((AND(BW33=TRUE, BX33=""Yes"")))), BV33)"),"---")</f>
        <v>---</v>
      </c>
      <c r="CJ33" s="41" t="b">
        <v>0</v>
      </c>
      <c r="CK33" s="47"/>
      <c r="CL33" s="47"/>
      <c r="CM33" s="47" t="str">
        <f t="shared" si="263"/>
        <v/>
      </c>
      <c r="CN33" s="60"/>
      <c r="CO33" s="39" t="str">
        <f t="shared" si="264"/>
        <v>---</v>
      </c>
      <c r="CP33" s="46" t="str">
        <f t="shared" si="265"/>
        <v>---</v>
      </c>
      <c r="CQ33" s="40" t="str">
        <f>IFERROR(__xludf.DUMMYFUNCTION("IFS((AND(CJ33=TRUE, CK33=""Yes"")), (IFS(ISBLANK(CM33), CI33, CM33=""Novice 1"", CEILING((CI33*1.05), $H33), CM33=""Novice 2"", CEILING((CI33*1.025), $H33), CM33=""Novice 3"", CI33+$H33, CM33=""Intermediate 2"", (IF((ISBETWEEN(((((BW33-BV33)/2))+CH33), BV"&amp;"33, BW33)), CI33, CI33+$H33)), CM33=""Intermediate 1"", (IF((ISBETWEEN((CH33-((BW33-BV33)/2)), BV33, BW33)), CI33+$H33, (FLOOR((CI33*0.9875), $H33)))), CM33=""Advanced 2"", (IF(AND(((CG33+((BU33-BT33)/2))&gt;BU33), ((CH33+((BW33-BV33)/2))&gt;BW33)), CI33+$H33, "&amp;"(CI33))), CM33=""Advanced 1"", (IFS(CP33&lt;CH33, CI33+$H33, CP33=CH33, (CI33), CP33&gt;CH33, (FLOOR((CI33*0.9875), $H33)))))), (AND(BW33=TRUE, BX33=""No"", CJ33=TRUE, CK33=""No"")), (FLOOR((CI33*0.9), $H33)), (NOT((AND(CJ33=TRUE, CK33=""Yes"")))), CI33)"),"---")</f>
        <v>---</v>
      </c>
      <c r="CR33" s="41" t="b">
        <v>0</v>
      </c>
      <c r="CS33" s="47"/>
      <c r="CT33" s="47"/>
      <c r="CU33" s="47" t="str">
        <f t="shared" si="266"/>
        <v/>
      </c>
      <c r="CV33" s="60"/>
      <c r="CW33" s="39" t="str">
        <f t="shared" si="267"/>
        <v>---</v>
      </c>
      <c r="CX33" s="46" t="str">
        <f t="shared" si="268"/>
        <v>---</v>
      </c>
      <c r="CY33" s="40" t="str">
        <f>IFERROR(__xludf.DUMMYFUNCTION("IFS((AND(CR33=TRUE, CS33=""Yes"")), (IFS(ISBLANK(CU33), CQ33, CU33=""Novice 1"", CEILING((CQ33*1.05), $H33), CU33=""Novice 2"", CEILING((CQ33*1.025), $H33), CU33=""Novice 3"", CQ33+$H33, CU33=""Intermediate 2"", (IF((ISBETWEEN(((((CJ33-CI33)/2))+CP33), CI"&amp;"33, CJ33)), CQ33, CQ33+$H33)), CU33=""Intermediate 1"", (IF((ISBETWEEN((CP33-((CJ33-CI33)/2)), CI33, CJ33)), CQ33+$H33, (FLOOR((CQ33*0.9875), $H33)))), CU33=""Advanced 2"", (IF(AND(((CO33+((CH33-CG33)/2))&gt;CH33), ((CP33+((CJ33-CI33)/2))&gt;CJ33)), CQ33+$H33, "&amp;"(CQ33))), CU33=""Advanced 1"", (IFS(CX33&lt;CP33, CQ33+$H33, CX33=CP33, (CQ33), CX33&gt;CP33, (FLOOR((CQ33*0.9875), $H33)))))), (AND(CJ33=TRUE, CK33=""No"", CR33=TRUE, CS33=""No"")), (FLOOR((CQ33*0.9), $H33)), (NOT((AND(CR33=TRUE, CS33=""Yes"")))), CQ33)"),"---")</f>
        <v>---</v>
      </c>
      <c r="CZ33" s="41" t="b">
        <v>0</v>
      </c>
      <c r="DA33" s="47"/>
      <c r="DB33" s="47"/>
      <c r="DC33" s="47" t="str">
        <f t="shared" si="269"/>
        <v/>
      </c>
      <c r="DD33" s="60"/>
      <c r="DE33" s="48" t="str">
        <f t="shared" si="270"/>
        <v>---</v>
      </c>
      <c r="DF33" s="49" t="str">
        <f t="shared" si="271"/>
        <v>---</v>
      </c>
      <c r="DG33" s="50" t="str">
        <f>IFERROR(__xludf.DUMMYFUNCTION("IFS((AND(CZ33=TRUE, DA33=""Yes"")), (IFS(ISBLANK(DC33), CY33, DC33=""Novice 1"", CEILING((CY33*1.05), $H33), DC33=""Novice 2"", CEILING((CY33*1.025), $H33), DC33=""Novice 3"", CY33+$H33, DC33=""Intermediate 2"", (IF((ISBETWEEN(((((CR33-CQ33)/2))+CX33), CQ"&amp;"33, CR33)), CY33, CY33+$H33)), DC33=""Intermediate 1"", (IF((ISBETWEEN((CX33-((CR33-CQ33)/2)), CQ33, CR33)), CY33+$H33, (FLOOR((CY33*0.9875), $H33)))), DC33=""Advanced 2"", (IF(AND(((CW33+((CP33-CO33)/2))&gt;CP33), ((CX33+((CR33-CQ33)/2))&gt;CR33)), CY33+$H33, "&amp;"(CY33))), DC33=""Advanced 1"", (IFS(DF33&lt;CX33, CY33+$H33, DF33=CX33, (CY33), DF33&gt;CX33, (FLOOR((CY33*0.9875), $H33)))))), (AND(CR33=TRUE, CS33=""No"", CZ33=TRUE, DA33=""No"")), (FLOOR((CY33*0.9), $H33)), (NOT((AND(CZ33=TRUE, DA33=""Yes"")))), CY33)"),"---")</f>
        <v>---</v>
      </c>
      <c r="DH33" s="51" t="b">
        <v>0</v>
      </c>
      <c r="DI33" s="52"/>
      <c r="DJ33" s="52"/>
      <c r="DK33" s="52" t="str">
        <f t="shared" si="272"/>
        <v/>
      </c>
      <c r="DL33" s="69"/>
      <c r="DM33" s="53" t="str">
        <f t="shared" ref="DM33:DN33" si="299">IFERROR(DE33/2,DE33)</f>
        <v>---</v>
      </c>
      <c r="DN33" s="53" t="str">
        <f t="shared" si="299"/>
        <v>---</v>
      </c>
      <c r="DO33" s="53" t="str">
        <f t="shared" si="274"/>
        <v>---</v>
      </c>
      <c r="DP33" s="67"/>
      <c r="DQ33" s="60"/>
      <c r="DR33" s="39" t="str">
        <f t="shared" si="275"/>
        <v>---</v>
      </c>
      <c r="DS33" s="46" t="str">
        <f t="shared" si="276"/>
        <v>---</v>
      </c>
      <c r="DT33" s="40" t="str">
        <f>IFERROR(__xludf.DUMMYFUNCTION("IFS((AND(DH33=TRUE, DI33=""Yes"")), (IFS(ISBLANK(DK33), DG33, DK33=""Novice 1"", CEILING((DG33*1.05), $H33), DK33=""Novice 2"", CEILING((DG33*1.025), $H33), DK33=""Novice 3"", DG33+$H33, DK33=""Intermediate 2"", (IF((ISBETWEEN(((((CZ33-CY33)/2))+DF33), CY"&amp;"33, CZ33)), DG33, DG33+$H33)), DK33=""Intermediate 1"", (IF((ISBETWEEN((DF33-((CZ33-CY33)/2)), CY33, CZ33)), DG33+$H33, (FLOOR((DG33*0.9875), $H33)))), DK33=""Advanced 2"", (IF(AND(((DE33+((CX33-CW33)/2))&gt;CX33), ((DF33+((CZ33-CY33)/2))&gt;CZ33)), DG33+$H33, "&amp;"(DG33))), DK33=""Advanced 1"", (IFS(DS33&lt;DF33, DG33+$H33, DS33=DF33, (DG33), DS33&gt;DF33, (FLOOR((DG33*0.9875), $H33)))))), (AND(CZ33=TRUE, DA33=""No"", DH33=TRUE, DI33=""No"")), (FLOOR((DG33*0.9), $H33)), (NOT((AND(DH33=TRUE, DI33=""Yes"")))), DG33)"),"---")</f>
        <v>---</v>
      </c>
      <c r="DU33" s="41" t="b">
        <v>0</v>
      </c>
      <c r="DV33" s="47"/>
      <c r="DW33" s="47"/>
      <c r="DX33" s="47" t="str">
        <f t="shared" si="277"/>
        <v/>
      </c>
      <c r="DY33" s="60"/>
      <c r="DZ33" s="39" t="str">
        <f t="shared" si="278"/>
        <v>---</v>
      </c>
      <c r="EA33" s="46" t="str">
        <f t="shared" si="279"/>
        <v>---</v>
      </c>
      <c r="EB33" s="40" t="str">
        <f>IFERROR(__xludf.DUMMYFUNCTION("IFS((AND(DU33=TRUE, DV33=""Yes"")), (IFS(ISBLANK(DX33), DT33, DX33=""Novice 1"", CEILING((DT33*1.05), $H33), DX33=""Novice 2"", CEILING((DT33*1.025), $H33), DX33=""Novice 3"", DT33+$H33, DX33=""Intermediate 2"", (IF((ISBETWEEN(((((DH33-DG33)/2))+DS33), DG"&amp;"33, DH33)), DT33, DT33+$H33)), DX33=""Intermediate 1"", (IF((ISBETWEEN((DS33-((DH33-DG33)/2)), DG33, DH33)), DT33+$H33, (FLOOR((DT33*0.9875), $H33)))), DX33=""Advanced 2"", (IF(AND(((DR33+((DF33-DE33)/2))&gt;DF33), ((DS33+((DH33-DG33)/2))&gt;DH33)), DT33+$H33, "&amp;"(DT33))), DX33=""Advanced 1"", (IFS(EA33&lt;DS33, DT33+$H33, EA33=DS33, (DT33), EA33&gt;DS33, (FLOOR((DT33*0.9875), $H33)))))), (AND(DH33=TRUE, DI33=""No"", DU33=TRUE, DV33=""No"")), (FLOOR((DT33*0.9), $H33)), (NOT((AND(DU33=TRUE, DV33=""Yes"")))), DT33)"),"---")</f>
        <v>---</v>
      </c>
      <c r="EC33" s="41" t="b">
        <v>0</v>
      </c>
      <c r="ED33" s="47"/>
      <c r="EE33" s="47"/>
      <c r="EF33" s="47" t="str">
        <f t="shared" si="280"/>
        <v/>
      </c>
      <c r="EG33" s="60"/>
      <c r="EH33" s="39" t="str">
        <f t="shared" si="281"/>
        <v>---</v>
      </c>
      <c r="EI33" s="46" t="str">
        <f t="shared" si="282"/>
        <v>---</v>
      </c>
      <c r="EJ33" s="40" t="str">
        <f>IFERROR(__xludf.DUMMYFUNCTION("IFS((AND(EC33=TRUE, ED33=""Yes"")), (IFS(ISBLANK(EF33), EB33, EF33=""Novice 1"", CEILING((EB33*1.05), $H33), EF33=""Novice 2"", CEILING((EB33*1.025), $H33), EF33=""Novice 3"", EB33+$H33, EF33=""Intermediate 2"", (IF((ISBETWEEN(((((DU33-DT33)/2))+EA33), DT"&amp;"33, DU33)), EB33, EB33+$H33)), EF33=""Intermediate 1"", (IF((ISBETWEEN((EA33-((DU33-DT33)/2)), DT33, DU33)), EB33+$H33, (FLOOR((EB33*0.9875), $H33)))), EF33=""Advanced 2"", (IF(AND(((DZ33+((DS33-DR33)/2))&gt;DS33), ((EA33+((DU33-DT33)/2))&gt;DU33)), EB33+$H33, "&amp;"(EB33))), EF33=""Advanced 1"", (IFS(EI33&lt;EA33, EB33+$H33, EI33=EA33, (EB33), EI33&gt;EA33, (FLOOR((EB33*0.9875), $H33)))))), (AND(DU33=TRUE, DV33=""No"", EC33=TRUE, ED33=""No"")), (FLOOR((EB33*0.9), $H33)), (NOT((AND(EC33=TRUE, ED33=""Yes"")))), EB33)"),"---")</f>
        <v>---</v>
      </c>
      <c r="EK33" s="41" t="b">
        <v>0</v>
      </c>
      <c r="EL33" s="47"/>
      <c r="EM33" s="47"/>
      <c r="EN33" s="47" t="str">
        <f t="shared" si="283"/>
        <v/>
      </c>
      <c r="EO33" s="60"/>
      <c r="EP33" s="48" t="str">
        <f t="shared" si="284"/>
        <v>---</v>
      </c>
      <c r="EQ33" s="49" t="str">
        <f t="shared" si="285"/>
        <v>---</v>
      </c>
      <c r="ER33" s="50" t="str">
        <f>IFERROR(__xludf.DUMMYFUNCTION("IFS((AND(EK33=TRUE, EL33=""Yes"")), (IFS(ISBLANK(EN33), EJ33, EN33=""Novice 1"", CEILING((EJ33*1.05), $H33), EN33=""Novice 2"", CEILING((EJ33*1.025), $H33), EN33=""Novice 3"", EJ33+$H33, EN33=""Intermediate 2"", (IF((ISBETWEEN(((((EC33-EB33)/2))+EI33), EB"&amp;"33, EC33)), EJ33, EJ33+$H33)), EN33=""Intermediate 1"", (IF((ISBETWEEN((EI33-((EC33-EB33)/2)), EB33, EC33)), EJ33+$H33, (FLOOR((EJ33*0.9875), $H33)))), EN33=""Advanced 2"", (IF(AND(((EH33+((EA33-DZ33)/2))&gt;EA33), ((EI33+((EC33-EB33)/2))&gt;EC33)), EJ33+$H33, "&amp;"(EJ33))), EN33=""Advanced 1"", (IFS(EQ33&lt;EI33, EJ33+$H33, EQ33=EI33, (EJ33), EQ33&gt;EI33, (FLOOR((EJ33*0.9875), $H33)))))), (AND(EC33=TRUE, ED33=""No"", EK33=TRUE, EL33=""No"")), (FLOOR((EJ33*0.9), $H33)), (NOT((AND(EK33=TRUE, EL33=""Yes"")))), EJ33)"),"---")</f>
        <v>---</v>
      </c>
      <c r="ES33" s="51" t="b">
        <v>0</v>
      </c>
      <c r="ET33" s="52"/>
      <c r="EU33" s="52"/>
      <c r="EV33" s="52" t="str">
        <f t="shared" si="286"/>
        <v/>
      </c>
      <c r="EW33" s="69"/>
      <c r="EX33" s="53" t="str">
        <f t="shared" ref="EX33:EY33" si="300">IFERROR(EP33/2,EP33)</f>
        <v>---</v>
      </c>
      <c r="EY33" s="53" t="str">
        <f t="shared" si="300"/>
        <v>---</v>
      </c>
      <c r="EZ33" s="53" t="str">
        <f t="shared" si="288"/>
        <v>---</v>
      </c>
      <c r="FA33" s="67"/>
      <c r="FB33" s="86"/>
      <c r="FC33" s="57"/>
    </row>
    <row r="34" outlineLevel="1">
      <c r="A34" s="81" t="s">
        <v>60</v>
      </c>
      <c r="B34" s="14"/>
      <c r="C34" s="82" t="s">
        <v>53</v>
      </c>
      <c r="D34" s="83" t="s">
        <v>53</v>
      </c>
      <c r="E34" s="82" t="s">
        <v>53</v>
      </c>
      <c r="F34" s="83" t="s">
        <v>53</v>
      </c>
      <c r="G34" s="83" t="s">
        <v>53</v>
      </c>
      <c r="H34" s="84"/>
      <c r="I34" s="85"/>
      <c r="J34" s="70"/>
      <c r="K34" s="39" t="str">
        <f t="shared" si="232"/>
        <v>---</v>
      </c>
      <c r="L34" s="40" t="str">
        <f t="shared" si="233"/>
        <v>---</v>
      </c>
      <c r="M34" s="40" t="str">
        <f t="shared" si="234"/>
        <v>---</v>
      </c>
      <c r="N34" s="41" t="b">
        <v>0</v>
      </c>
      <c r="O34" s="42"/>
      <c r="P34" s="43"/>
      <c r="Q34" s="42" t="str">
        <f t="shared" si="235"/>
        <v/>
      </c>
      <c r="R34" s="71"/>
      <c r="S34" s="39" t="str">
        <f t="shared" si="236"/>
        <v>---</v>
      </c>
      <c r="T34" s="46" t="str">
        <f t="shared" si="237"/>
        <v>---</v>
      </c>
      <c r="U34" s="40" t="str">
        <f>IFERROR(__xludf.DUMMYFUNCTION("IFS((AND(N34=TRUE, O34=""Yes"")), (IFS(ISBLANK(Q34), M34, Q34=""Novice 1"", CEILING((M34*1.05), $H34), Q34=""Novice 2"", CEILING((M34*1.025), $H34), Q34=""Novice 3"", M34+$H34, Q34=""Intermediate 2"", (IF((ISBETWEEN(((((F34-E34)/2))+L34), E34, F34)), M34,"&amp;" M34+$H34)), Q34=""Intermediate 1"", (IF((ISBETWEEN((L34-((F34-E34)/2)), E34, F34)), M34+$H34, (FLOOR((M34*0.9875), $H34)))), Q34=""Advanced 2"", (IF(AND(((K34+((D34-C34)/2))&gt;D34), ((L34+((F34-E34)/2))&gt;F34)), M34+$H34, (M34))), Q34=""Advanced 1"", (IFS(T3"&amp;"4&lt;L34, M34+$H34, T34=L34, (M34), T34&gt;L34, (FLOOR((M34*0.9875), $H34)))))), (AND(F34=TRUE, G34=""No"", N34=TRUE, O34=""No"")), (FLOOR((M34*0.9), $H34)), (NOT((AND(N34=TRUE, O34=""Yes"")))), M34)"),"---")</f>
        <v>---</v>
      </c>
      <c r="V34" s="41" t="b">
        <v>0</v>
      </c>
      <c r="W34" s="47"/>
      <c r="X34" s="47"/>
      <c r="Y34" s="47" t="str">
        <f t="shared" si="238"/>
        <v/>
      </c>
      <c r="Z34" s="71"/>
      <c r="AA34" s="39" t="str">
        <f t="shared" si="239"/>
        <v>---</v>
      </c>
      <c r="AB34" s="46" t="str">
        <f t="shared" si="240"/>
        <v>---</v>
      </c>
      <c r="AC34" s="40" t="str">
        <f>IFERROR(__xludf.DUMMYFUNCTION("IFS((AND(V34=TRUE, W34=""Yes"")), (IFS(ISBLANK(Y34), U34, Y34=""Novice 1"", CEILING((U34*1.05), $H34), Y34=""Novice 2"", CEILING((U34*1.025), $H34), Y34=""Novice 3"", U34+$H34, Y34=""Intermediate 2"", (IF((ISBETWEEN(((((N34-M34)/2))+T34), M34, N34)), U34,"&amp;" U34+$H34)), Y34=""Intermediate 1"", (IF((ISBETWEEN((T34-((N34-M34)/2)), M34, N34)), U34+$H34, (FLOOR((U34*0.9875), $H34)))), Y34=""Advanced 2"", (IF(AND(((S34+((L34-K34)/2))&gt;L34), ((T34+((N34-M34)/2))&gt;N34)), U34+$H34, (U34))), Y34=""Advanced 1"", (IFS(AB"&amp;"34&lt;T34, U34+$H34, AB34=T34, (U34), AB34&gt;T34, (FLOOR((U34*0.9875), $H34)))))), (AND(N34=TRUE, O34=""No"", V34=TRUE, W34=""No"")), (FLOOR((U34*0.9), $H34)), (NOT((AND(V34=TRUE, W34=""Yes"")))), U34)"),"---")</f>
        <v>---</v>
      </c>
      <c r="AD34" s="41" t="b">
        <v>0</v>
      </c>
      <c r="AE34" s="47"/>
      <c r="AF34" s="47"/>
      <c r="AG34" s="47" t="str">
        <f t="shared" si="241"/>
        <v/>
      </c>
      <c r="AH34" s="71"/>
      <c r="AI34" s="61" t="str">
        <f t="shared" si="242"/>
        <v>---</v>
      </c>
      <c r="AJ34" s="62" t="str">
        <f t="shared" si="243"/>
        <v>---</v>
      </c>
      <c r="AK34" s="63" t="str">
        <f>IFERROR(__xludf.DUMMYFUNCTION("IFS((AND(AD34=TRUE, AE34=""Yes"")), (IFS(ISBLANK(AG34), AC34, AG34=""Novice 1"", CEILING((AC34*1.05), $H34), AG34=""Novice 2"", CEILING((AC34*1.025), $H34), AG34=""Novice 3"", AC34+$H34, AG34=""Intermediate 2"", (IF((ISBETWEEN(((((V34-U34)/2))+AB34), U34,"&amp;" V34)), AC34, AC34+$H34)), AG34=""Intermediate 1"", (IF((ISBETWEEN((AB34-((V34-U34)/2)), U34, V34)), AC34+$H34, (FLOOR((AC34*0.9875), $H34)))), AG34=""Advanced 2"", (IF(AND(((AA34+((T34-S34)/2))&gt;T34), ((AB34+((V34-U34)/2))&gt;V34)), AC34+$H34, (AC34))), AG34"&amp;"=""Advanced 1"", (IFS(AJ34&lt;AB34, AC34+$H34, AJ34=AB34, (AC34), AJ34&gt;AB34, (FLOOR((AC34*0.9875), $H34)))))), (AND(V34=TRUE, W34=""No"", AD34=TRUE, AE34=""No"")), (FLOOR((AC34*0.9), $H34)), (NOT((AND(AD34=TRUE, AE34=""Yes"")))), AC34)"),"---")</f>
        <v>---</v>
      </c>
      <c r="AL34" s="64" t="b">
        <v>0</v>
      </c>
      <c r="AM34" s="65"/>
      <c r="AN34" s="65"/>
      <c r="AO34" s="65" t="str">
        <f t="shared" si="244"/>
        <v/>
      </c>
      <c r="AP34" s="72"/>
      <c r="AQ34" s="53" t="str">
        <f t="shared" ref="AQ34:AR34" si="301">IFERROR(AI34/2,AI34)</f>
        <v>---</v>
      </c>
      <c r="AR34" s="53" t="str">
        <f t="shared" si="301"/>
        <v>---</v>
      </c>
      <c r="AS34" s="53" t="str">
        <f t="shared" si="246"/>
        <v>---</v>
      </c>
      <c r="AT34" s="67"/>
      <c r="AU34" s="71"/>
      <c r="AV34" s="39" t="str">
        <f t="shared" si="247"/>
        <v>---</v>
      </c>
      <c r="AW34" s="46" t="str">
        <f t="shared" si="248"/>
        <v>---</v>
      </c>
      <c r="AX34" s="40" t="str">
        <f>IFERROR(__xludf.DUMMYFUNCTION("IFS((AND(AL34=TRUE, AM34=""Yes"")), (IFS(ISBLANK(AO34), AK34, AO34=""Novice 1"", CEILING((AK34*1.05), $H34), AO34=""Novice 2"", CEILING((AK34*1.025), $H34), AO34=""Novice 3"", AK34+$H34, AO34=""Intermediate 2"", (IF((ISBETWEEN(((((AD34-AC34)/2))+AJ34), AC"&amp;"34, AD34)), AK34, AK34+$H34)), AO34=""Intermediate 1"", (IF((ISBETWEEN((AJ34-((AD34-AC34)/2)), AC34, AD34)), AK34+$H34, (FLOOR((AK34*0.9875), $H34)))), AO34=""Advanced 2"", (IF(AND(((AI34+((AB34-AA34)/2))&gt;AB34), ((AJ34+((AD34-AC34)/2))&gt;AD34)), AK34+$H34, "&amp;"(AK34))), AO34=""Advanced 1"", (IFS(AW34&lt;AJ34, AK34+$H34, AW34=AJ34, (AK34), AW34&gt;AJ34, (FLOOR((AK34*0.9875), $H34)))))), (AND(AD34=TRUE, AE34=""No"", AL34=TRUE, AM34=""No"")), (FLOOR((AK34*0.9), $H34)), (NOT((AND(AL34=TRUE, AM34=""Yes"")))), AK34)"),"---")</f>
        <v>---</v>
      </c>
      <c r="AY34" s="41" t="b">
        <v>0</v>
      </c>
      <c r="AZ34" s="47"/>
      <c r="BA34" s="47"/>
      <c r="BB34" s="47" t="str">
        <f t="shared" si="249"/>
        <v/>
      </c>
      <c r="BC34" s="71"/>
      <c r="BD34" s="39" t="str">
        <f t="shared" si="250"/>
        <v>---</v>
      </c>
      <c r="BE34" s="46" t="str">
        <f t="shared" si="251"/>
        <v>---</v>
      </c>
      <c r="BF34" s="40" t="str">
        <f>IFERROR(__xludf.DUMMYFUNCTION("IFS((AND(AY34=TRUE, AZ34=""Yes"")), (IFS(ISBLANK(BB34), AX34, BB34=""Novice 1"", CEILING((AX34*1.05), $H34), BB34=""Novice 2"", CEILING((AX34*1.025), $H34), BB34=""Novice 3"", AX34+$H34, BB34=""Intermediate 2"", (IF((ISBETWEEN(((((AL34-AK34)/2))+AW34), AK"&amp;"34, AL34)), AX34, AX34+$H34)), BB34=""Intermediate 1"", (IF((ISBETWEEN((AW34-((AL34-AK34)/2)), AK34, AL34)), AX34+$H34, (FLOOR((AX34*0.9875), $H34)))), BB34=""Advanced 2"", (IF(AND(((AV34+((AJ34-AI34)/2))&gt;AJ34), ((AW34+((AL34-AK34)/2))&gt;AL34)), AX34+$H34, "&amp;"(AX34))), BB34=""Advanced 1"", (IFS(BE34&lt;AW34, AX34+$H34, BE34=AW34, (AX34), BE34&gt;AW34, (FLOOR((AX34*0.9875), $H34)))))), (AND(AL34=TRUE, AM34=""No"", AY34=TRUE, AZ34=""No"")), (FLOOR((AX34*0.9), $H34)), (NOT((AND(AY34=TRUE, AZ34=""Yes"")))), AX34)"),"---")</f>
        <v>---</v>
      </c>
      <c r="BG34" s="41" t="b">
        <v>0</v>
      </c>
      <c r="BH34" s="47"/>
      <c r="BI34" s="47"/>
      <c r="BJ34" s="47" t="str">
        <f t="shared" si="252"/>
        <v/>
      </c>
      <c r="BK34" s="71"/>
      <c r="BL34" s="39" t="str">
        <f t="shared" si="253"/>
        <v>---</v>
      </c>
      <c r="BM34" s="46" t="str">
        <f t="shared" si="254"/>
        <v>---</v>
      </c>
      <c r="BN34" s="40" t="str">
        <f>IFERROR(__xludf.DUMMYFUNCTION("IFS((AND(BG34=TRUE, BH34=""Yes"")), (IFS(ISBLANK(BJ34), BF34, BJ34=""Novice 1"", CEILING((BF34*1.05), $H34), BJ34=""Novice 2"", CEILING((BF34*1.025), $H34), BJ34=""Novice 3"", BF34+$H34, BJ34=""Intermediate 2"", (IF((ISBETWEEN(((((AY34-AX34)/2))+BE34), AX"&amp;"34, AY34)), BF34, BF34+$H34)), BJ34=""Intermediate 1"", (IF((ISBETWEEN((BE34-((AY34-AX34)/2)), AX34, AY34)), BF34+$H34, (FLOOR((BF34*0.9875), $H34)))), BJ34=""Advanced 2"", (IF(AND(((BD34+((AW34-AV34)/2))&gt;AW34), ((BE34+((AY34-AX34)/2))&gt;AY34)), BF34+$H34, "&amp;"(BF34))), BJ34=""Advanced 1"", (IFS(BM34&lt;BE34, BF34+$H34, BM34=BE34, (BF34), BM34&gt;BE34, (FLOOR((BF34*0.9875), $H34)))))), (AND(AY34=TRUE, AZ34=""No"", BG34=TRUE, BH34=""No"")), (FLOOR((BF34*0.9), $H34)), (NOT((AND(BG34=TRUE, BH34=""Yes"")))), BF34)"),"---")</f>
        <v>---</v>
      </c>
      <c r="BO34" s="41" t="b">
        <v>0</v>
      </c>
      <c r="BP34" s="47"/>
      <c r="BQ34" s="47"/>
      <c r="BR34" s="47" t="str">
        <f t="shared" si="255"/>
        <v/>
      </c>
      <c r="BS34" s="71"/>
      <c r="BT34" s="61" t="str">
        <f t="shared" si="256"/>
        <v>---</v>
      </c>
      <c r="BU34" s="62" t="str">
        <f t="shared" si="257"/>
        <v>---</v>
      </c>
      <c r="BV34" s="63" t="str">
        <f>IFERROR(__xludf.DUMMYFUNCTION("IFS((AND(BO34=TRUE, BP34=""Yes"")), (IFS(ISBLANK(BR34), BN34, BR34=""Novice 1"", CEILING((BN34*1.05), $H34), BR34=""Novice 2"", CEILING((BN34*1.025), $H34), BR34=""Novice 3"", BN34+$H34, BR34=""Intermediate 2"", (IF((ISBETWEEN(((((BG34-BF34)/2))+BM34), BF"&amp;"34, BG34)), BN34, BN34+$H34)), BR34=""Intermediate 1"", (IF((ISBETWEEN((BM34-((BG34-BF34)/2)), BF34, BG34)), BN34+$H34, (FLOOR((BN34*0.9875), $H34)))), BR34=""Advanced 2"", (IF(AND(((BL34+((BE34-BD34)/2))&gt;BE34), ((BM34+((BG34-BF34)/2))&gt;BG34)), BN34+$H34, "&amp;"(BN34))), BR34=""Advanced 1"", (IFS(BU34&lt;BM34, BN34+$H34, BU34=BM34, (BN34), BU34&gt;BM34, (FLOOR((BN34*0.9875), $H34)))))), (AND(BG34=TRUE, BH34=""No"", BO34=TRUE, BP34=""No"")), (FLOOR((BN34*0.9), $H34)), (NOT((AND(BO34=TRUE, BP34=""Yes"")))), BN34)"),"---")</f>
        <v>---</v>
      </c>
      <c r="BW34" s="64" t="b">
        <v>0</v>
      </c>
      <c r="BX34" s="65"/>
      <c r="BY34" s="65"/>
      <c r="BZ34" s="65" t="str">
        <f t="shared" si="258"/>
        <v/>
      </c>
      <c r="CA34" s="72"/>
      <c r="CB34" s="53" t="str">
        <f t="shared" ref="CB34:CC34" si="302">IFERROR(BT34/2,BT34)</f>
        <v>---</v>
      </c>
      <c r="CC34" s="53" t="str">
        <f t="shared" si="302"/>
        <v>---</v>
      </c>
      <c r="CD34" s="53" t="str">
        <f t="shared" si="260"/>
        <v>---</v>
      </c>
      <c r="CE34" s="67"/>
      <c r="CF34" s="71"/>
      <c r="CG34" s="39" t="str">
        <f t="shared" si="261"/>
        <v>---</v>
      </c>
      <c r="CH34" s="46" t="str">
        <f t="shared" si="262"/>
        <v>---</v>
      </c>
      <c r="CI34" s="40" t="str">
        <f>IFERROR(__xludf.DUMMYFUNCTION("IFS((AND(BW34=TRUE, BX34=""Yes"")), (IFS(ISBLANK(BZ34), BV34, BZ34=""Novice 1"", CEILING((BV34*1.05), $H34), BZ34=""Novice 2"", CEILING((BV34*1.025), $H34), BZ34=""Novice 3"", BV34+$H34, BZ34=""Intermediate 2"", (IF((ISBETWEEN(((((BO34-BN34)/2))+BU34), BN"&amp;"34, BO34)), BV34, BV34+$H34)), BZ34=""Intermediate 1"", (IF((ISBETWEEN((BU34-((BO34-BN34)/2)), BN34, BO34)), BV34+$H34, (FLOOR((BV34*0.9875), $H34)))), BZ34=""Advanced 2"", (IF(AND(((BT34+((BM34-BL34)/2))&gt;BM34), ((BU34+((BO34-BN34)/2))&gt;BO34)), BV34+$H34, "&amp;"(BV34))), BZ34=""Advanced 1"", (IFS(CH34&lt;BU34, BV34+$H34, CH34=BU34, (BV34), CH34&gt;BU34, (FLOOR((BV34*0.9875), $H34)))))), (AND(BO34=TRUE, BP34=""No"", BW34=TRUE, BX34=""No"")), (FLOOR((BV34*0.9), $H34)), (NOT((AND(BW34=TRUE, BX34=""Yes"")))), BV34)"),"---")</f>
        <v>---</v>
      </c>
      <c r="CJ34" s="41" t="b">
        <v>0</v>
      </c>
      <c r="CK34" s="47"/>
      <c r="CL34" s="47"/>
      <c r="CM34" s="47" t="str">
        <f t="shared" si="263"/>
        <v/>
      </c>
      <c r="CN34" s="71"/>
      <c r="CO34" s="39" t="str">
        <f t="shared" si="264"/>
        <v>---</v>
      </c>
      <c r="CP34" s="46" t="str">
        <f t="shared" si="265"/>
        <v>---</v>
      </c>
      <c r="CQ34" s="40" t="str">
        <f>IFERROR(__xludf.DUMMYFUNCTION("IFS((AND(CJ34=TRUE, CK34=""Yes"")), (IFS(ISBLANK(CM34), CI34, CM34=""Novice 1"", CEILING((CI34*1.05), $H34), CM34=""Novice 2"", CEILING((CI34*1.025), $H34), CM34=""Novice 3"", CI34+$H34, CM34=""Intermediate 2"", (IF((ISBETWEEN(((((BW34-BV34)/2))+CH34), BV"&amp;"34, BW34)), CI34, CI34+$H34)), CM34=""Intermediate 1"", (IF((ISBETWEEN((CH34-((BW34-BV34)/2)), BV34, BW34)), CI34+$H34, (FLOOR((CI34*0.9875), $H34)))), CM34=""Advanced 2"", (IF(AND(((CG34+((BU34-BT34)/2))&gt;BU34), ((CH34+((BW34-BV34)/2))&gt;BW34)), CI34+$H34, "&amp;"(CI34))), CM34=""Advanced 1"", (IFS(CP34&lt;CH34, CI34+$H34, CP34=CH34, (CI34), CP34&gt;CH34, (FLOOR((CI34*0.9875), $H34)))))), (AND(BW34=TRUE, BX34=""No"", CJ34=TRUE, CK34=""No"")), (FLOOR((CI34*0.9), $H34)), (NOT((AND(CJ34=TRUE, CK34=""Yes"")))), CI34)"),"---")</f>
        <v>---</v>
      </c>
      <c r="CR34" s="41" t="b">
        <v>0</v>
      </c>
      <c r="CS34" s="47"/>
      <c r="CT34" s="47"/>
      <c r="CU34" s="47" t="str">
        <f t="shared" si="266"/>
        <v/>
      </c>
      <c r="CV34" s="71"/>
      <c r="CW34" s="39" t="str">
        <f t="shared" si="267"/>
        <v>---</v>
      </c>
      <c r="CX34" s="46" t="str">
        <f t="shared" si="268"/>
        <v>---</v>
      </c>
      <c r="CY34" s="40" t="str">
        <f>IFERROR(__xludf.DUMMYFUNCTION("IFS((AND(CR34=TRUE, CS34=""Yes"")), (IFS(ISBLANK(CU34), CQ34, CU34=""Novice 1"", CEILING((CQ34*1.05), $H34), CU34=""Novice 2"", CEILING((CQ34*1.025), $H34), CU34=""Novice 3"", CQ34+$H34, CU34=""Intermediate 2"", (IF((ISBETWEEN(((((CJ34-CI34)/2))+CP34), CI"&amp;"34, CJ34)), CQ34, CQ34+$H34)), CU34=""Intermediate 1"", (IF((ISBETWEEN((CP34-((CJ34-CI34)/2)), CI34, CJ34)), CQ34+$H34, (FLOOR((CQ34*0.9875), $H34)))), CU34=""Advanced 2"", (IF(AND(((CO34+((CH34-CG34)/2))&gt;CH34), ((CP34+((CJ34-CI34)/2))&gt;CJ34)), CQ34+$H34, "&amp;"(CQ34))), CU34=""Advanced 1"", (IFS(CX34&lt;CP34, CQ34+$H34, CX34=CP34, (CQ34), CX34&gt;CP34, (FLOOR((CQ34*0.9875), $H34)))))), (AND(CJ34=TRUE, CK34=""No"", CR34=TRUE, CS34=""No"")), (FLOOR((CQ34*0.9), $H34)), (NOT((AND(CR34=TRUE, CS34=""Yes"")))), CQ34)"),"---")</f>
        <v>---</v>
      </c>
      <c r="CZ34" s="41" t="b">
        <v>0</v>
      </c>
      <c r="DA34" s="47"/>
      <c r="DB34" s="47"/>
      <c r="DC34" s="47" t="str">
        <f t="shared" si="269"/>
        <v/>
      </c>
      <c r="DD34" s="71"/>
      <c r="DE34" s="61" t="str">
        <f t="shared" si="270"/>
        <v>---</v>
      </c>
      <c r="DF34" s="62" t="str">
        <f t="shared" si="271"/>
        <v>---</v>
      </c>
      <c r="DG34" s="63" t="str">
        <f>IFERROR(__xludf.DUMMYFUNCTION("IFS((AND(CZ34=TRUE, DA34=""Yes"")), (IFS(ISBLANK(DC34), CY34, DC34=""Novice 1"", CEILING((CY34*1.05), $H34), DC34=""Novice 2"", CEILING((CY34*1.025), $H34), DC34=""Novice 3"", CY34+$H34, DC34=""Intermediate 2"", (IF((ISBETWEEN(((((CR34-CQ34)/2))+CX34), CQ"&amp;"34, CR34)), CY34, CY34+$H34)), DC34=""Intermediate 1"", (IF((ISBETWEEN((CX34-((CR34-CQ34)/2)), CQ34, CR34)), CY34+$H34, (FLOOR((CY34*0.9875), $H34)))), DC34=""Advanced 2"", (IF(AND(((CW34+((CP34-CO34)/2))&gt;CP34), ((CX34+((CR34-CQ34)/2))&gt;CR34)), CY34+$H34, "&amp;"(CY34))), DC34=""Advanced 1"", (IFS(DF34&lt;CX34, CY34+$H34, DF34=CX34, (CY34), DF34&gt;CX34, (FLOOR((CY34*0.9875), $H34)))))), (AND(CR34=TRUE, CS34=""No"", CZ34=TRUE, DA34=""No"")), (FLOOR((CY34*0.9), $H34)), (NOT((AND(CZ34=TRUE, DA34=""Yes"")))), CY34)"),"---")</f>
        <v>---</v>
      </c>
      <c r="DH34" s="64" t="b">
        <v>0</v>
      </c>
      <c r="DI34" s="65"/>
      <c r="DJ34" s="65"/>
      <c r="DK34" s="65" t="str">
        <f t="shared" si="272"/>
        <v/>
      </c>
      <c r="DL34" s="72"/>
      <c r="DM34" s="53" t="str">
        <f t="shared" ref="DM34:DN34" si="303">IFERROR(DE34/2,DE34)</f>
        <v>---</v>
      </c>
      <c r="DN34" s="53" t="str">
        <f t="shared" si="303"/>
        <v>---</v>
      </c>
      <c r="DO34" s="53" t="str">
        <f t="shared" si="274"/>
        <v>---</v>
      </c>
      <c r="DP34" s="67"/>
      <c r="DQ34" s="71"/>
      <c r="DR34" s="39" t="str">
        <f t="shared" si="275"/>
        <v>---</v>
      </c>
      <c r="DS34" s="46" t="str">
        <f t="shared" si="276"/>
        <v>---</v>
      </c>
      <c r="DT34" s="40" t="str">
        <f>IFERROR(__xludf.DUMMYFUNCTION("IFS((AND(DH34=TRUE, DI34=""Yes"")), (IFS(ISBLANK(DK34), DG34, DK34=""Novice 1"", CEILING((DG34*1.05), $H34), DK34=""Novice 2"", CEILING((DG34*1.025), $H34), DK34=""Novice 3"", DG34+$H34, DK34=""Intermediate 2"", (IF((ISBETWEEN(((((CZ34-CY34)/2))+DF34), CY"&amp;"34, CZ34)), DG34, DG34+$H34)), DK34=""Intermediate 1"", (IF((ISBETWEEN((DF34-((CZ34-CY34)/2)), CY34, CZ34)), DG34+$H34, (FLOOR((DG34*0.9875), $H34)))), DK34=""Advanced 2"", (IF(AND(((DE34+((CX34-CW34)/2))&gt;CX34), ((DF34+((CZ34-CY34)/2))&gt;CZ34)), DG34+$H34, "&amp;"(DG34))), DK34=""Advanced 1"", (IFS(DS34&lt;DF34, DG34+$H34, DS34=DF34, (DG34), DS34&gt;DF34, (FLOOR((DG34*0.9875), $H34)))))), (AND(CZ34=TRUE, DA34=""No"", DH34=TRUE, DI34=""No"")), (FLOOR((DG34*0.9), $H34)), (NOT((AND(DH34=TRUE, DI34=""Yes"")))), DG34)"),"---")</f>
        <v>---</v>
      </c>
      <c r="DU34" s="41" t="b">
        <v>0</v>
      </c>
      <c r="DV34" s="47"/>
      <c r="DW34" s="47"/>
      <c r="DX34" s="47" t="str">
        <f t="shared" si="277"/>
        <v/>
      </c>
      <c r="DY34" s="71"/>
      <c r="DZ34" s="39" t="str">
        <f t="shared" si="278"/>
        <v>---</v>
      </c>
      <c r="EA34" s="46" t="str">
        <f t="shared" si="279"/>
        <v>---</v>
      </c>
      <c r="EB34" s="40" t="str">
        <f>IFERROR(__xludf.DUMMYFUNCTION("IFS((AND(DU34=TRUE, DV34=""Yes"")), (IFS(ISBLANK(DX34), DT34, DX34=""Novice 1"", CEILING((DT34*1.05), $H34), DX34=""Novice 2"", CEILING((DT34*1.025), $H34), DX34=""Novice 3"", DT34+$H34, DX34=""Intermediate 2"", (IF((ISBETWEEN(((((DH34-DG34)/2))+DS34), DG"&amp;"34, DH34)), DT34, DT34+$H34)), DX34=""Intermediate 1"", (IF((ISBETWEEN((DS34-((DH34-DG34)/2)), DG34, DH34)), DT34+$H34, (FLOOR((DT34*0.9875), $H34)))), DX34=""Advanced 2"", (IF(AND(((DR34+((DF34-DE34)/2))&gt;DF34), ((DS34+((DH34-DG34)/2))&gt;DH34)), DT34+$H34, "&amp;"(DT34))), DX34=""Advanced 1"", (IFS(EA34&lt;DS34, DT34+$H34, EA34=DS34, (DT34), EA34&gt;DS34, (FLOOR((DT34*0.9875), $H34)))))), (AND(DH34=TRUE, DI34=""No"", DU34=TRUE, DV34=""No"")), (FLOOR((DT34*0.9), $H34)), (NOT((AND(DU34=TRUE, DV34=""Yes"")))), DT34)"),"---")</f>
        <v>---</v>
      </c>
      <c r="EC34" s="41" t="b">
        <v>0</v>
      </c>
      <c r="ED34" s="47"/>
      <c r="EE34" s="47"/>
      <c r="EF34" s="47" t="str">
        <f t="shared" si="280"/>
        <v/>
      </c>
      <c r="EG34" s="71"/>
      <c r="EH34" s="39" t="str">
        <f t="shared" si="281"/>
        <v>---</v>
      </c>
      <c r="EI34" s="46" t="str">
        <f t="shared" si="282"/>
        <v>---</v>
      </c>
      <c r="EJ34" s="40" t="str">
        <f>IFERROR(__xludf.DUMMYFUNCTION("IFS((AND(EC34=TRUE, ED34=""Yes"")), (IFS(ISBLANK(EF34), EB34, EF34=""Novice 1"", CEILING((EB34*1.05), $H34), EF34=""Novice 2"", CEILING((EB34*1.025), $H34), EF34=""Novice 3"", EB34+$H34, EF34=""Intermediate 2"", (IF((ISBETWEEN(((((DU34-DT34)/2))+EA34), DT"&amp;"34, DU34)), EB34, EB34+$H34)), EF34=""Intermediate 1"", (IF((ISBETWEEN((EA34-((DU34-DT34)/2)), DT34, DU34)), EB34+$H34, (FLOOR((EB34*0.9875), $H34)))), EF34=""Advanced 2"", (IF(AND(((DZ34+((DS34-DR34)/2))&gt;DS34), ((EA34+((DU34-DT34)/2))&gt;DU34)), EB34+$H34, "&amp;"(EB34))), EF34=""Advanced 1"", (IFS(EI34&lt;EA34, EB34+$H34, EI34=EA34, (EB34), EI34&gt;EA34, (FLOOR((EB34*0.9875), $H34)))))), (AND(DU34=TRUE, DV34=""No"", EC34=TRUE, ED34=""No"")), (FLOOR((EB34*0.9), $H34)), (NOT((AND(EC34=TRUE, ED34=""Yes"")))), EB34)"),"---")</f>
        <v>---</v>
      </c>
      <c r="EK34" s="41" t="b">
        <v>0</v>
      </c>
      <c r="EL34" s="47"/>
      <c r="EM34" s="47"/>
      <c r="EN34" s="47" t="str">
        <f t="shared" si="283"/>
        <v/>
      </c>
      <c r="EO34" s="71"/>
      <c r="EP34" s="61" t="str">
        <f t="shared" si="284"/>
        <v>---</v>
      </c>
      <c r="EQ34" s="62" t="str">
        <f t="shared" si="285"/>
        <v>---</v>
      </c>
      <c r="ER34" s="63" t="str">
        <f>IFERROR(__xludf.DUMMYFUNCTION("IFS((AND(EK34=TRUE, EL34=""Yes"")), (IFS(ISBLANK(EN34), EJ34, EN34=""Novice 1"", CEILING((EJ34*1.05), $H34), EN34=""Novice 2"", CEILING((EJ34*1.025), $H34), EN34=""Novice 3"", EJ34+$H34, EN34=""Intermediate 2"", (IF((ISBETWEEN(((((EC34-EB34)/2))+EI34), EB"&amp;"34, EC34)), EJ34, EJ34+$H34)), EN34=""Intermediate 1"", (IF((ISBETWEEN((EI34-((EC34-EB34)/2)), EB34, EC34)), EJ34+$H34, (FLOOR((EJ34*0.9875), $H34)))), EN34=""Advanced 2"", (IF(AND(((EH34+((EA34-DZ34)/2))&gt;EA34), ((EI34+((EC34-EB34)/2))&gt;EC34)), EJ34+$H34, "&amp;"(EJ34))), EN34=""Advanced 1"", (IFS(EQ34&lt;EI34, EJ34+$H34, EQ34=EI34, (EJ34), EQ34&gt;EI34, (FLOOR((EJ34*0.9875), $H34)))))), (AND(EC34=TRUE, ED34=""No"", EK34=TRUE, EL34=""No"")), (FLOOR((EJ34*0.9), $H34)), (NOT((AND(EK34=TRUE, EL34=""Yes"")))), EJ34)"),"---")</f>
        <v>---</v>
      </c>
      <c r="ES34" s="64" t="b">
        <v>0</v>
      </c>
      <c r="ET34" s="65"/>
      <c r="EU34" s="65"/>
      <c r="EV34" s="65" t="str">
        <f t="shared" si="286"/>
        <v/>
      </c>
      <c r="EW34" s="72"/>
      <c r="EX34" s="53" t="str">
        <f t="shared" ref="EX34:EY34" si="304">IFERROR(EP34/2,EP34)</f>
        <v>---</v>
      </c>
      <c r="EY34" s="53" t="str">
        <f t="shared" si="304"/>
        <v>---</v>
      </c>
      <c r="EZ34" s="53" t="str">
        <f t="shared" si="288"/>
        <v>---</v>
      </c>
      <c r="FA34" s="67"/>
      <c r="FB34" s="86"/>
      <c r="FC34" s="57"/>
    </row>
    <row r="35" outlineLevel="1">
      <c r="A35" s="81" t="s">
        <v>61</v>
      </c>
      <c r="B35" s="87"/>
      <c r="C35" s="82" t="s">
        <v>53</v>
      </c>
      <c r="D35" s="83" t="s">
        <v>53</v>
      </c>
      <c r="E35" s="82" t="s">
        <v>53</v>
      </c>
      <c r="F35" s="83" t="s">
        <v>53</v>
      </c>
      <c r="G35" s="83" t="s">
        <v>53</v>
      </c>
      <c r="H35" s="88"/>
      <c r="I35" s="85"/>
      <c r="J35" s="73"/>
      <c r="K35" s="39" t="str">
        <f t="shared" si="232"/>
        <v>---</v>
      </c>
      <c r="L35" s="40" t="str">
        <f t="shared" si="233"/>
        <v>---</v>
      </c>
      <c r="M35" s="40" t="str">
        <f t="shared" si="234"/>
        <v>---</v>
      </c>
      <c r="N35" s="41" t="b">
        <v>0</v>
      </c>
      <c r="O35" s="42"/>
      <c r="P35" s="43"/>
      <c r="Q35" s="42"/>
      <c r="R35" s="73"/>
      <c r="S35" s="46"/>
      <c r="T35" s="46"/>
      <c r="U35" s="40"/>
      <c r="V35" s="41" t="b">
        <v>0</v>
      </c>
      <c r="W35" s="47"/>
      <c r="X35" s="47"/>
      <c r="Y35" s="47"/>
      <c r="Z35" s="73"/>
      <c r="AA35" s="46"/>
      <c r="AB35" s="46"/>
      <c r="AC35" s="40"/>
      <c r="AD35" s="41" t="b">
        <v>0</v>
      </c>
      <c r="AE35" s="47"/>
      <c r="AF35" s="47"/>
      <c r="AG35" s="47"/>
      <c r="AH35" s="73"/>
      <c r="AI35" s="49"/>
      <c r="AJ35" s="49"/>
      <c r="AK35" s="50"/>
      <c r="AL35" s="51" t="b">
        <v>0</v>
      </c>
      <c r="AM35" s="52"/>
      <c r="AN35" s="52"/>
      <c r="AO35" s="52"/>
      <c r="AP35" s="73"/>
      <c r="AQ35" s="75"/>
      <c r="AR35" s="75"/>
      <c r="AS35" s="75"/>
      <c r="AT35" s="76"/>
      <c r="AU35" s="73"/>
      <c r="AV35" s="46"/>
      <c r="AW35" s="46"/>
      <c r="AX35" s="40"/>
      <c r="AY35" s="41" t="b">
        <v>0</v>
      </c>
      <c r="AZ35" s="47"/>
      <c r="BA35" s="47"/>
      <c r="BB35" s="47"/>
      <c r="BC35" s="73"/>
      <c r="BD35" s="46"/>
      <c r="BE35" s="46"/>
      <c r="BF35" s="40"/>
      <c r="BG35" s="41" t="b">
        <v>0</v>
      </c>
      <c r="BH35" s="47"/>
      <c r="BI35" s="47"/>
      <c r="BJ35" s="47"/>
      <c r="BK35" s="73"/>
      <c r="BL35" s="46"/>
      <c r="BM35" s="46"/>
      <c r="BN35" s="40"/>
      <c r="BO35" s="41" t="b">
        <v>0</v>
      </c>
      <c r="BP35" s="47"/>
      <c r="BQ35" s="47"/>
      <c r="BR35" s="47"/>
      <c r="BS35" s="73"/>
      <c r="BT35" s="49"/>
      <c r="BU35" s="49"/>
      <c r="BV35" s="50"/>
      <c r="BW35" s="51" t="b">
        <v>0</v>
      </c>
      <c r="BX35" s="52"/>
      <c r="BY35" s="52"/>
      <c r="BZ35" s="52"/>
      <c r="CA35" s="73"/>
      <c r="CB35" s="75"/>
      <c r="CC35" s="75"/>
      <c r="CD35" s="75"/>
      <c r="CE35" s="76"/>
      <c r="CF35" s="73"/>
      <c r="CG35" s="46"/>
      <c r="CH35" s="46"/>
      <c r="CI35" s="40"/>
      <c r="CJ35" s="41" t="b">
        <v>0</v>
      </c>
      <c r="CK35" s="47"/>
      <c r="CL35" s="47"/>
      <c r="CM35" s="47"/>
      <c r="CN35" s="73"/>
      <c r="CO35" s="46"/>
      <c r="CP35" s="46"/>
      <c r="CQ35" s="40"/>
      <c r="CR35" s="41" t="b">
        <v>0</v>
      </c>
      <c r="CS35" s="47"/>
      <c r="CT35" s="47"/>
      <c r="CU35" s="47"/>
      <c r="CV35" s="73"/>
      <c r="CW35" s="46"/>
      <c r="CX35" s="46"/>
      <c r="CY35" s="40"/>
      <c r="CZ35" s="41" t="b">
        <v>0</v>
      </c>
      <c r="DA35" s="47"/>
      <c r="DB35" s="47"/>
      <c r="DC35" s="47"/>
      <c r="DD35" s="73"/>
      <c r="DE35" s="49"/>
      <c r="DF35" s="49"/>
      <c r="DG35" s="50"/>
      <c r="DH35" s="51" t="b">
        <v>0</v>
      </c>
      <c r="DI35" s="52"/>
      <c r="DJ35" s="52"/>
      <c r="DK35" s="52"/>
      <c r="DL35" s="73"/>
      <c r="DM35" s="75"/>
      <c r="DN35" s="75"/>
      <c r="DO35" s="75"/>
      <c r="DP35" s="76"/>
      <c r="DQ35" s="73"/>
      <c r="DR35" s="46"/>
      <c r="DS35" s="46"/>
      <c r="DT35" s="40"/>
      <c r="DU35" s="41" t="b">
        <v>0</v>
      </c>
      <c r="DV35" s="47"/>
      <c r="DW35" s="47"/>
      <c r="DX35" s="47"/>
      <c r="DY35" s="73"/>
      <c r="DZ35" s="46"/>
      <c r="EA35" s="46"/>
      <c r="EB35" s="40"/>
      <c r="EC35" s="41" t="b">
        <v>0</v>
      </c>
      <c r="ED35" s="47"/>
      <c r="EE35" s="47"/>
      <c r="EF35" s="47"/>
      <c r="EG35" s="73"/>
      <c r="EH35" s="46"/>
      <c r="EI35" s="46"/>
      <c r="EJ35" s="40"/>
      <c r="EK35" s="41" t="b">
        <v>0</v>
      </c>
      <c r="EL35" s="47"/>
      <c r="EM35" s="47"/>
      <c r="EN35" s="47"/>
      <c r="EO35" s="73"/>
      <c r="EP35" s="49"/>
      <c r="EQ35" s="49"/>
      <c r="ER35" s="50"/>
      <c r="ES35" s="51" t="b">
        <v>0</v>
      </c>
      <c r="ET35" s="52"/>
      <c r="EU35" s="52"/>
      <c r="EV35" s="52"/>
      <c r="EW35" s="73"/>
      <c r="EX35" s="75"/>
      <c r="EY35" s="75"/>
      <c r="EZ35" s="75"/>
      <c r="FA35" s="76"/>
      <c r="FB35" s="86"/>
      <c r="FC35" s="31"/>
    </row>
    <row r="36">
      <c r="A36" s="23" t="s">
        <v>62</v>
      </c>
      <c r="B36" s="89"/>
      <c r="C36" s="79"/>
      <c r="D36" s="79"/>
      <c r="E36" s="79"/>
      <c r="F36" s="79"/>
      <c r="G36" s="79"/>
      <c r="H36" s="79"/>
      <c r="I36" s="79"/>
      <c r="J36" s="90"/>
      <c r="K36" s="91"/>
      <c r="L36" s="91"/>
      <c r="M36" s="91"/>
      <c r="N36" s="91"/>
      <c r="O36" s="92"/>
      <c r="P36" s="92"/>
      <c r="Q36" s="92"/>
      <c r="R36" s="90"/>
      <c r="S36" s="93"/>
      <c r="T36" s="93"/>
      <c r="U36" s="93"/>
      <c r="V36" s="93"/>
      <c r="W36" s="93"/>
      <c r="X36" s="93"/>
      <c r="Y36" s="93"/>
      <c r="Z36" s="90"/>
      <c r="AA36" s="93"/>
      <c r="AB36" s="93"/>
      <c r="AC36" s="93"/>
      <c r="AD36" s="93"/>
      <c r="AE36" s="93"/>
      <c r="AF36" s="93"/>
      <c r="AG36" s="93"/>
      <c r="AH36" s="90"/>
      <c r="AI36" s="93"/>
      <c r="AJ36" s="93"/>
      <c r="AK36" s="93"/>
      <c r="AL36" s="93"/>
      <c r="AM36" s="93"/>
      <c r="AN36" s="93"/>
      <c r="AO36" s="93"/>
      <c r="AP36" s="90"/>
      <c r="AQ36" s="94"/>
      <c r="AR36" s="94"/>
      <c r="AS36" s="94"/>
      <c r="AT36" s="94"/>
      <c r="AU36" s="90"/>
      <c r="AV36" s="93"/>
      <c r="AW36" s="93"/>
      <c r="AX36" s="93"/>
      <c r="AY36" s="93"/>
      <c r="AZ36" s="93"/>
      <c r="BA36" s="93"/>
      <c r="BB36" s="93"/>
      <c r="BC36" s="90"/>
      <c r="BD36" s="93"/>
      <c r="BE36" s="93"/>
      <c r="BF36" s="93"/>
      <c r="BG36" s="93"/>
      <c r="BH36" s="93"/>
      <c r="BI36" s="93"/>
      <c r="BJ36" s="93"/>
      <c r="BK36" s="90"/>
      <c r="BL36" s="93"/>
      <c r="BM36" s="93"/>
      <c r="BN36" s="93"/>
      <c r="BO36" s="93"/>
      <c r="BP36" s="93"/>
      <c r="BQ36" s="93"/>
      <c r="BR36" s="93"/>
      <c r="BS36" s="90"/>
      <c r="BT36" s="93"/>
      <c r="BU36" s="93"/>
      <c r="BV36" s="93"/>
      <c r="BW36" s="93"/>
      <c r="BX36" s="93"/>
      <c r="BY36" s="93"/>
      <c r="BZ36" s="93"/>
      <c r="CA36" s="90"/>
      <c r="CB36" s="94"/>
      <c r="CC36" s="94"/>
      <c r="CD36" s="94"/>
      <c r="CE36" s="94"/>
      <c r="CF36" s="90"/>
      <c r="CG36" s="93"/>
      <c r="CH36" s="93"/>
      <c r="CI36" s="93"/>
      <c r="CJ36" s="93"/>
      <c r="CK36" s="93"/>
      <c r="CL36" s="93"/>
      <c r="CM36" s="93"/>
      <c r="CN36" s="90"/>
      <c r="CO36" s="93"/>
      <c r="CP36" s="93"/>
      <c r="CQ36" s="93"/>
      <c r="CR36" s="93"/>
      <c r="CS36" s="93"/>
      <c r="CT36" s="93"/>
      <c r="CU36" s="93"/>
      <c r="CV36" s="90"/>
      <c r="CW36" s="93"/>
      <c r="CX36" s="93"/>
      <c r="CY36" s="93"/>
      <c r="CZ36" s="93"/>
      <c r="DA36" s="93"/>
      <c r="DB36" s="93"/>
      <c r="DC36" s="93"/>
      <c r="DD36" s="90"/>
      <c r="DE36" s="93"/>
      <c r="DF36" s="93"/>
      <c r="DG36" s="93"/>
      <c r="DH36" s="93"/>
      <c r="DI36" s="93"/>
      <c r="DJ36" s="93"/>
      <c r="DK36" s="93"/>
      <c r="DL36" s="90"/>
      <c r="DM36" s="94"/>
      <c r="DN36" s="94"/>
      <c r="DO36" s="94"/>
      <c r="DP36" s="94"/>
      <c r="DQ36" s="90"/>
      <c r="DR36" s="93"/>
      <c r="DS36" s="93"/>
      <c r="DT36" s="93"/>
      <c r="DU36" s="93"/>
      <c r="DV36" s="93"/>
      <c r="DW36" s="93"/>
      <c r="DX36" s="93"/>
      <c r="DY36" s="90"/>
      <c r="DZ36" s="93"/>
      <c r="EA36" s="93"/>
      <c r="EB36" s="93"/>
      <c r="EC36" s="93"/>
      <c r="ED36" s="93"/>
      <c r="EE36" s="93"/>
      <c r="EF36" s="93"/>
      <c r="EG36" s="90"/>
      <c r="EH36" s="93"/>
      <c r="EI36" s="93"/>
      <c r="EJ36" s="93"/>
      <c r="EK36" s="93"/>
      <c r="EL36" s="93"/>
      <c r="EM36" s="93"/>
      <c r="EN36" s="93"/>
      <c r="EO36" s="90"/>
      <c r="EP36" s="93"/>
      <c r="EQ36" s="93"/>
      <c r="ER36" s="93"/>
      <c r="ES36" s="93"/>
      <c r="ET36" s="93"/>
      <c r="EU36" s="93"/>
      <c r="EV36" s="93"/>
      <c r="EW36" s="90"/>
      <c r="EX36" s="94"/>
      <c r="EY36" s="94"/>
      <c r="EZ36" s="94"/>
      <c r="FA36" s="94"/>
      <c r="FB36" s="86"/>
      <c r="FC36" s="31"/>
    </row>
    <row r="37" outlineLevel="1">
      <c r="A37" s="81" t="s">
        <v>63</v>
      </c>
      <c r="B37" s="33" t="s">
        <v>1</v>
      </c>
      <c r="C37" s="82" t="s">
        <v>53</v>
      </c>
      <c r="D37" s="83" t="s">
        <v>53</v>
      </c>
      <c r="E37" s="82" t="s">
        <v>53</v>
      </c>
      <c r="F37" s="83" t="s">
        <v>53</v>
      </c>
      <c r="G37" s="83" t="s">
        <v>53</v>
      </c>
      <c r="H37" s="84"/>
      <c r="I37" s="85"/>
      <c r="J37" s="38" t="s">
        <v>2</v>
      </c>
      <c r="K37" s="39" t="str">
        <f t="shared" ref="K37:K46" si="309">ifs(ISBLANK(I37), C37, I37="Novice 1", C37, I37="Novice 2", C37, I37="Novice 3", C37, I37="Intermediate 2", C37, I37="Intermediate 1", C37, I37="Advanced 2", C37, I37="Advanced 1", C37)</f>
        <v>---</v>
      </c>
      <c r="L37" s="40" t="str">
        <f t="shared" ref="L37:L46" si="310">ifs(ISBLANK(I37), E37, I37="Novice 1", E37, I37="Novice 2", E37, I37="Novice 3", E37, I37="Intermediate 2", E37, I37="Intermediate 1", F37, I37="Advanced 2", E37, I37="Advanced 1", F37)</f>
        <v>---</v>
      </c>
      <c r="M37" s="40" t="str">
        <f t="shared" ref="M37:M46" si="311">G37</f>
        <v>---</v>
      </c>
      <c r="N37" s="41" t="b">
        <v>0</v>
      </c>
      <c r="O37" s="42"/>
      <c r="P37" s="43"/>
      <c r="Q37" s="42" t="str">
        <f t="shared" ref="Q37:Q40" si="312">I37</f>
        <v/>
      </c>
      <c r="R37" s="45" t="s">
        <v>3</v>
      </c>
      <c r="S37" s="39" t="str">
        <f t="shared" ref="S37:S40" si="313">IFS((AND(N37=TRUE, O37="Yes")), (ifs(ISBLANK(Q37), K37, Q37="Novice 1", K37, Q37="Novice 2", K37, Q37="Novice 3", K37, Q37="Intermediate 2", K37, Q37="Intermediate 1", K37, Q37="Advanced 2", (IF((K37+(($D37-$C37)/2))&gt;$D37, $C37, (K37+(($D37-$C37)/2)))), Q37="Advanced 1", (IF((K37+(($D37-$C37)/2))&gt;$D37, $C37, (K37+(($D37-$C37)/2)))))), (NOT((AND(N37=TRUE, O37="Yes")))), K37)</f>
        <v>---</v>
      </c>
      <c r="T37" s="46" t="str">
        <f t="shared" ref="T37:T40" si="314">IFS((AND(N37=TRUE, O37="Yes")), (IFS(ISBLANK(Q37), L37, Q37="Novice 1", L37, Q37="Novice 2", L37, Q37="Novice 3", L37, Q37="Intermediate 2", (IF((L37+(($F37-$E37)/2))&gt;$F37, $E37, (L37+(($F37-$E37)/2)))), Q37="Intermediate 1", (IF((L37-(($F37-$E37)/2))&lt;$E37, $F37, (L37-(($F37-$E37)/2)))), Q37="Advanced 2", (IF((((($D37-$C37)/2))+K37)&gt;$D37, (IF((L37+(($F37-$E37)/2))&gt;$F37, $E37, (L37+(($F37-$E37)/2)))), L37)), Q37="Advanced 1", (IF((((($D37-$C37)/2))+K37)&gt;$D37, (IF((L37-(($F37-$E37)/2))&lt;$E37, $F37, (L37-(($F37-$E37)/2)))), L37)))), (NOT((AND(N37=TRUE, O37="Yes")))), L37)</f>
        <v>---</v>
      </c>
      <c r="U37" s="40" t="str">
        <f>IFERROR(__xludf.DUMMYFUNCTION("IFS((AND(N37=TRUE, O37=""Yes"")), (IFS(ISBLANK(Q37), M37, Q37=""Novice 1"", CEILING((M37*1.05), $H37), Q37=""Novice 2"", CEILING((M37*1.025), $H37), Q37=""Novice 3"", M37+$H37, Q37=""Intermediate 2"", (IF((ISBETWEEN(((((F37-E37)/2))+L37), E37, F37)), M37,"&amp;" M37+$H37)), Q37=""Intermediate 1"", (IF((ISBETWEEN((L37-((F37-E37)/2)), E37, F37)), M37+$H37, (FLOOR((M37*0.9875), $H37)))), Q37=""Advanced 2"", (IF(AND(((K37+((D37-C37)/2))&gt;D37), ((L37+((F37-E37)/2))&gt;F37)), M37+$H37, (M37))), Q37=""Advanced 1"", (IFS(T3"&amp;"7&lt;L37, M37+$H37, T37=L37, (M37), T37&gt;L37, (FLOOR((M37*0.9875), $H37)))))), (AND(F37=TRUE, G37=""No"", N37=TRUE, O37=""No"")), (FLOOR((M37*0.9), $H37)), (NOT((AND(N37=TRUE, O37=""Yes"")))), M37)"),"---")</f>
        <v>---</v>
      </c>
      <c r="V37" s="41" t="b">
        <v>0</v>
      </c>
      <c r="W37" s="47"/>
      <c r="X37" s="47"/>
      <c r="Y37" s="47" t="str">
        <f t="shared" ref="Y37:Y40" si="315">IF((AND(N37=TRUE, O37="No", V37=TRUE, W37="No")), (IFS(ISBLANK(Q37), Q37, Q37="Novice 1", "Novice 2", Q37="Novice 2", "Novice 3", Q37="Novice 3", "Intermediate 1", Q37="Intermediate 1", "Intermediate 2", Q37="Intermediate 2", "Advanced 1", Q37="Advanced 1", "Advanced 2", Q37="Advanced 2", "Advanced 2")), Q37)</f>
        <v/>
      </c>
      <c r="Z37" s="45" t="s">
        <v>4</v>
      </c>
      <c r="AA37" s="39" t="str">
        <f t="shared" ref="AA37:AA40" si="316">IFS((AND(V37=TRUE, W37="Yes")), (ifs(ISBLANK(Y37), S37, Y37="Novice 1", S37, Y37="Novice 2", S37, Y37="Novice 3", S37, Y37="Intermediate 2", S37, Y37="Intermediate 1", S37, Y37="Advanced 2", (IF((S37+(($D37-$C37)/2))&gt;$D37, $C37, (S37+(($D37-$C37)/2)))), Y37="Advanced 1", (IF((S37+(($D37-$C37)/2))&gt;$D37, $C37, (S37+(($D37-$C37)/2)))))), (NOT((AND(V37=TRUE, W37="Yes")))), S37)</f>
        <v>---</v>
      </c>
      <c r="AB37" s="46" t="str">
        <f t="shared" ref="AB37:AB40" si="317">IFS((AND(V37=TRUE, W37="Yes")), (IFS(ISBLANK(Y37), T37, Y37="Novice 1", T37, Y37="Novice 2", T37, Y37="Novice 3", T37, Y37="Intermediate 2", (IF((T37+(($F37-$E37)/2))&gt;$F37, $E37, (T37+(($F37-$E37)/2)))), Y37="Intermediate 1", (IF((T37-(($F37-$E37)/2))&lt;$E37, $F37, (T37-(($F37-$E37)/2)))), Y37="Advanced 2", (IF((((($D37-$C37)/2))+S37)&gt;$D37, (IF((T37+(($F37-$E37)/2))&gt;$F37, $E37, (T37+(($F37-$E37)/2)))), T37)), Y37="Advanced 1", (IF((((($D37-$C37)/2))+S37)&gt;$D37, (IF((T37-(($F37-$E37)/2))&lt;$E37, $F37, (T37-(($F37-$E37)/2)))), T37)))), (NOT((AND(V37=TRUE, W37="Yes")))), T37)</f>
        <v>---</v>
      </c>
      <c r="AC37" s="40" t="str">
        <f>IFERROR(__xludf.DUMMYFUNCTION("IFS((AND(V37=TRUE, W37=""Yes"")), (IFS(ISBLANK(Y37), U37, Y37=""Novice 1"", CEILING((U37*1.05), $H37), Y37=""Novice 2"", CEILING((U37*1.025), $H37), Y37=""Novice 3"", U37+$H37, Y37=""Intermediate 2"", (IF((ISBETWEEN(((((N37-M37)/2))+T37), M37, N37)), U37,"&amp;" U37+$H37)), Y37=""Intermediate 1"", (IF((ISBETWEEN((T37-((N37-M37)/2)), M37, N37)), U37+$H37, (FLOOR((U37*0.9875), $H37)))), Y37=""Advanced 2"", (IF(AND(((S37+((L37-K37)/2))&gt;L37), ((T37+((N37-M37)/2))&gt;N37)), U37+$H37, (U37))), Y37=""Advanced 1"", (IFS(AB"&amp;"37&lt;T37, U37+$H37, AB37=T37, (U37), AB37&gt;T37, (FLOOR((U37*0.9875), $H37)))))), (AND(N37=TRUE, O37=""No"", V37=TRUE, W37=""No"")), (FLOOR((U37*0.9), $H37)), (NOT((AND(V37=TRUE, W37=""Yes"")))), U37)"),"---")</f>
        <v>---</v>
      </c>
      <c r="AD37" s="41" t="b">
        <v>0</v>
      </c>
      <c r="AE37" s="47"/>
      <c r="AF37" s="47"/>
      <c r="AG37" s="47" t="str">
        <f t="shared" ref="AG37:AG40" si="318">IF((AND(V37=TRUE, W37="No", AD37=TRUE, AE37="No")), (IFS(ISBLANK(Y37), Y37, Y37="Novice 1", "Novice 2", Y37="Novice 2", "Novice 3", Y37="Novice 3", "Intermediate 1", Y37="Intermediate 1", "Intermediate 2", Y37="Intermediate 2", "Advanced 1", Y37="Advanced 1", "Advanced 2", Y37="Advanced 2", "Advanced 2")), Y37)</f>
        <v/>
      </c>
      <c r="AH37" s="45" t="s">
        <v>5</v>
      </c>
      <c r="AI37" s="48" t="str">
        <f t="shared" ref="AI37:AI40" si="319">IFS((AND(AD37=TRUE, AE37="Yes")), (ifs(ISBLANK(AG37), AA37, AG37="Novice 1", AA37, AG37="Novice 2", AA37, AG37="Novice 3", AA37, AG37="Intermediate 2", AA37, AG37="Intermediate 1", AA37, AG37="Advanced 2", (IF((AA37+(($D37-$C37)/2))&gt;$D37, $C37, (AA37+(($D37-$C37)/2)))), AG37="Advanced 1", (IF((AA37+(($D37-$C37)/2))&gt;$D37, $C37, (AA37+(($D37-$C37)/2)))))), (NOT((AND(AD37=TRUE, AE37="Yes")))), AA37)</f>
        <v>---</v>
      </c>
      <c r="AJ37" s="49" t="str">
        <f t="shared" ref="AJ37:AJ40" si="320">IFS((AND(AD37=TRUE, AE37="Yes")), (IFS(ISBLANK(AG37), AB37, AG37="Novice 1", AB37, AG37="Novice 2", AB37, AG37="Novice 3", AB37, AG37="Intermediate 2", (IF((AB37+(($F37-$E37)/2))&gt;$F37, $E37, (AB37+(($F37-$E37)/2)))), AG37="Intermediate 1", (IF((AB37-(($F37-$E37)/2))&lt;$E37, $F37, (AB37-(($F37-$E37)/2)))), AG37="Advanced 2", (IF((((($D37-$C37)/2))+AA37)&gt;$D37, (IF((AB37+(($F37-$E37)/2))&gt;$F37, $E37, (AB37+(($F37-$E37)/2)))), AB37)), AG37="Advanced 1", (IF((((($D37-$C37)/2))+AA37)&gt;$D37, (IF((AB37-(($F37-$E37)/2))&lt;$E37, $F37, (AB37-(($F37-$E37)/2)))), AB37)))), (NOT((AND(AD37=TRUE, AE37="Yes")))), AB37)</f>
        <v>---</v>
      </c>
      <c r="AK37" s="50" t="str">
        <f>IFERROR(__xludf.DUMMYFUNCTION("IFS((AND(AD37=TRUE, AE37=""Yes"")), (IFS(ISBLANK(AG37), AC37, AG37=""Novice 1"", CEILING((AC37*1.05), $H37), AG37=""Novice 2"", CEILING((AC37*1.025), $H37), AG37=""Novice 3"", AC37+$H37, AG37=""Intermediate 2"", (IF((ISBETWEEN(((((V37-U37)/2))+AB37), U37,"&amp;" V37)), AC37, AC37+$H37)), AG37=""Intermediate 1"", (IF((ISBETWEEN((AB37-((V37-U37)/2)), U37, V37)), AC37+$H37, (FLOOR((AC37*0.9875), $H37)))), AG37=""Advanced 2"", (IF(AND(((AA37+((T37-S37)/2))&gt;T37), ((AB37+((V37-U37)/2))&gt;V37)), AC37+$H37, (AC37))), AG37"&amp;"=""Advanced 1"", (IFS(AJ37&lt;AB37, AC37+$H37, AJ37=AB37, (AC37), AJ37&gt;AB37, (FLOOR((AC37*0.9875), $H37)))))), (AND(V37=TRUE, W37=""No"", AD37=TRUE, AE37=""No"")), (FLOOR((AC37*0.9), $H37)), (NOT((AND(AD37=TRUE, AE37=""Yes"")))), AC37)"),"---")</f>
        <v>---</v>
      </c>
      <c r="AL37" s="51" t="b">
        <v>0</v>
      </c>
      <c r="AM37" s="52"/>
      <c r="AN37" s="52"/>
      <c r="AO37" s="52" t="str">
        <f t="shared" ref="AO37:AO40" si="321">IF((AND(AD37=TRUE, AE37="No", AL37=TRUE, AM37="No")), (IFS(ISBLANK(AG37), AG37, AG37="Novice 1", "Novice 2", AG37="Novice 2", "Novice 3", AG37="Novice 3", "Intermediate 1", AG37="Intermediate 1", "Intermediate 2", AG37="Intermediate 2", "Advanced 1", AG37="Advanced 1", "Advanced 2", AG37="Advanced 2", "Advanced 2")), AG37)</f>
        <v/>
      </c>
      <c r="AP37" s="45" t="s">
        <v>6</v>
      </c>
      <c r="AQ37" s="53" t="str">
        <f t="shared" ref="AQ37:AR37" si="305">IFERROR(AI37/2,AI37)</f>
        <v>---</v>
      </c>
      <c r="AR37" s="53" t="str">
        <f t="shared" si="305"/>
        <v>---</v>
      </c>
      <c r="AS37" s="53" t="str">
        <f t="shared" ref="AS37:AS40" si="323">AK37</f>
        <v>---</v>
      </c>
      <c r="AT37" s="54"/>
      <c r="AU37" s="45" t="s">
        <v>7</v>
      </c>
      <c r="AV37" s="39" t="str">
        <f t="shared" ref="AV37:AV40" si="324">IFS((AND(AL37=TRUE, AM37="Yes")), (ifs(ISBLANK(AO37), AI37, AO37="Novice 1", AI37, AO37="Novice 2", AI37, AO37="Novice 3", AI37, AO37="Intermediate 2", AI37, AO37="Intermediate 1", AI37, AO37="Advanced 2", (IF((AI37+(($D37-$C37)/2))&gt;$D37, $C37, (AI37+(($D37-$C37)/2)))), AO37="Advanced 1", (IF((AI37+(($D37-$C37)/2))&gt;$D37, $C37, (AI37+(($D37-$C37)/2)))))), (NOT((AND(AL37=TRUE, AM37="Yes")))), AI37)</f>
        <v>---</v>
      </c>
      <c r="AW37" s="46" t="str">
        <f t="shared" ref="AW37:AW40" si="325">IFS((AND(AL37=TRUE, AM37="Yes")), (IFS(ISBLANK(AO37), AJ37, AO37="Novice 1", AJ37, AO37="Novice 2", AJ37, AO37="Novice 3", AJ37, AO37="Intermediate 2", (IF((AJ37+(($F37-$E37)/2))&gt;$F37, $E37, (AJ37+(($F37-$E37)/2)))), AO37="Intermediate 1", (IF((AJ37-(($F37-$E37)/2))&lt;$E37, $F37, (AJ37-(($F37-$E37)/2)))), AO37="Advanced 2", (IF((((($D37-$C37)/2))+AI37)&gt;$D37, (IF((AJ37+(($F37-$E37)/2))&gt;$F37, $E37, (AJ37+(($F37-$E37)/2)))), AJ37)), AO37="Advanced 1", (IF((((($D37-$C37)/2))+AI37)&gt;$D37, (IF((AJ37-(($F37-$E37)/2))&lt;$E37, $F37, (AJ37-(($F37-$E37)/2)))), AJ37)))), (NOT((AND(AL37=TRUE, AM37="Yes")))), AJ37)</f>
        <v>---</v>
      </c>
      <c r="AX37" s="40" t="str">
        <f>IFERROR(__xludf.DUMMYFUNCTION("IFS((AND(AL37=TRUE, AM37=""Yes"")), (IFS(ISBLANK(AO37), AK37, AO37=""Novice 1"", CEILING((AK37*1.05), $H37), AO37=""Novice 2"", CEILING((AK37*1.025), $H37), AO37=""Novice 3"", AK37+$H37, AO37=""Intermediate 2"", (IF((ISBETWEEN(((((AD37-AC37)/2))+AJ37), AC"&amp;"37, AD37)), AK37, AK37+$H37)), AO37=""Intermediate 1"", (IF((ISBETWEEN((AJ37-((AD37-AC37)/2)), AC37, AD37)), AK37+$H37, (FLOOR((AK37*0.9875), $H37)))), AO37=""Advanced 2"", (IF(AND(((AI37+((AB37-AA37)/2))&gt;AB37), ((AJ37+((AD37-AC37)/2))&gt;AD37)), AK37+$H37, "&amp;"(AK37))), AO37=""Advanced 1"", (IFS(AW37&lt;AJ37, AK37+$H37, AW37=AJ37, (AK37), AW37&gt;AJ37, (FLOOR((AK37*0.9875), $H37)))))), (AND(AD37=TRUE, AE37=""No"", AL37=TRUE, AM37=""No"")), (FLOOR((AK37*0.9), $H37)), (NOT((AND(AL37=TRUE, AM37=""Yes"")))), AK37)"),"---")</f>
        <v>---</v>
      </c>
      <c r="AY37" s="41" t="b">
        <v>0</v>
      </c>
      <c r="AZ37" s="47"/>
      <c r="BA37" s="47"/>
      <c r="BB37" s="47" t="str">
        <f t="shared" ref="BB37:BB40" si="326">IF((AND(AL37=TRUE, AM37="No", AY37=TRUE, AZ37="No")), (IFS(ISBLANK(AO37), AO37, AO37="Novice 1", "Novice 2", AO37="Novice 2", "Novice 3", AO37="Novice 3", "Intermediate 1", AO37="Intermediate 1", "Intermediate 2", AO37="Intermediate 2", "Advanced 1", AO37="Advanced 1", "Advanced 2", AO37="Advanced 2", "Advanced 2")), AO37)</f>
        <v/>
      </c>
      <c r="BC37" s="45" t="s">
        <v>8</v>
      </c>
      <c r="BD37" s="39" t="str">
        <f t="shared" ref="BD37:BD40" si="327">IFS((AND(AY37=TRUE, AZ37="Yes")), (ifs(ISBLANK(BB37), AV37, BB37="Novice 1", AV37, BB37="Novice 2", AV37, BB37="Novice 3", AV37, BB37="Intermediate 2", AV37, BB37="Intermediate 1", AV37, BB37="Advanced 2", (IF((AV37+(($D37-$C37)/2))&gt;$D37, $C37, (AV37+(($D37-$C37)/2)))), BB37="Advanced 1", (IF((AV37+(($D37-$C37)/2))&gt;$D37, $C37, (AV37+(($D37-$C37)/2)))))), (NOT((AND(AY37=TRUE, AZ37="Yes")))), AV37)</f>
        <v>---</v>
      </c>
      <c r="BE37" s="46" t="str">
        <f t="shared" ref="BE37:BE40" si="328">IFS((AND(AY37=TRUE, AZ37="Yes")), (IFS(ISBLANK(BB37), AW37, BB37="Novice 1", AW37, BB37="Novice 2", AW37, BB37="Novice 3", AW37, BB37="Intermediate 2", (IF((AW37+(($F37-$E37)/2))&gt;$F37, $E37, (AW37+(($F37-$E37)/2)))), BB37="Intermediate 1", (IF((AW37-(($F37-$E37)/2))&lt;$E37, $F37, (AW37-(($F37-$E37)/2)))), BB37="Advanced 2", (IF((((($D37-$C37)/2))+AV37)&gt;$D37, (IF((AW37+(($F37-$E37)/2))&gt;$F37, $E37, (AW37+(($F37-$E37)/2)))), AW37)), BB37="Advanced 1", (IF((((($D37-$C37)/2))+AV37)&gt;$D37, (IF((AW37-(($F37-$E37)/2))&lt;$E37, $F37, (AW37-(($F37-$E37)/2)))), AW37)))), (NOT((AND(AY37=TRUE, AZ37="Yes")))), AW37)</f>
        <v>---</v>
      </c>
      <c r="BF37" s="40" t="str">
        <f>IFERROR(__xludf.DUMMYFUNCTION("IFS((AND(AY37=TRUE, AZ37=""Yes"")), (IFS(ISBLANK(BB37), AX37, BB37=""Novice 1"", CEILING((AX37*1.05), $H37), BB37=""Novice 2"", CEILING((AX37*1.025), $H37), BB37=""Novice 3"", AX37+$H37, BB37=""Intermediate 2"", (IF((ISBETWEEN(((((AL37-AK37)/2))+AW37), AK"&amp;"37, AL37)), AX37, AX37+$H37)), BB37=""Intermediate 1"", (IF((ISBETWEEN((AW37-((AL37-AK37)/2)), AK37, AL37)), AX37+$H37, (FLOOR((AX37*0.9875), $H37)))), BB37=""Advanced 2"", (IF(AND(((AV37+((AJ37-AI37)/2))&gt;AJ37), ((AW37+((AL37-AK37)/2))&gt;AL37)), AX37+$H37, "&amp;"(AX37))), BB37=""Advanced 1"", (IFS(BE37&lt;AW37, AX37+$H37, BE37=AW37, (AX37), BE37&gt;AW37, (FLOOR((AX37*0.9875), $H37)))))), (AND(AL37=TRUE, AM37=""No"", AY37=TRUE, AZ37=""No"")), (FLOOR((AX37*0.9), $H37)), (NOT((AND(AY37=TRUE, AZ37=""Yes"")))), AX37)"),"---")</f>
        <v>---</v>
      </c>
      <c r="BG37" s="41" t="b">
        <v>0</v>
      </c>
      <c r="BH37" s="47"/>
      <c r="BI37" s="47"/>
      <c r="BJ37" s="47" t="str">
        <f t="shared" ref="BJ37:BJ40" si="329">IF((AND(AY37=TRUE, AZ37="No", BG37=TRUE, BH37="No")), (IFS(ISBLANK(BB37), BB37, BB37="Novice 1", "Novice 2", BB37="Novice 2", "Novice 3", BB37="Novice 3", "Intermediate 1", BB37="Intermediate 1", "Intermediate 2", BB37="Intermediate 2", "Advanced 1", BB37="Advanced 1", "Advanced 2", BB37="Advanced 2", "Advanced 2")), BB37)</f>
        <v/>
      </c>
      <c r="BK37" s="45" t="s">
        <v>9</v>
      </c>
      <c r="BL37" s="39" t="str">
        <f t="shared" ref="BL37:BL40" si="330">IFS((AND(BG37=TRUE, BH37="Yes")), (ifs(ISBLANK(BJ37), BD37, BJ37="Novice 1", BD37, BJ37="Novice 2", BD37, BJ37="Novice 3", BD37, BJ37="Intermediate 2", BD37, BJ37="Intermediate 1", BD37, BJ37="Advanced 2", (IF((BD37+(($D37-$C37)/2))&gt;$D37, $C37, (BD37+(($D37-$C37)/2)))), BJ37="Advanced 1", (IF((BD37+(($D37-$C37)/2))&gt;$D37, $C37, (BD37+(($D37-$C37)/2)))))), (NOT((AND(BG37=TRUE, BH37="Yes")))), BD37)</f>
        <v>---</v>
      </c>
      <c r="BM37" s="46" t="str">
        <f t="shared" ref="BM37:BM40" si="331">IFS((AND(BG37=TRUE, BH37="Yes")), (IFS(ISBLANK(BJ37), BE37, BJ37="Novice 1", BE37, BJ37="Novice 2", BE37, BJ37="Novice 3", BE37, BJ37="Intermediate 2", (IF((BE37+(($F37-$E37)/2))&gt;$F37, $E37, (BE37+(($F37-$E37)/2)))), BJ37="Intermediate 1", (IF((BE37-(($F37-$E37)/2))&lt;$E37, $F37, (BE37-(($F37-$E37)/2)))), BJ37="Advanced 2", (IF((((($D37-$C37)/2))+BD37)&gt;$D37, (IF((BE37+(($F37-$E37)/2))&gt;$F37, $E37, (BE37+(($F37-$E37)/2)))), BE37)), BJ37="Advanced 1", (IF((((($D37-$C37)/2))+BD37)&gt;$D37, (IF((BE37-(($F37-$E37)/2))&lt;$E37, $F37, (BE37-(($F37-$E37)/2)))), BE37)))), (NOT((AND(BG37=TRUE, BH37="Yes")))), BE37)</f>
        <v>---</v>
      </c>
      <c r="BN37" s="40" t="str">
        <f>IFERROR(__xludf.DUMMYFUNCTION("IFS((AND(BG37=TRUE, BH37=""Yes"")), (IFS(ISBLANK(BJ37), BF37, BJ37=""Novice 1"", CEILING((BF37*1.05), $H37), BJ37=""Novice 2"", CEILING((BF37*1.025), $H37), BJ37=""Novice 3"", BF37+$H37, BJ37=""Intermediate 2"", (IF((ISBETWEEN(((((AY37-AX37)/2))+BE37), AX"&amp;"37, AY37)), BF37, BF37+$H37)), BJ37=""Intermediate 1"", (IF((ISBETWEEN((BE37-((AY37-AX37)/2)), AX37, AY37)), BF37+$H37, (FLOOR((BF37*0.9875), $H37)))), BJ37=""Advanced 2"", (IF(AND(((BD37+((AW37-AV37)/2))&gt;AW37), ((BE37+((AY37-AX37)/2))&gt;AY37)), BF37+$H37, "&amp;"(BF37))), BJ37=""Advanced 1"", (IFS(BM37&lt;BE37, BF37+$H37, BM37=BE37, (BF37), BM37&gt;BE37, (FLOOR((BF37*0.9875), $H37)))))), (AND(AY37=TRUE, AZ37=""No"", BG37=TRUE, BH37=""No"")), (FLOOR((BF37*0.9), $H37)), (NOT((AND(BG37=TRUE, BH37=""Yes"")))), BF37)"),"---")</f>
        <v>---</v>
      </c>
      <c r="BO37" s="41" t="b">
        <v>0</v>
      </c>
      <c r="BP37" s="47"/>
      <c r="BQ37" s="47"/>
      <c r="BR37" s="47" t="str">
        <f t="shared" ref="BR37:BR40" si="332">IF((AND(BG37=TRUE, BH37="No", BO37=TRUE, BP37="No")), (IFS(ISBLANK(BJ37), BJ37, BJ37="Novice 1", "Novice 2", BJ37="Novice 2", "Novice 3", BJ37="Novice 3", "Intermediate 1", BJ37="Intermediate 1", "Intermediate 2", BJ37="Intermediate 2", "Advanced 1", BJ37="Advanced 1", "Advanced 2", BJ37="Advanced 2", "Advanced 2")), BJ37)</f>
        <v/>
      </c>
      <c r="BS37" s="45" t="s">
        <v>10</v>
      </c>
      <c r="BT37" s="48" t="str">
        <f t="shared" ref="BT37:BT40" si="333">IFS((AND(BO37=TRUE, BP37="Yes")), (ifs(ISBLANK(BR37), BL37, BR37="Novice 1", BL37, BR37="Novice 2", BL37, BR37="Novice 3", BL37, BR37="Intermediate 2", BL37, BR37="Intermediate 1", BL37, BR37="Advanced 2", (IF((BL37+(($D37-$C37)/2))&gt;$D37, $C37, (BL37+(($D37-$C37)/2)))), BR37="Advanced 1", (IF((BL37+(($D37-$C37)/2))&gt;$D37, $C37, (BL37+(($D37-$C37)/2)))))), (NOT((AND(BO37=TRUE, BP37="Yes")))), BL37)</f>
        <v>---</v>
      </c>
      <c r="BU37" s="49" t="str">
        <f t="shared" ref="BU37:BU40" si="334">IFS((AND(BO37=TRUE, BP37="Yes")), (IFS(ISBLANK(BR37), BM37, BR37="Novice 1", BM37, BR37="Novice 2", BM37, BR37="Novice 3", BM37, BR37="Intermediate 2", (IF((BM37+(($F37-$E37)/2))&gt;$F37, $E37, (BM37+(($F37-$E37)/2)))), BR37="Intermediate 1", (IF((BM37-(($F37-$E37)/2))&lt;$E37, $F37, (BM37-(($F37-$E37)/2)))), BR37="Advanced 2", (IF((((($D37-$C37)/2))+BL37)&gt;$D37, (IF((BM37+(($F37-$E37)/2))&gt;$F37, $E37, (BM37+(($F37-$E37)/2)))), BM37)), BR37="Advanced 1", (IF((((($D37-$C37)/2))+BL37)&gt;$D37, (IF((BM37-(($F37-$E37)/2))&lt;$E37, $F37, (BM37-(($F37-$E37)/2)))), BM37)))), (NOT((AND(BO37=TRUE, BP37="Yes")))), BM37)</f>
        <v>---</v>
      </c>
      <c r="BV37" s="50" t="str">
        <f>IFERROR(__xludf.DUMMYFUNCTION("IFS((AND(BO37=TRUE, BP37=""Yes"")), (IFS(ISBLANK(BR37), BN37, BR37=""Novice 1"", CEILING((BN37*1.05), $H37), BR37=""Novice 2"", CEILING((BN37*1.025), $H37), BR37=""Novice 3"", BN37+$H37, BR37=""Intermediate 2"", (IF((ISBETWEEN(((((BG37-BF37)/2))+BM37), BF"&amp;"37, BG37)), BN37, BN37+$H37)), BR37=""Intermediate 1"", (IF((ISBETWEEN((BM37-((BG37-BF37)/2)), BF37, BG37)), BN37+$H37, (FLOOR((BN37*0.9875), $H37)))), BR37=""Advanced 2"", (IF(AND(((BL37+((BE37-BD37)/2))&gt;BE37), ((BM37+((BG37-BF37)/2))&gt;BG37)), BN37+$H37, "&amp;"(BN37))), BR37=""Advanced 1"", (IFS(BU37&lt;BM37, BN37+$H37, BU37=BM37, (BN37), BU37&gt;BM37, (FLOOR((BN37*0.9875), $H37)))))), (AND(BG37=TRUE, BH37=""No"", BO37=TRUE, BP37=""No"")), (FLOOR((BN37*0.9), $H37)), (NOT((AND(BO37=TRUE, BP37=""Yes"")))), BN37)"),"---")</f>
        <v>---</v>
      </c>
      <c r="BW37" s="51" t="b">
        <v>0</v>
      </c>
      <c r="BX37" s="52"/>
      <c r="BY37" s="52"/>
      <c r="BZ37" s="52" t="str">
        <f t="shared" ref="BZ37:BZ40" si="335">IF((AND(BO37=TRUE, BP37="No", BW37=TRUE, BX37="No")), (IFS(ISBLANK(BR37), BR37, BR37="Novice 1", "Novice 2", BR37="Novice 2", "Novice 3", BR37="Novice 3", "Intermediate 1", BR37="Intermediate 1", "Intermediate 2", BR37="Intermediate 2", "Advanced 1", BR37="Advanced 1", "Advanced 2", BR37="Advanced 2", "Advanced 2")), BR37)</f>
        <v/>
      </c>
      <c r="CA37" s="45" t="s">
        <v>6</v>
      </c>
      <c r="CB37" s="53" t="str">
        <f t="shared" ref="CB37:CC37" si="306">IFERROR(BT37/2,BT37)</f>
        <v>---</v>
      </c>
      <c r="CC37" s="53" t="str">
        <f t="shared" si="306"/>
        <v>---</v>
      </c>
      <c r="CD37" s="53" t="str">
        <f t="shared" ref="CD37:CD40" si="337">BV37</f>
        <v>---</v>
      </c>
      <c r="CE37" s="54"/>
      <c r="CF37" s="45" t="s">
        <v>11</v>
      </c>
      <c r="CG37" s="39" t="str">
        <f t="shared" ref="CG37:CG40" si="338">IFS((AND(BW37=TRUE, BX37="Yes")), (ifs(ISBLANK(BZ37), BT37, BZ37="Novice 1", BT37, BZ37="Novice 2", BT37, BZ37="Novice 3", BT37, BZ37="Intermediate 2", BT37, BZ37="Intermediate 1", BT37, BZ37="Advanced 2", (IF((BT37+(($D37-$C37)/2))&gt;$D37, $C37, (BT37+(($D37-$C37)/2)))), BZ37="Advanced 1", (IF((BT37+(($D37-$C37)/2))&gt;$D37, $C37, (BT37+(($D37-$C37)/2)))))), (NOT((AND(BW37=TRUE, BX37="Yes")))), BT37)</f>
        <v>---</v>
      </c>
      <c r="CH37" s="46" t="str">
        <f t="shared" ref="CH37:CH40" si="339">IFS((AND(BW37=TRUE, BX37="Yes")), (IFS(ISBLANK(BZ37), BU37, BZ37="Novice 1", BU37, BZ37="Novice 2", BU37, BZ37="Novice 3", BU37, BZ37="Intermediate 2", (IF((BU37+(($F37-$E37)/2))&gt;$F37, $E37, (BU37+(($F37-$E37)/2)))), BZ37="Intermediate 1", (IF((BU37-(($F37-$E37)/2))&lt;$E37, $F37, (BU37-(($F37-$E37)/2)))), BZ37="Advanced 2", (IF((((($D37-$C37)/2))+BT37)&gt;$D37, (IF((BU37+(($F37-$E37)/2))&gt;$F37, $E37, (BU37+(($F37-$E37)/2)))), BU37)), BZ37="Advanced 1", (IF((((($D37-$C37)/2))+BT37)&gt;$D37, (IF((BU37-(($F37-$E37)/2))&lt;$E37, $F37, (BU37-(($F37-$E37)/2)))), BU37)))), (NOT((AND(BW37=TRUE, BX37="Yes")))), BU37)</f>
        <v>---</v>
      </c>
      <c r="CI37" s="40" t="str">
        <f>IFERROR(__xludf.DUMMYFUNCTION("IFS((AND(BW37=TRUE, BX37=""Yes"")), (IFS(ISBLANK(BZ37), BV37, BZ37=""Novice 1"", CEILING((BV37*1.05), $H37), BZ37=""Novice 2"", CEILING((BV37*1.025), $H37), BZ37=""Novice 3"", BV37+$H37, BZ37=""Intermediate 2"", (IF((ISBETWEEN(((((BO37-BN37)/2))+BU37), BN"&amp;"37, BO37)), BV37, BV37+$H37)), BZ37=""Intermediate 1"", (IF((ISBETWEEN((BU37-((BO37-BN37)/2)), BN37, BO37)), BV37+$H37, (FLOOR((BV37*0.9875), $H37)))), BZ37=""Advanced 2"", (IF(AND(((BT37+((BM37-BL37)/2))&gt;BM37), ((BU37+((BO37-BN37)/2))&gt;BO37)), BV37+$H37, "&amp;"(BV37))), BZ37=""Advanced 1"", (IFS(CH37&lt;BU37, BV37+$H37, CH37=BU37, (BV37), CH37&gt;BU37, (FLOOR((BV37*0.9875), $H37)))))), (AND(BO37=TRUE, BP37=""No"", BW37=TRUE, BX37=""No"")), (FLOOR((BV37*0.9), $H37)), (NOT((AND(BW37=TRUE, BX37=""Yes"")))), BV37)"),"---")</f>
        <v>---</v>
      </c>
      <c r="CJ37" s="41" t="b">
        <v>0</v>
      </c>
      <c r="CK37" s="47"/>
      <c r="CL37" s="47"/>
      <c r="CM37" s="47" t="str">
        <f t="shared" ref="CM37:CM40" si="340">IF((AND(BW37=TRUE, BX37="No", CJ37=TRUE, CK37="No")), (IFS(ISBLANK(BZ37), BZ37, BZ37="Novice 1", "Novice 2", BZ37="Novice 2", "Novice 3", BZ37="Novice 3", "Intermediate 1", BZ37="Intermediate 1", "Intermediate 2", BZ37="Intermediate 2", "Advanced 1", BZ37="Advanced 1", "Advanced 2", BZ37="Advanced 2", "Advanced 2")), BZ37)</f>
        <v/>
      </c>
      <c r="CN37" s="45" t="s">
        <v>12</v>
      </c>
      <c r="CO37" s="39" t="str">
        <f t="shared" ref="CO37:CO40" si="341">IFS((AND(CJ37=TRUE, CK37="Yes")), (ifs(ISBLANK(CM37), CG37, CM37="Novice 1", CG37, CM37="Novice 2", CG37, CM37="Novice 3", CG37, CM37="Intermediate 2", CG37, CM37="Intermediate 1", CG37, CM37="Advanced 2", (IF((CG37+(($D37-$C37)/2))&gt;$D37, $C37, (CG37+(($D37-$C37)/2)))), CM37="Advanced 1", (IF((CG37+(($D37-$C37)/2))&gt;$D37, $C37, (CG37+(($D37-$C37)/2)))))), (NOT((AND(CJ37=TRUE, CK37="Yes")))), CG37)</f>
        <v>---</v>
      </c>
      <c r="CP37" s="46" t="str">
        <f t="shared" ref="CP37:CP40" si="342">IFS((AND(CJ37=TRUE, CK37="Yes")), (IFS(ISBLANK(CM37), CH37, CM37="Novice 1", CH37, CM37="Novice 2", CH37, CM37="Novice 3", CH37, CM37="Intermediate 2", (IF((CH37+(($F37-$E37)/2))&gt;$F37, $E37, (CH37+(($F37-$E37)/2)))), CM37="Intermediate 1", (IF((CH37-(($F37-$E37)/2))&lt;$E37, $F37, (CH37-(($F37-$E37)/2)))), CM37="Advanced 2", (IF((((($D37-$C37)/2))+CG37)&gt;$D37, (IF((CH37+(($F37-$E37)/2))&gt;$F37, $E37, (CH37+(($F37-$E37)/2)))), CH37)), CM37="Advanced 1", (IF((((($D37-$C37)/2))+CG37)&gt;$D37, (IF((CH37-(($F37-$E37)/2))&lt;$E37, $F37, (CH37-(($F37-$E37)/2)))), CH37)))), (NOT((AND(CJ37=TRUE, CK37="Yes")))), CH37)</f>
        <v>---</v>
      </c>
      <c r="CQ37" s="40" t="str">
        <f>IFERROR(__xludf.DUMMYFUNCTION("IFS((AND(CJ37=TRUE, CK37=""Yes"")), (IFS(ISBLANK(CM37), CI37, CM37=""Novice 1"", CEILING((CI37*1.05), $H37), CM37=""Novice 2"", CEILING((CI37*1.025), $H37), CM37=""Novice 3"", CI37+$H37, CM37=""Intermediate 2"", (IF((ISBETWEEN(((((BW37-BV37)/2))+CH37), BV"&amp;"37, BW37)), CI37, CI37+$H37)), CM37=""Intermediate 1"", (IF((ISBETWEEN((CH37-((BW37-BV37)/2)), BV37, BW37)), CI37+$H37, (FLOOR((CI37*0.9875), $H37)))), CM37=""Advanced 2"", (IF(AND(((CG37+((BU37-BT37)/2))&gt;BU37), ((CH37+((BW37-BV37)/2))&gt;BW37)), CI37+$H37, "&amp;"(CI37))), CM37=""Advanced 1"", (IFS(CP37&lt;CH37, CI37+$H37, CP37=CH37, (CI37), CP37&gt;CH37, (FLOOR((CI37*0.9875), $H37)))))), (AND(BW37=TRUE, BX37=""No"", CJ37=TRUE, CK37=""No"")), (FLOOR((CI37*0.9), $H37)), (NOT((AND(CJ37=TRUE, CK37=""Yes"")))), CI37)"),"---")</f>
        <v>---</v>
      </c>
      <c r="CR37" s="41" t="b">
        <v>0</v>
      </c>
      <c r="CS37" s="47"/>
      <c r="CT37" s="47"/>
      <c r="CU37" s="47" t="str">
        <f t="shared" ref="CU37:CU40" si="343">IF((AND(CJ37=TRUE, CK37="No", CR37=TRUE, CS37="No")), (IFS(ISBLANK(CM37), CM37, CM37="Novice 1", "Novice 2", CM37="Novice 2", "Novice 3", CM37="Novice 3", "Intermediate 1", CM37="Intermediate 1", "Intermediate 2", CM37="Intermediate 2", "Advanced 1", CM37="Advanced 1", "Advanced 2", CM37="Advanced 2", "Advanced 2")), CM37)</f>
        <v/>
      </c>
      <c r="CV37" s="45" t="s">
        <v>13</v>
      </c>
      <c r="CW37" s="39" t="str">
        <f t="shared" ref="CW37:CW40" si="344">IFS((AND(CR37=TRUE, CS37="Yes")), (ifs(ISBLANK(CU37), CO37, CU37="Novice 1", CO37, CU37="Novice 2", CO37, CU37="Novice 3", CO37, CU37="Intermediate 2", CO37, CU37="Intermediate 1", CO37, CU37="Advanced 2", (IF((CO37+(($D37-$C37)/2))&gt;$D37, $C37, (CO37+(($D37-$C37)/2)))), CU37="Advanced 1", (IF((CO37+(($D37-$C37)/2))&gt;$D37, $C37, (CO37+(($D37-$C37)/2)))))), (NOT((AND(CR37=TRUE, CS37="Yes")))), CO37)</f>
        <v>---</v>
      </c>
      <c r="CX37" s="46" t="str">
        <f t="shared" ref="CX37:CX40" si="345">IFS((AND(CR37=TRUE, CS37="Yes")), (IFS(ISBLANK(CU37), CP37, CU37="Novice 1", CP37, CU37="Novice 2", CP37, CU37="Novice 3", CP37, CU37="Intermediate 2", (IF((CP37+(($F37-$E37)/2))&gt;$F37, $E37, (CP37+(($F37-$E37)/2)))), CU37="Intermediate 1", (IF((CP37-(($F37-$E37)/2))&lt;$E37, $F37, (CP37-(($F37-$E37)/2)))), CU37="Advanced 2", (IF((((($D37-$C37)/2))+CO37)&gt;$D37, (IF((CP37+(($F37-$E37)/2))&gt;$F37, $E37, (CP37+(($F37-$E37)/2)))), CP37)), CU37="Advanced 1", (IF((((($D37-$C37)/2))+CO37)&gt;$D37, (IF((CP37-(($F37-$E37)/2))&lt;$E37, $F37, (CP37-(($F37-$E37)/2)))), CP37)))), (NOT((AND(CR37=TRUE, CS37="Yes")))), CP37)</f>
        <v>---</v>
      </c>
      <c r="CY37" s="40" t="str">
        <f>IFERROR(__xludf.DUMMYFUNCTION("IFS((AND(CR37=TRUE, CS37=""Yes"")), (IFS(ISBLANK(CU37), CQ37, CU37=""Novice 1"", CEILING((CQ37*1.05), $H37), CU37=""Novice 2"", CEILING((CQ37*1.025), $H37), CU37=""Novice 3"", CQ37+$H37, CU37=""Intermediate 2"", (IF((ISBETWEEN(((((CJ37-CI37)/2))+CP37), CI"&amp;"37, CJ37)), CQ37, CQ37+$H37)), CU37=""Intermediate 1"", (IF((ISBETWEEN((CP37-((CJ37-CI37)/2)), CI37, CJ37)), CQ37+$H37, (FLOOR((CQ37*0.9875), $H37)))), CU37=""Advanced 2"", (IF(AND(((CO37+((CH37-CG37)/2))&gt;CH37), ((CP37+((CJ37-CI37)/2))&gt;CJ37)), CQ37+$H37, "&amp;"(CQ37))), CU37=""Advanced 1"", (IFS(CX37&lt;CP37, CQ37+$H37, CX37=CP37, (CQ37), CX37&gt;CP37, (FLOOR((CQ37*0.9875), $H37)))))), (AND(CJ37=TRUE, CK37=""No"", CR37=TRUE, CS37=""No"")), (FLOOR((CQ37*0.9), $H37)), (NOT((AND(CR37=TRUE, CS37=""Yes"")))), CQ37)"),"---")</f>
        <v>---</v>
      </c>
      <c r="CZ37" s="41" t="b">
        <v>0</v>
      </c>
      <c r="DA37" s="47"/>
      <c r="DB37" s="47"/>
      <c r="DC37" s="47" t="str">
        <f t="shared" ref="DC37:DC40" si="346">IF((AND(CR37=TRUE, CS37="No", CZ37=TRUE, DA37="No")), (IFS(ISBLANK(CU37), CU37, CU37="Novice 1", "Novice 2", CU37="Novice 2", "Novice 3", CU37="Novice 3", "Intermediate 1", CU37="Intermediate 1", "Intermediate 2", CU37="Intermediate 2", "Advanced 1", CU37="Advanced 1", "Advanced 2", CU37="Advanced 2", "Advanced 2")), CU37)</f>
        <v/>
      </c>
      <c r="DD37" s="45" t="s">
        <v>14</v>
      </c>
      <c r="DE37" s="48" t="str">
        <f t="shared" ref="DE37:DE40" si="347">IFS((AND(CZ37=TRUE, DA37="Yes")), (ifs(ISBLANK(DC37), CW37, DC37="Novice 1", CW37, DC37="Novice 2", CW37, DC37="Novice 3", CW37, DC37="Intermediate 2", CW37, DC37="Intermediate 1", CW37, DC37="Advanced 2", (IF((CW37+(($D37-$C37)/2))&gt;$D37, $C37, (CW37+(($D37-$C37)/2)))), DC37="Advanced 1", (IF((CW37+(($D37-$C37)/2))&gt;$D37, $C37, (CW37+(($D37-$C37)/2)))))), (NOT((AND(CZ37=TRUE, DA37="Yes")))), CW37)</f>
        <v>---</v>
      </c>
      <c r="DF37" s="49" t="str">
        <f t="shared" ref="DF37:DF40" si="348">IFS((AND(CZ37=TRUE, DA37="Yes")), (IFS(ISBLANK(DC37), CX37, DC37="Novice 1", CX37, DC37="Novice 2", CX37, DC37="Novice 3", CX37, DC37="Intermediate 2", (IF((CX37+(($F37-$E37)/2))&gt;$F37, $E37, (CX37+(($F37-$E37)/2)))), DC37="Intermediate 1", (IF((CX37-(($F37-$E37)/2))&lt;$E37, $F37, (CX37-(($F37-$E37)/2)))), DC37="Advanced 2", (IF((((($D37-$C37)/2))+CW37)&gt;$D37, (IF((CX37+(($F37-$E37)/2))&gt;$F37, $E37, (CX37+(($F37-$E37)/2)))), CX37)), DC37="Advanced 1", (IF((((($D37-$C37)/2))+CW37)&gt;$D37, (IF((CX37-(($F37-$E37)/2))&lt;$E37, $F37, (CX37-(($F37-$E37)/2)))), CX37)))), (NOT((AND(CZ37=TRUE, DA37="Yes")))), CX37)</f>
        <v>---</v>
      </c>
      <c r="DG37" s="50" t="str">
        <f>IFERROR(__xludf.DUMMYFUNCTION("IFS((AND(CZ37=TRUE, DA37=""Yes"")), (IFS(ISBLANK(DC37), CY37, DC37=""Novice 1"", CEILING((CY37*1.05), $H37), DC37=""Novice 2"", CEILING((CY37*1.025), $H37), DC37=""Novice 3"", CY37+$H37, DC37=""Intermediate 2"", (IF((ISBETWEEN(((((CR37-CQ37)/2))+CX37), CQ"&amp;"37, CR37)), CY37, CY37+$H37)), DC37=""Intermediate 1"", (IF((ISBETWEEN((CX37-((CR37-CQ37)/2)), CQ37, CR37)), CY37+$H37, (FLOOR((CY37*0.9875), $H37)))), DC37=""Advanced 2"", (IF(AND(((CW37+((CP37-CO37)/2))&gt;CP37), ((CX37+((CR37-CQ37)/2))&gt;CR37)), CY37+$H37, "&amp;"(CY37))), DC37=""Advanced 1"", (IFS(DF37&lt;CX37, CY37+$H37, DF37=CX37, (CY37), DF37&gt;CX37, (FLOOR((CY37*0.9875), $H37)))))), (AND(CR37=TRUE, CS37=""No"", CZ37=TRUE, DA37=""No"")), (FLOOR((CY37*0.9), $H37)), (NOT((AND(CZ37=TRUE, DA37=""Yes"")))), CY37)"),"---")</f>
        <v>---</v>
      </c>
      <c r="DH37" s="51" t="b">
        <v>0</v>
      </c>
      <c r="DI37" s="52"/>
      <c r="DJ37" s="52"/>
      <c r="DK37" s="52" t="str">
        <f t="shared" ref="DK37:DK40" si="349">IF((AND(CZ37=TRUE, DA37="No", DH37=TRUE, DI37="No")), (IFS(ISBLANK(DC37), DC37, DC37="Novice 1", "Novice 2", DC37="Novice 2", "Novice 3", DC37="Novice 3", "Intermediate 1", DC37="Intermediate 1", "Intermediate 2", DC37="Intermediate 2", "Advanced 1", DC37="Advanced 1", "Advanced 2", DC37="Advanced 2", "Advanced 2")), DC37)</f>
        <v/>
      </c>
      <c r="DL37" s="45" t="s">
        <v>6</v>
      </c>
      <c r="DM37" s="53" t="str">
        <f t="shared" ref="DM37:DN37" si="307">IFERROR(DE37/2,DE37)</f>
        <v>---</v>
      </c>
      <c r="DN37" s="53" t="str">
        <f t="shared" si="307"/>
        <v>---</v>
      </c>
      <c r="DO37" s="53" t="str">
        <f t="shared" ref="DO37:DO40" si="351">DG37</f>
        <v>---</v>
      </c>
      <c r="DP37" s="54"/>
      <c r="DQ37" s="45" t="s">
        <v>15</v>
      </c>
      <c r="DR37" s="39" t="str">
        <f t="shared" ref="DR37:DR40" si="352">IFS((AND(DH37=TRUE, DI37="Yes")), (ifs(ISBLANK(DK37), DE37, DK37="Novice 1", DE37, DK37="Novice 2", DE37, DK37="Novice 3", DE37, DK37="Intermediate 2", DE37, DK37="Intermediate 1", DE37, DK37="Advanced 2", (IF((DE37+(($D37-$C37)/2))&gt;$D37, $C37, (DE37+(($D37-$C37)/2)))), DK37="Advanced 1", (IF((DE37+(($D37-$C37)/2))&gt;$D37, $C37, (DE37+(($D37-$C37)/2)))))), (NOT((AND(DH37=TRUE, DI37="Yes")))), DE37)</f>
        <v>---</v>
      </c>
      <c r="DS37" s="46" t="str">
        <f t="shared" ref="DS37:DS40" si="353">IFS((AND(DH37=TRUE, DI37="Yes")), (IFS(ISBLANK(DK37), DF37, DK37="Novice 1", DF37, DK37="Novice 2", DF37, DK37="Novice 3", DF37, DK37="Intermediate 2", (IF((DF37+(($F37-$E37)/2))&gt;$F37, $E37, (DF37+(($F37-$E37)/2)))), DK37="Intermediate 1", (IF((DF37-(($F37-$E37)/2))&lt;$E37, $F37, (DF37-(($F37-$E37)/2)))), DK37="Advanced 2", (IF((((($D37-$C37)/2))+DE37)&gt;$D37, (IF((DF37+(($F37-$E37)/2))&gt;$F37, $E37, (DF37+(($F37-$E37)/2)))), DF37)), DK37="Advanced 1", (IF((((($D37-$C37)/2))+DE37)&gt;$D37, (IF((DF37-(($F37-$E37)/2))&lt;$E37, $F37, (DF37-(($F37-$E37)/2)))), DF37)))), (NOT((AND(DH37=TRUE, DI37="Yes")))), DF37)</f>
        <v>---</v>
      </c>
      <c r="DT37" s="40" t="str">
        <f>IFERROR(__xludf.DUMMYFUNCTION("IFS((AND(DH37=TRUE, DI37=""Yes"")), (IFS(ISBLANK(DK37), DG37, DK37=""Novice 1"", CEILING((DG37*1.05), $H37), DK37=""Novice 2"", CEILING((DG37*1.025), $H37), DK37=""Novice 3"", DG37+$H37, DK37=""Intermediate 2"", (IF((ISBETWEEN(((((CZ37-CY37)/2))+DF37), CY"&amp;"37, CZ37)), DG37, DG37+$H37)), DK37=""Intermediate 1"", (IF((ISBETWEEN((DF37-((CZ37-CY37)/2)), CY37, CZ37)), DG37+$H37, (FLOOR((DG37*0.9875), $H37)))), DK37=""Advanced 2"", (IF(AND(((DE37+((CX37-CW37)/2))&gt;CX37), ((DF37+((CZ37-CY37)/2))&gt;CZ37)), DG37+$H37, "&amp;"(DG37))), DK37=""Advanced 1"", (IFS(DS37&lt;DF37, DG37+$H37, DS37=DF37, (DG37), DS37&gt;DF37, (FLOOR((DG37*0.9875), $H37)))))), (AND(CZ37=TRUE, DA37=""No"", DH37=TRUE, DI37=""No"")), (FLOOR((DG37*0.9), $H37)), (NOT((AND(DH37=TRUE, DI37=""Yes"")))), DG37)"),"---")</f>
        <v>---</v>
      </c>
      <c r="DU37" s="41" t="b">
        <v>0</v>
      </c>
      <c r="DV37" s="47"/>
      <c r="DW37" s="47"/>
      <c r="DX37" s="47" t="str">
        <f t="shared" ref="DX37:DX40" si="354">IF((AND(DH37=TRUE, DI37="No", DU37=TRUE, DV37="No")), (IFS(ISBLANK(DK37), DK37, DK37="Novice 1", "Novice 2", DK37="Novice 2", "Novice 3", DK37="Novice 3", "Intermediate 1", DK37="Intermediate 1", "Intermediate 2", DK37="Intermediate 2", "Advanced 1", DK37="Advanced 1", "Advanced 2", DK37="Advanced 2", "Advanced 2")), DK37)</f>
        <v/>
      </c>
      <c r="DY37" s="45" t="s">
        <v>16</v>
      </c>
      <c r="DZ37" s="39" t="str">
        <f t="shared" ref="DZ37:DZ40" si="355">IFS((AND(DU37=TRUE, DV37="Yes")), (ifs(ISBLANK(DX37), DR37, DX37="Novice 1", DR37, DX37="Novice 2", DR37, DX37="Novice 3", DR37, DX37="Intermediate 2", DR37, DX37="Intermediate 1", DR37, DX37="Advanced 2", (IF((DR37+(($D37-$C37)/2))&gt;$D37, $C37, (DR37+(($D37-$C37)/2)))), DX37="Advanced 1", (IF((DR37+(($D37-$C37)/2))&gt;$D37, $C37, (DR37+(($D37-$C37)/2)))))), (NOT((AND(DU37=TRUE, DV37="Yes")))), DR37)</f>
        <v>---</v>
      </c>
      <c r="EA37" s="46" t="str">
        <f t="shared" ref="EA37:EA40" si="356">IFS((AND(DU37=TRUE, DV37="Yes")), (IFS(ISBLANK(DX37), DS37, DX37="Novice 1", DS37, DX37="Novice 2", DS37, DX37="Novice 3", DS37, DX37="Intermediate 2", (IF((DS37+(($F37-$E37)/2))&gt;$F37, $E37, (DS37+(($F37-$E37)/2)))), DX37="Intermediate 1", (IF((DS37-(($F37-$E37)/2))&lt;$E37, $F37, (DS37-(($F37-$E37)/2)))), DX37="Advanced 2", (IF((((($D37-$C37)/2))+DR37)&gt;$D37, (IF((DS37+(($F37-$E37)/2))&gt;$F37, $E37, (DS37+(($F37-$E37)/2)))), DS37)), DX37="Advanced 1", (IF((((($D37-$C37)/2))+DR37)&gt;$D37, (IF((DS37-(($F37-$E37)/2))&lt;$E37, $F37, (DS37-(($F37-$E37)/2)))), DS37)))), (NOT((AND(DU37=TRUE, DV37="Yes")))), DS37)</f>
        <v>---</v>
      </c>
      <c r="EB37" s="40" t="str">
        <f>IFERROR(__xludf.DUMMYFUNCTION("IFS((AND(DU37=TRUE, DV37=""Yes"")), (IFS(ISBLANK(DX37), DT37, DX37=""Novice 1"", CEILING((DT37*1.05), $H37), DX37=""Novice 2"", CEILING((DT37*1.025), $H37), DX37=""Novice 3"", DT37+$H37, DX37=""Intermediate 2"", (IF((ISBETWEEN(((((DH37-DG37)/2))+DS37), DG"&amp;"37, DH37)), DT37, DT37+$H37)), DX37=""Intermediate 1"", (IF((ISBETWEEN((DS37-((DH37-DG37)/2)), DG37, DH37)), DT37+$H37, (FLOOR((DT37*0.9875), $H37)))), DX37=""Advanced 2"", (IF(AND(((DR37+((DF37-DE37)/2))&gt;DF37), ((DS37+((DH37-DG37)/2))&gt;DH37)), DT37+$H37, "&amp;"(DT37))), DX37=""Advanced 1"", (IFS(EA37&lt;DS37, DT37+$H37, EA37=DS37, (DT37), EA37&gt;DS37, (FLOOR((DT37*0.9875), $H37)))))), (AND(DH37=TRUE, DI37=""No"", DU37=TRUE, DV37=""No"")), (FLOOR((DT37*0.9), $H37)), (NOT((AND(DU37=TRUE, DV37=""Yes"")))), DT37)"),"---")</f>
        <v>---</v>
      </c>
      <c r="EC37" s="41" t="b">
        <v>0</v>
      </c>
      <c r="ED37" s="47"/>
      <c r="EE37" s="47"/>
      <c r="EF37" s="47" t="str">
        <f t="shared" ref="EF37:EF40" si="357">IF((AND(DU37=TRUE, DV37="No", EC37=TRUE, ED37="No")), (IFS(ISBLANK(DX37), DX37, DX37="Novice 1", "Novice 2", DX37="Novice 2", "Novice 3", DX37="Novice 3", "Intermediate 1", DX37="Intermediate 1", "Intermediate 2", DX37="Intermediate 2", "Advanced 1", DX37="Advanced 1", "Advanced 2", DX37="Advanced 2", "Advanced 2")), DX37)</f>
        <v/>
      </c>
      <c r="EG37" s="45" t="s">
        <v>17</v>
      </c>
      <c r="EH37" s="39" t="str">
        <f t="shared" ref="EH37:EH40" si="358">IFS((AND(EC37=TRUE, ED37="Yes")), (ifs(ISBLANK(EF37), DZ37, EF37="Novice 1", DZ37, EF37="Novice 2", DZ37, EF37="Novice 3", DZ37, EF37="Intermediate 2", DZ37, EF37="Intermediate 1", DZ37, EF37="Advanced 2", (IF((DZ37+(($D37-$C37)/2))&gt;$D37, $C37, (DZ37+(($D37-$C37)/2)))), EF37="Advanced 1", (IF((DZ37+(($D37-$C37)/2))&gt;$D37, $C37, (DZ37+(($D37-$C37)/2)))))), (NOT((AND(EC37=TRUE, ED37="Yes")))), DZ37)</f>
        <v>---</v>
      </c>
      <c r="EI37" s="46" t="str">
        <f t="shared" ref="EI37:EI40" si="359">IFS((AND(EC37=TRUE, ED37="Yes")), (IFS(ISBLANK(EF37), EA37, EF37="Novice 1", EA37, EF37="Novice 2", EA37, EF37="Novice 3", EA37, EF37="Intermediate 2", (IF((EA37+(($F37-$E37)/2))&gt;$F37, $E37, (EA37+(($F37-$E37)/2)))), EF37="Intermediate 1", (IF((EA37-(($F37-$E37)/2))&lt;$E37, $F37, (EA37-(($F37-$E37)/2)))), EF37="Advanced 2", (IF((((($D37-$C37)/2))+DZ37)&gt;$D37, (IF((EA37+(($F37-$E37)/2))&gt;$F37, $E37, (EA37+(($F37-$E37)/2)))), EA37)), EF37="Advanced 1", (IF((((($D37-$C37)/2))+DZ37)&gt;$D37, (IF((EA37-(($F37-$E37)/2))&lt;$E37, $F37, (EA37-(($F37-$E37)/2)))), EA37)))), (NOT((AND(EC37=TRUE, ED37="Yes")))), EA37)</f>
        <v>---</v>
      </c>
      <c r="EJ37" s="40" t="str">
        <f>IFERROR(__xludf.DUMMYFUNCTION("IFS((AND(EC37=TRUE, ED37=""Yes"")), (IFS(ISBLANK(EF37), EB37, EF37=""Novice 1"", CEILING((EB37*1.05), $H37), EF37=""Novice 2"", CEILING((EB37*1.025), $H37), EF37=""Novice 3"", EB37+$H37, EF37=""Intermediate 2"", (IF((ISBETWEEN(((((DU37-DT37)/2))+EA37), DT"&amp;"37, DU37)), EB37, EB37+$H37)), EF37=""Intermediate 1"", (IF((ISBETWEEN((EA37-((DU37-DT37)/2)), DT37, DU37)), EB37+$H37, (FLOOR((EB37*0.9875), $H37)))), EF37=""Advanced 2"", (IF(AND(((DZ37+((DS37-DR37)/2))&gt;DS37), ((EA37+((DU37-DT37)/2))&gt;DU37)), EB37+$H37, "&amp;"(EB37))), EF37=""Advanced 1"", (IFS(EI37&lt;EA37, EB37+$H37, EI37=EA37, (EB37), EI37&gt;EA37, (FLOOR((EB37*0.9875), $H37)))))), (AND(DU37=TRUE, DV37=""No"", EC37=TRUE, ED37=""No"")), (FLOOR((EB37*0.9), $H37)), (NOT((AND(EC37=TRUE, ED37=""Yes"")))), EB37)"),"---")</f>
        <v>---</v>
      </c>
      <c r="EK37" s="41" t="b">
        <v>0</v>
      </c>
      <c r="EL37" s="47"/>
      <c r="EM37" s="47"/>
      <c r="EN37" s="47" t="str">
        <f t="shared" ref="EN37:EN40" si="360">IF((AND(EC37=TRUE, ED37="No", EK37=TRUE, EL37="No")), (IFS(ISBLANK(EF37), EF37, EF37="Novice 1", "Novice 2", EF37="Novice 2", "Novice 3", EF37="Novice 3", "Intermediate 1", EF37="Intermediate 1", "Intermediate 2", EF37="Intermediate 2", "Advanced 1", EF37="Advanced 1", "Advanced 2", EF37="Advanced 2", "Advanced 2")), EF37)</f>
        <v/>
      </c>
      <c r="EO37" s="45" t="s">
        <v>18</v>
      </c>
      <c r="EP37" s="48" t="str">
        <f t="shared" ref="EP37:EP40" si="361">IFS((AND(EK37=TRUE, EL37="Yes")), (ifs(ISBLANK(EN37), EH37, EN37="Novice 1", EH37, EN37="Novice 2", EH37, EN37="Novice 3", EH37, EN37="Intermediate 2", EH37, EN37="Intermediate 1", EH37, EN37="Advanced 2", (IF((EH37+(($D37-$C37)/2))&gt;$D37, $C37, (EH37+(($D37-$C37)/2)))), EN37="Advanced 1", (IF((EH37+(($D37-$C37)/2))&gt;$D37, $C37, (EH37+(($D37-$C37)/2)))))), (NOT((AND(EK37=TRUE, EL37="Yes")))), EH37)</f>
        <v>---</v>
      </c>
      <c r="EQ37" s="49" t="str">
        <f t="shared" ref="EQ37:EQ40" si="362">IFS((AND(EK37=TRUE, EL37="Yes")), (IFS(ISBLANK(EN37), EI37, EN37="Novice 1", EI37, EN37="Novice 2", EI37, EN37="Novice 3", EI37, EN37="Intermediate 2", (IF((EI37+(($F37-$E37)/2))&gt;$F37, $E37, (EI37+(($F37-$E37)/2)))), EN37="Intermediate 1", (IF((EI37-(($F37-$E37)/2))&lt;$E37, $F37, (EI37-(($F37-$E37)/2)))), EN37="Advanced 2", (IF((((($D37-$C37)/2))+EH37)&gt;$D37, (IF((EI37+(($F37-$E37)/2))&gt;$F37, $E37, (EI37+(($F37-$E37)/2)))), EI37)), EN37="Advanced 1", (IF((((($D37-$C37)/2))+EH37)&gt;$D37, (IF((EI37-(($F37-$E37)/2))&lt;$E37, $F37, (EI37-(($F37-$E37)/2)))), EI37)))), (NOT((AND(EK37=TRUE, EL37="Yes")))), EI37)</f>
        <v>---</v>
      </c>
      <c r="ER37" s="50" t="str">
        <f>IFERROR(__xludf.DUMMYFUNCTION("IFS((AND(EK37=TRUE, EL37=""Yes"")), (IFS(ISBLANK(EN37), EJ37, EN37=""Novice 1"", CEILING((EJ37*1.05), $H37), EN37=""Novice 2"", CEILING((EJ37*1.025), $H37), EN37=""Novice 3"", EJ37+$H37, EN37=""Intermediate 2"", (IF((ISBETWEEN(((((EC37-EB37)/2))+EI37), EB"&amp;"37, EC37)), EJ37, EJ37+$H37)), EN37=""Intermediate 1"", (IF((ISBETWEEN((EI37-((EC37-EB37)/2)), EB37, EC37)), EJ37+$H37, (FLOOR((EJ37*0.9875), $H37)))), EN37=""Advanced 2"", (IF(AND(((EH37+((EA37-DZ37)/2))&gt;EA37), ((EI37+((EC37-EB37)/2))&gt;EC37)), EJ37+$H37, "&amp;"(EJ37))), EN37=""Advanced 1"", (IFS(EQ37&lt;EI37, EJ37+$H37, EQ37=EI37, (EJ37), EQ37&gt;EI37, (FLOOR((EJ37*0.9875), $H37)))))), (AND(EC37=TRUE, ED37=""No"", EK37=TRUE, EL37=""No"")), (FLOOR((EJ37*0.9), $H37)), (NOT((AND(EK37=TRUE, EL37=""Yes"")))), EJ37)"),"---")</f>
        <v>---</v>
      </c>
      <c r="ES37" s="51" t="b">
        <v>0</v>
      </c>
      <c r="ET37" s="52"/>
      <c r="EU37" s="52"/>
      <c r="EV37" s="52" t="str">
        <f t="shared" ref="EV37:EV40" si="363">IF((AND(EK37=TRUE, EL37="No", ES37=TRUE, ET37="No")), (IFS(ISBLANK(EN37), EN37, EN37="Novice 1", "Novice 2", EN37="Novice 2", "Novice 3", EN37="Novice 3", "Intermediate 1", EN37="Intermediate 1", "Intermediate 2", EN37="Intermediate 2", "Advanced 1", EN37="Advanced 1", "Advanced 2", EN37="Advanced 2", "Advanced 2")), EN37)</f>
        <v/>
      </c>
      <c r="EW37" s="45" t="s">
        <v>6</v>
      </c>
      <c r="EX37" s="53" t="str">
        <f t="shared" ref="EX37:EY37" si="308">IFERROR(EP37/2,EP37)</f>
        <v>---</v>
      </c>
      <c r="EY37" s="53" t="str">
        <f t="shared" si="308"/>
        <v>---</v>
      </c>
      <c r="EZ37" s="53" t="str">
        <f t="shared" ref="EZ37:EZ40" si="365">ER37</f>
        <v>---</v>
      </c>
      <c r="FA37" s="54"/>
      <c r="FB37" s="86"/>
      <c r="FC37" s="57"/>
    </row>
    <row r="38" outlineLevel="1">
      <c r="A38" s="81" t="s">
        <v>64</v>
      </c>
      <c r="B38" s="58"/>
      <c r="C38" s="82" t="s">
        <v>53</v>
      </c>
      <c r="D38" s="83" t="s">
        <v>53</v>
      </c>
      <c r="E38" s="82" t="s">
        <v>53</v>
      </c>
      <c r="F38" s="83" t="s">
        <v>53</v>
      </c>
      <c r="G38" s="83" t="s">
        <v>53</v>
      </c>
      <c r="H38" s="84"/>
      <c r="I38" s="85"/>
      <c r="J38" s="59"/>
      <c r="K38" s="39" t="str">
        <f t="shared" si="309"/>
        <v>---</v>
      </c>
      <c r="L38" s="40" t="str">
        <f t="shared" si="310"/>
        <v>---</v>
      </c>
      <c r="M38" s="40" t="str">
        <f t="shared" si="311"/>
        <v>---</v>
      </c>
      <c r="N38" s="41" t="b">
        <v>0</v>
      </c>
      <c r="O38" s="42"/>
      <c r="P38" s="43"/>
      <c r="Q38" s="42" t="str">
        <f t="shared" si="312"/>
        <v/>
      </c>
      <c r="R38" s="60"/>
      <c r="S38" s="39" t="str">
        <f t="shared" si="313"/>
        <v>---</v>
      </c>
      <c r="T38" s="46" t="str">
        <f t="shared" si="314"/>
        <v>---</v>
      </c>
      <c r="U38" s="40" t="str">
        <f>IFERROR(__xludf.DUMMYFUNCTION("IFS((AND(N38=TRUE, O38=""Yes"")), (IFS(ISBLANK(Q38), M38, Q38=""Novice 1"", CEILING((M38*1.05), $H38), Q38=""Novice 2"", CEILING((M38*1.025), $H38), Q38=""Novice 3"", M38+$H38, Q38=""Intermediate 2"", (IF((ISBETWEEN(((((F38-E38)/2))+L38), E38, F38)), M38,"&amp;" M38+$H38)), Q38=""Intermediate 1"", (IF((ISBETWEEN((L38-((F38-E38)/2)), E38, F38)), M38+$H38, (FLOOR((M38*0.9875), $H38)))), Q38=""Advanced 2"", (IF(AND(((K38+((D38-C38)/2))&gt;D38), ((L38+((F38-E38)/2))&gt;F38)), M38+$H38, (M38))), Q38=""Advanced 1"", (IFS(T3"&amp;"8&lt;L38, M38+$H38, T38=L38, (M38), T38&gt;L38, (FLOOR((M38*0.9875), $H38)))))), (AND(F38=TRUE, G38=""No"", N38=TRUE, O38=""No"")), (FLOOR((M38*0.9), $H38)), (NOT((AND(N38=TRUE, O38=""Yes"")))), M38)"),"---")</f>
        <v>---</v>
      </c>
      <c r="V38" s="41" t="b">
        <v>0</v>
      </c>
      <c r="W38" s="47"/>
      <c r="X38" s="47"/>
      <c r="Y38" s="47" t="str">
        <f t="shared" si="315"/>
        <v/>
      </c>
      <c r="Z38" s="60"/>
      <c r="AA38" s="39" t="str">
        <f t="shared" si="316"/>
        <v>---</v>
      </c>
      <c r="AB38" s="46" t="str">
        <f t="shared" si="317"/>
        <v>---</v>
      </c>
      <c r="AC38" s="40" t="str">
        <f>IFERROR(__xludf.DUMMYFUNCTION("IFS((AND(V38=TRUE, W38=""Yes"")), (IFS(ISBLANK(Y38), U38, Y38=""Novice 1"", CEILING((U38*1.05), $H38), Y38=""Novice 2"", CEILING((U38*1.025), $H38), Y38=""Novice 3"", U38+$H38, Y38=""Intermediate 2"", (IF((ISBETWEEN(((((N38-M38)/2))+T38), M38, N38)), U38,"&amp;" U38+$H38)), Y38=""Intermediate 1"", (IF((ISBETWEEN((T38-((N38-M38)/2)), M38, N38)), U38+$H38, (FLOOR((U38*0.9875), $H38)))), Y38=""Advanced 2"", (IF(AND(((S38+((L38-K38)/2))&gt;L38), ((T38+((N38-M38)/2))&gt;N38)), U38+$H38, (U38))), Y38=""Advanced 1"", (IFS(AB"&amp;"38&lt;T38, U38+$H38, AB38=T38, (U38), AB38&gt;T38, (FLOOR((U38*0.9875), $H38)))))), (AND(N38=TRUE, O38=""No"", V38=TRUE, W38=""No"")), (FLOOR((U38*0.9), $H38)), (NOT((AND(V38=TRUE, W38=""Yes"")))), U38)"),"---")</f>
        <v>---</v>
      </c>
      <c r="AD38" s="41" t="b">
        <v>0</v>
      </c>
      <c r="AE38" s="47"/>
      <c r="AF38" s="47"/>
      <c r="AG38" s="47" t="str">
        <f t="shared" si="318"/>
        <v/>
      </c>
      <c r="AH38" s="60"/>
      <c r="AI38" s="61" t="str">
        <f t="shared" si="319"/>
        <v>---</v>
      </c>
      <c r="AJ38" s="62" t="str">
        <f t="shared" si="320"/>
        <v>---</v>
      </c>
      <c r="AK38" s="63" t="str">
        <f>IFERROR(__xludf.DUMMYFUNCTION("IFS((AND(AD38=TRUE, AE38=""Yes"")), (IFS(ISBLANK(AG38), AC38, AG38=""Novice 1"", CEILING((AC38*1.05), $H38), AG38=""Novice 2"", CEILING((AC38*1.025), $H38), AG38=""Novice 3"", AC38+$H38, AG38=""Intermediate 2"", (IF((ISBETWEEN(((((V38-U38)/2))+AB38), U38,"&amp;" V38)), AC38, AC38+$H38)), AG38=""Intermediate 1"", (IF((ISBETWEEN((AB38-((V38-U38)/2)), U38, V38)), AC38+$H38, (FLOOR((AC38*0.9875), $H38)))), AG38=""Advanced 2"", (IF(AND(((AA38+((T38-S38)/2))&gt;T38), ((AB38+((V38-U38)/2))&gt;V38)), AC38+$H38, (AC38))), AG38"&amp;"=""Advanced 1"", (IFS(AJ38&lt;AB38, AC38+$H38, AJ38=AB38, (AC38), AJ38&gt;AB38, (FLOOR((AC38*0.9875), $H38)))))), (AND(V38=TRUE, W38=""No"", AD38=TRUE, AE38=""No"")), (FLOOR((AC38*0.9), $H38)), (NOT((AND(AD38=TRUE, AE38=""Yes"")))), AC38)"),"---")</f>
        <v>---</v>
      </c>
      <c r="AL38" s="64" t="b">
        <v>0</v>
      </c>
      <c r="AM38" s="65"/>
      <c r="AN38" s="65"/>
      <c r="AO38" s="65" t="str">
        <f t="shared" si="321"/>
        <v/>
      </c>
      <c r="AP38" s="66"/>
      <c r="AQ38" s="53" t="str">
        <f t="shared" ref="AQ38:AR38" si="322">IFERROR(AI38/2,AI38)</f>
        <v>---</v>
      </c>
      <c r="AR38" s="53" t="str">
        <f t="shared" si="322"/>
        <v>---</v>
      </c>
      <c r="AS38" s="53" t="str">
        <f t="shared" si="323"/>
        <v>---</v>
      </c>
      <c r="AT38" s="67"/>
      <c r="AU38" s="60"/>
      <c r="AV38" s="39" t="str">
        <f t="shared" si="324"/>
        <v>---</v>
      </c>
      <c r="AW38" s="46" t="str">
        <f t="shared" si="325"/>
        <v>---</v>
      </c>
      <c r="AX38" s="40" t="str">
        <f>IFERROR(__xludf.DUMMYFUNCTION("IFS((AND(AL38=TRUE, AM38=""Yes"")), (IFS(ISBLANK(AO38), AK38, AO38=""Novice 1"", CEILING((AK38*1.05), $H38), AO38=""Novice 2"", CEILING((AK38*1.025), $H38), AO38=""Novice 3"", AK38+$H38, AO38=""Intermediate 2"", (IF((ISBETWEEN(((((AD38-AC38)/2))+AJ38), AC"&amp;"38, AD38)), AK38, AK38+$H38)), AO38=""Intermediate 1"", (IF((ISBETWEEN((AJ38-((AD38-AC38)/2)), AC38, AD38)), AK38+$H38, (FLOOR((AK38*0.9875), $H38)))), AO38=""Advanced 2"", (IF(AND(((AI38+((AB38-AA38)/2))&gt;AB38), ((AJ38+((AD38-AC38)/2))&gt;AD38)), AK38+$H38, "&amp;"(AK38))), AO38=""Advanced 1"", (IFS(AW38&lt;AJ38, AK38+$H38, AW38=AJ38, (AK38), AW38&gt;AJ38, (FLOOR((AK38*0.9875), $H38)))))), (AND(AD38=TRUE, AE38=""No"", AL38=TRUE, AM38=""No"")), (FLOOR((AK38*0.9), $H38)), (NOT((AND(AL38=TRUE, AM38=""Yes"")))), AK38)"),"---")</f>
        <v>---</v>
      </c>
      <c r="AY38" s="41" t="b">
        <v>0</v>
      </c>
      <c r="AZ38" s="47"/>
      <c r="BA38" s="47"/>
      <c r="BB38" s="47" t="str">
        <f t="shared" si="326"/>
        <v/>
      </c>
      <c r="BC38" s="60"/>
      <c r="BD38" s="39" t="str">
        <f t="shared" si="327"/>
        <v>---</v>
      </c>
      <c r="BE38" s="46" t="str">
        <f t="shared" si="328"/>
        <v>---</v>
      </c>
      <c r="BF38" s="40" t="str">
        <f>IFERROR(__xludf.DUMMYFUNCTION("IFS((AND(AY38=TRUE, AZ38=""Yes"")), (IFS(ISBLANK(BB38), AX38, BB38=""Novice 1"", CEILING((AX38*1.05), $H38), BB38=""Novice 2"", CEILING((AX38*1.025), $H38), BB38=""Novice 3"", AX38+$H38, BB38=""Intermediate 2"", (IF((ISBETWEEN(((((AL38-AK38)/2))+AW38), AK"&amp;"38, AL38)), AX38, AX38+$H38)), BB38=""Intermediate 1"", (IF((ISBETWEEN((AW38-((AL38-AK38)/2)), AK38, AL38)), AX38+$H38, (FLOOR((AX38*0.9875), $H38)))), BB38=""Advanced 2"", (IF(AND(((AV38+((AJ38-AI38)/2))&gt;AJ38), ((AW38+((AL38-AK38)/2))&gt;AL38)), AX38+$H38, "&amp;"(AX38))), BB38=""Advanced 1"", (IFS(BE38&lt;AW38, AX38+$H38, BE38=AW38, (AX38), BE38&gt;AW38, (FLOOR((AX38*0.9875), $H38)))))), (AND(AL38=TRUE, AM38=""No"", AY38=TRUE, AZ38=""No"")), (FLOOR((AX38*0.9), $H38)), (NOT((AND(AY38=TRUE, AZ38=""Yes"")))), AX38)"),"---")</f>
        <v>---</v>
      </c>
      <c r="BG38" s="41" t="b">
        <v>0</v>
      </c>
      <c r="BH38" s="47"/>
      <c r="BI38" s="47"/>
      <c r="BJ38" s="47" t="str">
        <f t="shared" si="329"/>
        <v/>
      </c>
      <c r="BK38" s="60"/>
      <c r="BL38" s="39" t="str">
        <f t="shared" si="330"/>
        <v>---</v>
      </c>
      <c r="BM38" s="46" t="str">
        <f t="shared" si="331"/>
        <v>---</v>
      </c>
      <c r="BN38" s="40" t="str">
        <f>IFERROR(__xludf.DUMMYFUNCTION("IFS((AND(BG38=TRUE, BH38=""Yes"")), (IFS(ISBLANK(BJ38), BF38, BJ38=""Novice 1"", CEILING((BF38*1.05), $H38), BJ38=""Novice 2"", CEILING((BF38*1.025), $H38), BJ38=""Novice 3"", BF38+$H38, BJ38=""Intermediate 2"", (IF((ISBETWEEN(((((AY38-AX38)/2))+BE38), AX"&amp;"38, AY38)), BF38, BF38+$H38)), BJ38=""Intermediate 1"", (IF((ISBETWEEN((BE38-((AY38-AX38)/2)), AX38, AY38)), BF38+$H38, (FLOOR((BF38*0.9875), $H38)))), BJ38=""Advanced 2"", (IF(AND(((BD38+((AW38-AV38)/2))&gt;AW38), ((BE38+((AY38-AX38)/2))&gt;AY38)), BF38+$H38, "&amp;"(BF38))), BJ38=""Advanced 1"", (IFS(BM38&lt;BE38, BF38+$H38, BM38=BE38, (BF38), BM38&gt;BE38, (FLOOR((BF38*0.9875), $H38)))))), (AND(AY38=TRUE, AZ38=""No"", BG38=TRUE, BH38=""No"")), (FLOOR((BF38*0.9), $H38)), (NOT((AND(BG38=TRUE, BH38=""Yes"")))), BF38)"),"---")</f>
        <v>---</v>
      </c>
      <c r="BO38" s="41" t="b">
        <v>0</v>
      </c>
      <c r="BP38" s="47"/>
      <c r="BQ38" s="47"/>
      <c r="BR38" s="47" t="str">
        <f t="shared" si="332"/>
        <v/>
      </c>
      <c r="BS38" s="60"/>
      <c r="BT38" s="61" t="str">
        <f t="shared" si="333"/>
        <v>---</v>
      </c>
      <c r="BU38" s="62" t="str">
        <f t="shared" si="334"/>
        <v>---</v>
      </c>
      <c r="BV38" s="63" t="str">
        <f>IFERROR(__xludf.DUMMYFUNCTION("IFS((AND(BO38=TRUE, BP38=""Yes"")), (IFS(ISBLANK(BR38), BN38, BR38=""Novice 1"", CEILING((BN38*1.05), $H38), BR38=""Novice 2"", CEILING((BN38*1.025), $H38), BR38=""Novice 3"", BN38+$H38, BR38=""Intermediate 2"", (IF((ISBETWEEN(((((BG38-BF38)/2))+BM38), BF"&amp;"38, BG38)), BN38, BN38+$H38)), BR38=""Intermediate 1"", (IF((ISBETWEEN((BM38-((BG38-BF38)/2)), BF38, BG38)), BN38+$H38, (FLOOR((BN38*0.9875), $H38)))), BR38=""Advanced 2"", (IF(AND(((BL38+((BE38-BD38)/2))&gt;BE38), ((BM38+((BG38-BF38)/2))&gt;BG38)), BN38+$H38, "&amp;"(BN38))), BR38=""Advanced 1"", (IFS(BU38&lt;BM38, BN38+$H38, BU38=BM38, (BN38), BU38&gt;BM38, (FLOOR((BN38*0.9875), $H38)))))), (AND(BG38=TRUE, BH38=""No"", BO38=TRUE, BP38=""No"")), (FLOOR((BN38*0.9), $H38)), (NOT((AND(BO38=TRUE, BP38=""Yes"")))), BN38)"),"---")</f>
        <v>---</v>
      </c>
      <c r="BW38" s="64" t="b">
        <v>0</v>
      </c>
      <c r="BX38" s="65"/>
      <c r="BY38" s="65"/>
      <c r="BZ38" s="65" t="str">
        <f t="shared" si="335"/>
        <v/>
      </c>
      <c r="CA38" s="66"/>
      <c r="CB38" s="53" t="str">
        <f t="shared" ref="CB38:CC38" si="336">IFERROR(BT38/2,BT38)</f>
        <v>---</v>
      </c>
      <c r="CC38" s="53" t="str">
        <f t="shared" si="336"/>
        <v>---</v>
      </c>
      <c r="CD38" s="53" t="str">
        <f t="shared" si="337"/>
        <v>---</v>
      </c>
      <c r="CE38" s="67"/>
      <c r="CF38" s="60"/>
      <c r="CG38" s="39" t="str">
        <f t="shared" si="338"/>
        <v>---</v>
      </c>
      <c r="CH38" s="46" t="str">
        <f t="shared" si="339"/>
        <v>---</v>
      </c>
      <c r="CI38" s="40" t="str">
        <f>IFERROR(__xludf.DUMMYFUNCTION("IFS((AND(BW38=TRUE, BX38=""Yes"")), (IFS(ISBLANK(BZ38), BV38, BZ38=""Novice 1"", CEILING((BV38*1.05), $H38), BZ38=""Novice 2"", CEILING((BV38*1.025), $H38), BZ38=""Novice 3"", BV38+$H38, BZ38=""Intermediate 2"", (IF((ISBETWEEN(((((BO38-BN38)/2))+BU38), BN"&amp;"38, BO38)), BV38, BV38+$H38)), BZ38=""Intermediate 1"", (IF((ISBETWEEN((BU38-((BO38-BN38)/2)), BN38, BO38)), BV38+$H38, (FLOOR((BV38*0.9875), $H38)))), BZ38=""Advanced 2"", (IF(AND(((BT38+((BM38-BL38)/2))&gt;BM38), ((BU38+((BO38-BN38)/2))&gt;BO38)), BV38+$H38, "&amp;"(BV38))), BZ38=""Advanced 1"", (IFS(CH38&lt;BU38, BV38+$H38, CH38=BU38, (BV38), CH38&gt;BU38, (FLOOR((BV38*0.9875), $H38)))))), (AND(BO38=TRUE, BP38=""No"", BW38=TRUE, BX38=""No"")), (FLOOR((BV38*0.9), $H38)), (NOT((AND(BW38=TRUE, BX38=""Yes"")))), BV38)"),"---")</f>
        <v>---</v>
      </c>
      <c r="CJ38" s="41" t="b">
        <v>0</v>
      </c>
      <c r="CK38" s="47"/>
      <c r="CL38" s="47"/>
      <c r="CM38" s="47" t="str">
        <f t="shared" si="340"/>
        <v/>
      </c>
      <c r="CN38" s="60"/>
      <c r="CO38" s="39" t="str">
        <f t="shared" si="341"/>
        <v>---</v>
      </c>
      <c r="CP38" s="46" t="str">
        <f t="shared" si="342"/>
        <v>---</v>
      </c>
      <c r="CQ38" s="40" t="str">
        <f>IFERROR(__xludf.DUMMYFUNCTION("IFS((AND(CJ38=TRUE, CK38=""Yes"")), (IFS(ISBLANK(CM38), CI38, CM38=""Novice 1"", CEILING((CI38*1.05), $H38), CM38=""Novice 2"", CEILING((CI38*1.025), $H38), CM38=""Novice 3"", CI38+$H38, CM38=""Intermediate 2"", (IF((ISBETWEEN(((((BW38-BV38)/2))+CH38), BV"&amp;"38, BW38)), CI38, CI38+$H38)), CM38=""Intermediate 1"", (IF((ISBETWEEN((CH38-((BW38-BV38)/2)), BV38, BW38)), CI38+$H38, (FLOOR((CI38*0.9875), $H38)))), CM38=""Advanced 2"", (IF(AND(((CG38+((BU38-BT38)/2))&gt;BU38), ((CH38+((BW38-BV38)/2))&gt;BW38)), CI38+$H38, "&amp;"(CI38))), CM38=""Advanced 1"", (IFS(CP38&lt;CH38, CI38+$H38, CP38=CH38, (CI38), CP38&gt;CH38, (FLOOR((CI38*0.9875), $H38)))))), (AND(BW38=TRUE, BX38=""No"", CJ38=TRUE, CK38=""No"")), (FLOOR((CI38*0.9), $H38)), (NOT((AND(CJ38=TRUE, CK38=""Yes"")))), CI38)"),"---")</f>
        <v>---</v>
      </c>
      <c r="CR38" s="41" t="b">
        <v>0</v>
      </c>
      <c r="CS38" s="47"/>
      <c r="CT38" s="47"/>
      <c r="CU38" s="47" t="str">
        <f t="shared" si="343"/>
        <v/>
      </c>
      <c r="CV38" s="60"/>
      <c r="CW38" s="39" t="str">
        <f t="shared" si="344"/>
        <v>---</v>
      </c>
      <c r="CX38" s="46" t="str">
        <f t="shared" si="345"/>
        <v>---</v>
      </c>
      <c r="CY38" s="40" t="str">
        <f>IFERROR(__xludf.DUMMYFUNCTION("IFS((AND(CR38=TRUE, CS38=""Yes"")), (IFS(ISBLANK(CU38), CQ38, CU38=""Novice 1"", CEILING((CQ38*1.05), $H38), CU38=""Novice 2"", CEILING((CQ38*1.025), $H38), CU38=""Novice 3"", CQ38+$H38, CU38=""Intermediate 2"", (IF((ISBETWEEN(((((CJ38-CI38)/2))+CP38), CI"&amp;"38, CJ38)), CQ38, CQ38+$H38)), CU38=""Intermediate 1"", (IF((ISBETWEEN((CP38-((CJ38-CI38)/2)), CI38, CJ38)), CQ38+$H38, (FLOOR((CQ38*0.9875), $H38)))), CU38=""Advanced 2"", (IF(AND(((CO38+((CH38-CG38)/2))&gt;CH38), ((CP38+((CJ38-CI38)/2))&gt;CJ38)), CQ38+$H38, "&amp;"(CQ38))), CU38=""Advanced 1"", (IFS(CX38&lt;CP38, CQ38+$H38, CX38=CP38, (CQ38), CX38&gt;CP38, (FLOOR((CQ38*0.9875), $H38)))))), (AND(CJ38=TRUE, CK38=""No"", CR38=TRUE, CS38=""No"")), (FLOOR((CQ38*0.9), $H38)), (NOT((AND(CR38=TRUE, CS38=""Yes"")))), CQ38)"),"---")</f>
        <v>---</v>
      </c>
      <c r="CZ38" s="41" t="b">
        <v>0</v>
      </c>
      <c r="DA38" s="47"/>
      <c r="DB38" s="47"/>
      <c r="DC38" s="47" t="str">
        <f t="shared" si="346"/>
        <v/>
      </c>
      <c r="DD38" s="60"/>
      <c r="DE38" s="61" t="str">
        <f t="shared" si="347"/>
        <v>---</v>
      </c>
      <c r="DF38" s="62" t="str">
        <f t="shared" si="348"/>
        <v>---</v>
      </c>
      <c r="DG38" s="63" t="str">
        <f>IFERROR(__xludf.DUMMYFUNCTION("IFS((AND(CZ38=TRUE, DA38=""Yes"")), (IFS(ISBLANK(DC38), CY38, DC38=""Novice 1"", CEILING((CY38*1.05), $H38), DC38=""Novice 2"", CEILING((CY38*1.025), $H38), DC38=""Novice 3"", CY38+$H38, DC38=""Intermediate 2"", (IF((ISBETWEEN(((((CR38-CQ38)/2))+CX38), CQ"&amp;"38, CR38)), CY38, CY38+$H38)), DC38=""Intermediate 1"", (IF((ISBETWEEN((CX38-((CR38-CQ38)/2)), CQ38, CR38)), CY38+$H38, (FLOOR((CY38*0.9875), $H38)))), DC38=""Advanced 2"", (IF(AND(((CW38+((CP38-CO38)/2))&gt;CP38), ((CX38+((CR38-CQ38)/2))&gt;CR38)), CY38+$H38, "&amp;"(CY38))), DC38=""Advanced 1"", (IFS(DF38&lt;CX38, CY38+$H38, DF38=CX38, (CY38), DF38&gt;CX38, (FLOOR((CY38*0.9875), $H38)))))), (AND(CR38=TRUE, CS38=""No"", CZ38=TRUE, DA38=""No"")), (FLOOR((CY38*0.9), $H38)), (NOT((AND(CZ38=TRUE, DA38=""Yes"")))), CY38)"),"---")</f>
        <v>---</v>
      </c>
      <c r="DH38" s="64" t="b">
        <v>0</v>
      </c>
      <c r="DI38" s="65"/>
      <c r="DJ38" s="65"/>
      <c r="DK38" s="65" t="str">
        <f t="shared" si="349"/>
        <v/>
      </c>
      <c r="DL38" s="66"/>
      <c r="DM38" s="53" t="str">
        <f t="shared" ref="DM38:DN38" si="350">IFERROR(DE38/2,DE38)</f>
        <v>---</v>
      </c>
      <c r="DN38" s="53" t="str">
        <f t="shared" si="350"/>
        <v>---</v>
      </c>
      <c r="DO38" s="53" t="str">
        <f t="shared" si="351"/>
        <v>---</v>
      </c>
      <c r="DP38" s="67"/>
      <c r="DQ38" s="60"/>
      <c r="DR38" s="39" t="str">
        <f t="shared" si="352"/>
        <v>---</v>
      </c>
      <c r="DS38" s="46" t="str">
        <f t="shared" si="353"/>
        <v>---</v>
      </c>
      <c r="DT38" s="40" t="str">
        <f>IFERROR(__xludf.DUMMYFUNCTION("IFS((AND(DH38=TRUE, DI38=""Yes"")), (IFS(ISBLANK(DK38), DG38, DK38=""Novice 1"", CEILING((DG38*1.05), $H38), DK38=""Novice 2"", CEILING((DG38*1.025), $H38), DK38=""Novice 3"", DG38+$H38, DK38=""Intermediate 2"", (IF((ISBETWEEN(((((CZ38-CY38)/2))+DF38), CY"&amp;"38, CZ38)), DG38, DG38+$H38)), DK38=""Intermediate 1"", (IF((ISBETWEEN((DF38-((CZ38-CY38)/2)), CY38, CZ38)), DG38+$H38, (FLOOR((DG38*0.9875), $H38)))), DK38=""Advanced 2"", (IF(AND(((DE38+((CX38-CW38)/2))&gt;CX38), ((DF38+((CZ38-CY38)/2))&gt;CZ38)), DG38+$H38, "&amp;"(DG38))), DK38=""Advanced 1"", (IFS(DS38&lt;DF38, DG38+$H38, DS38=DF38, (DG38), DS38&gt;DF38, (FLOOR((DG38*0.9875), $H38)))))), (AND(CZ38=TRUE, DA38=""No"", DH38=TRUE, DI38=""No"")), (FLOOR((DG38*0.9), $H38)), (NOT((AND(DH38=TRUE, DI38=""Yes"")))), DG38)"),"---")</f>
        <v>---</v>
      </c>
      <c r="DU38" s="41" t="b">
        <v>0</v>
      </c>
      <c r="DV38" s="47"/>
      <c r="DW38" s="47"/>
      <c r="DX38" s="47" t="str">
        <f t="shared" si="354"/>
        <v/>
      </c>
      <c r="DY38" s="60"/>
      <c r="DZ38" s="39" t="str">
        <f t="shared" si="355"/>
        <v>---</v>
      </c>
      <c r="EA38" s="46" t="str">
        <f t="shared" si="356"/>
        <v>---</v>
      </c>
      <c r="EB38" s="40" t="str">
        <f>IFERROR(__xludf.DUMMYFUNCTION("IFS((AND(DU38=TRUE, DV38=""Yes"")), (IFS(ISBLANK(DX38), DT38, DX38=""Novice 1"", CEILING((DT38*1.05), $H38), DX38=""Novice 2"", CEILING((DT38*1.025), $H38), DX38=""Novice 3"", DT38+$H38, DX38=""Intermediate 2"", (IF((ISBETWEEN(((((DH38-DG38)/2))+DS38), DG"&amp;"38, DH38)), DT38, DT38+$H38)), DX38=""Intermediate 1"", (IF((ISBETWEEN((DS38-((DH38-DG38)/2)), DG38, DH38)), DT38+$H38, (FLOOR((DT38*0.9875), $H38)))), DX38=""Advanced 2"", (IF(AND(((DR38+((DF38-DE38)/2))&gt;DF38), ((DS38+((DH38-DG38)/2))&gt;DH38)), DT38+$H38, "&amp;"(DT38))), DX38=""Advanced 1"", (IFS(EA38&lt;DS38, DT38+$H38, EA38=DS38, (DT38), EA38&gt;DS38, (FLOOR((DT38*0.9875), $H38)))))), (AND(DH38=TRUE, DI38=""No"", DU38=TRUE, DV38=""No"")), (FLOOR((DT38*0.9), $H38)), (NOT((AND(DU38=TRUE, DV38=""Yes"")))), DT38)"),"---")</f>
        <v>---</v>
      </c>
      <c r="EC38" s="41" t="b">
        <v>0</v>
      </c>
      <c r="ED38" s="47"/>
      <c r="EE38" s="47"/>
      <c r="EF38" s="47" t="str">
        <f t="shared" si="357"/>
        <v/>
      </c>
      <c r="EG38" s="60"/>
      <c r="EH38" s="39" t="str">
        <f t="shared" si="358"/>
        <v>---</v>
      </c>
      <c r="EI38" s="46" t="str">
        <f t="shared" si="359"/>
        <v>---</v>
      </c>
      <c r="EJ38" s="40" t="str">
        <f>IFERROR(__xludf.DUMMYFUNCTION("IFS((AND(EC38=TRUE, ED38=""Yes"")), (IFS(ISBLANK(EF38), EB38, EF38=""Novice 1"", CEILING((EB38*1.05), $H38), EF38=""Novice 2"", CEILING((EB38*1.025), $H38), EF38=""Novice 3"", EB38+$H38, EF38=""Intermediate 2"", (IF((ISBETWEEN(((((DU38-DT38)/2))+EA38), DT"&amp;"38, DU38)), EB38, EB38+$H38)), EF38=""Intermediate 1"", (IF((ISBETWEEN((EA38-((DU38-DT38)/2)), DT38, DU38)), EB38+$H38, (FLOOR((EB38*0.9875), $H38)))), EF38=""Advanced 2"", (IF(AND(((DZ38+((DS38-DR38)/2))&gt;DS38), ((EA38+((DU38-DT38)/2))&gt;DU38)), EB38+$H38, "&amp;"(EB38))), EF38=""Advanced 1"", (IFS(EI38&lt;EA38, EB38+$H38, EI38=EA38, (EB38), EI38&gt;EA38, (FLOOR((EB38*0.9875), $H38)))))), (AND(DU38=TRUE, DV38=""No"", EC38=TRUE, ED38=""No"")), (FLOOR((EB38*0.9), $H38)), (NOT((AND(EC38=TRUE, ED38=""Yes"")))), EB38)"),"---")</f>
        <v>---</v>
      </c>
      <c r="EK38" s="41" t="b">
        <v>0</v>
      </c>
      <c r="EL38" s="47"/>
      <c r="EM38" s="47"/>
      <c r="EN38" s="47" t="str">
        <f t="shared" si="360"/>
        <v/>
      </c>
      <c r="EO38" s="60"/>
      <c r="EP38" s="61" t="str">
        <f t="shared" si="361"/>
        <v>---</v>
      </c>
      <c r="EQ38" s="62" t="str">
        <f t="shared" si="362"/>
        <v>---</v>
      </c>
      <c r="ER38" s="63" t="str">
        <f>IFERROR(__xludf.DUMMYFUNCTION("IFS((AND(EK38=TRUE, EL38=""Yes"")), (IFS(ISBLANK(EN38), EJ38, EN38=""Novice 1"", CEILING((EJ38*1.05), $H38), EN38=""Novice 2"", CEILING((EJ38*1.025), $H38), EN38=""Novice 3"", EJ38+$H38, EN38=""Intermediate 2"", (IF((ISBETWEEN(((((EC38-EB38)/2))+EI38), EB"&amp;"38, EC38)), EJ38, EJ38+$H38)), EN38=""Intermediate 1"", (IF((ISBETWEEN((EI38-((EC38-EB38)/2)), EB38, EC38)), EJ38+$H38, (FLOOR((EJ38*0.9875), $H38)))), EN38=""Advanced 2"", (IF(AND(((EH38+((EA38-DZ38)/2))&gt;EA38), ((EI38+((EC38-EB38)/2))&gt;EC38)), EJ38+$H38, "&amp;"(EJ38))), EN38=""Advanced 1"", (IFS(EQ38&lt;EI38, EJ38+$H38, EQ38=EI38, (EJ38), EQ38&gt;EI38, (FLOOR((EJ38*0.9875), $H38)))))), (AND(EC38=TRUE, ED38=""No"", EK38=TRUE, EL38=""No"")), (FLOOR((EJ38*0.9), $H38)), (NOT((AND(EK38=TRUE, EL38=""Yes"")))), EJ38)"),"---")</f>
        <v>---</v>
      </c>
      <c r="ES38" s="64" t="b">
        <v>0</v>
      </c>
      <c r="ET38" s="65"/>
      <c r="EU38" s="65"/>
      <c r="EV38" s="65" t="str">
        <f t="shared" si="363"/>
        <v/>
      </c>
      <c r="EW38" s="66"/>
      <c r="EX38" s="53" t="str">
        <f t="shared" ref="EX38:EY38" si="364">IFERROR(EP38/2,EP38)</f>
        <v>---</v>
      </c>
      <c r="EY38" s="53" t="str">
        <f t="shared" si="364"/>
        <v>---</v>
      </c>
      <c r="EZ38" s="53" t="str">
        <f t="shared" si="365"/>
        <v>---</v>
      </c>
      <c r="FA38" s="67"/>
      <c r="FB38" s="86"/>
      <c r="FC38" s="57"/>
    </row>
    <row r="39" outlineLevel="1">
      <c r="A39" s="81" t="s">
        <v>65</v>
      </c>
      <c r="B39" s="58"/>
      <c r="C39" s="82" t="s">
        <v>53</v>
      </c>
      <c r="D39" s="83" t="s">
        <v>53</v>
      </c>
      <c r="E39" s="82" t="s">
        <v>53</v>
      </c>
      <c r="F39" s="83" t="s">
        <v>53</v>
      </c>
      <c r="G39" s="83" t="s">
        <v>53</v>
      </c>
      <c r="H39" s="84"/>
      <c r="I39" s="85"/>
      <c r="J39" s="59"/>
      <c r="K39" s="39" t="str">
        <f t="shared" si="309"/>
        <v>---</v>
      </c>
      <c r="L39" s="40" t="str">
        <f t="shared" si="310"/>
        <v>---</v>
      </c>
      <c r="M39" s="40" t="str">
        <f t="shared" si="311"/>
        <v>---</v>
      </c>
      <c r="N39" s="41" t="b">
        <v>0</v>
      </c>
      <c r="O39" s="42"/>
      <c r="P39" s="43"/>
      <c r="Q39" s="42" t="str">
        <f t="shared" si="312"/>
        <v/>
      </c>
      <c r="R39" s="60"/>
      <c r="S39" s="39" t="str">
        <f t="shared" si="313"/>
        <v>---</v>
      </c>
      <c r="T39" s="46" t="str">
        <f t="shared" si="314"/>
        <v>---</v>
      </c>
      <c r="U39" s="40" t="str">
        <f>IFERROR(__xludf.DUMMYFUNCTION("IFS((AND(N39=TRUE, O39=""Yes"")), (IFS(ISBLANK(Q39), M39, Q39=""Novice 1"", CEILING((M39*1.05), $H39), Q39=""Novice 2"", CEILING((M39*1.025), $H39), Q39=""Novice 3"", M39+$H39, Q39=""Intermediate 2"", (IF((ISBETWEEN(((((F39-E39)/2))+L39), E39, F39)), M39,"&amp;" M39+$H39)), Q39=""Intermediate 1"", (IF((ISBETWEEN((L39-((F39-E39)/2)), E39, F39)), M39+$H39, (FLOOR((M39*0.9875), $H39)))), Q39=""Advanced 2"", (IF(AND(((K39+((D39-C39)/2))&gt;D39), ((L39+((F39-E39)/2))&gt;F39)), M39+$H39, (M39))), Q39=""Advanced 1"", (IFS(T3"&amp;"9&lt;L39, M39+$H39, T39=L39, (M39), T39&gt;L39, (FLOOR((M39*0.9875), $H39)))))), (AND(F39=TRUE, G39=""No"", N39=TRUE, O39=""No"")), (FLOOR((M39*0.9), $H39)), (NOT((AND(N39=TRUE, O39=""Yes"")))), M39)"),"---")</f>
        <v>---</v>
      </c>
      <c r="V39" s="41" t="b">
        <v>0</v>
      </c>
      <c r="W39" s="47"/>
      <c r="X39" s="47"/>
      <c r="Y39" s="47" t="str">
        <f t="shared" si="315"/>
        <v/>
      </c>
      <c r="Z39" s="60"/>
      <c r="AA39" s="39" t="str">
        <f t="shared" si="316"/>
        <v>---</v>
      </c>
      <c r="AB39" s="46" t="str">
        <f t="shared" si="317"/>
        <v>---</v>
      </c>
      <c r="AC39" s="40" t="str">
        <f>IFERROR(__xludf.DUMMYFUNCTION("IFS((AND(V39=TRUE, W39=""Yes"")), (IFS(ISBLANK(Y39), U39, Y39=""Novice 1"", CEILING((U39*1.05), $H39), Y39=""Novice 2"", CEILING((U39*1.025), $H39), Y39=""Novice 3"", U39+$H39, Y39=""Intermediate 2"", (IF((ISBETWEEN(((((N39-M39)/2))+T39), M39, N39)), U39,"&amp;" U39+$H39)), Y39=""Intermediate 1"", (IF((ISBETWEEN((T39-((N39-M39)/2)), M39, N39)), U39+$H39, (FLOOR((U39*0.9875), $H39)))), Y39=""Advanced 2"", (IF(AND(((S39+((L39-K39)/2))&gt;L39), ((T39+((N39-M39)/2))&gt;N39)), U39+$H39, (U39))), Y39=""Advanced 1"", (IFS(AB"&amp;"39&lt;T39, U39+$H39, AB39=T39, (U39), AB39&gt;T39, (FLOOR((U39*0.9875), $H39)))))), (AND(N39=TRUE, O39=""No"", V39=TRUE, W39=""No"")), (FLOOR((U39*0.9), $H39)), (NOT((AND(V39=TRUE, W39=""Yes"")))), U39)"),"---")</f>
        <v>---</v>
      </c>
      <c r="AD39" s="41" t="b">
        <v>0</v>
      </c>
      <c r="AE39" s="47"/>
      <c r="AF39" s="47"/>
      <c r="AG39" s="47" t="str">
        <f t="shared" si="318"/>
        <v/>
      </c>
      <c r="AH39" s="60"/>
      <c r="AI39" s="48" t="str">
        <f t="shared" si="319"/>
        <v>---</v>
      </c>
      <c r="AJ39" s="49" t="str">
        <f t="shared" si="320"/>
        <v>---</v>
      </c>
      <c r="AK39" s="50" t="str">
        <f>IFERROR(__xludf.DUMMYFUNCTION("IFS((AND(AD39=TRUE, AE39=""Yes"")), (IFS(ISBLANK(AG39), AC39, AG39=""Novice 1"", CEILING((AC39*1.05), $H39), AG39=""Novice 2"", CEILING((AC39*1.025), $H39), AG39=""Novice 3"", AC39+$H39, AG39=""Intermediate 2"", (IF((ISBETWEEN(((((V39-U39)/2))+AB39), U39,"&amp;" V39)), AC39, AC39+$H39)), AG39=""Intermediate 1"", (IF((ISBETWEEN((AB39-((V39-U39)/2)), U39, V39)), AC39+$H39, (FLOOR((AC39*0.9875), $H39)))), AG39=""Advanced 2"", (IF(AND(((AA39+((T39-S39)/2))&gt;T39), ((AB39+((V39-U39)/2))&gt;V39)), AC39+$H39, (AC39))), AG39"&amp;"=""Advanced 1"", (IFS(AJ39&lt;AB39, AC39+$H39, AJ39=AB39, (AC39), AJ39&gt;AB39, (FLOOR((AC39*0.9875), $H39)))))), (AND(V39=TRUE, W39=""No"", AD39=TRUE, AE39=""No"")), (FLOOR((AC39*0.9), $H39)), (NOT((AND(AD39=TRUE, AE39=""Yes"")))), AC39)"),"---")</f>
        <v>---</v>
      </c>
      <c r="AL39" s="51" t="b">
        <v>0</v>
      </c>
      <c r="AM39" s="52"/>
      <c r="AN39" s="52"/>
      <c r="AO39" s="52" t="str">
        <f t="shared" si="321"/>
        <v/>
      </c>
      <c r="AP39" s="69"/>
      <c r="AQ39" s="53" t="str">
        <f t="shared" ref="AQ39:AR39" si="366">IFERROR(AI39/2,AI39)</f>
        <v>---</v>
      </c>
      <c r="AR39" s="53" t="str">
        <f t="shared" si="366"/>
        <v>---</v>
      </c>
      <c r="AS39" s="53" t="str">
        <f t="shared" si="323"/>
        <v>---</v>
      </c>
      <c r="AT39" s="67"/>
      <c r="AU39" s="60"/>
      <c r="AV39" s="39" t="str">
        <f t="shared" si="324"/>
        <v>---</v>
      </c>
      <c r="AW39" s="46" t="str">
        <f t="shared" si="325"/>
        <v>---</v>
      </c>
      <c r="AX39" s="40" t="str">
        <f>IFERROR(__xludf.DUMMYFUNCTION("IFS((AND(AL39=TRUE, AM39=""Yes"")), (IFS(ISBLANK(AO39), AK39, AO39=""Novice 1"", CEILING((AK39*1.05), $H39), AO39=""Novice 2"", CEILING((AK39*1.025), $H39), AO39=""Novice 3"", AK39+$H39, AO39=""Intermediate 2"", (IF((ISBETWEEN(((((AD39-AC39)/2))+AJ39), AC"&amp;"39, AD39)), AK39, AK39+$H39)), AO39=""Intermediate 1"", (IF((ISBETWEEN((AJ39-((AD39-AC39)/2)), AC39, AD39)), AK39+$H39, (FLOOR((AK39*0.9875), $H39)))), AO39=""Advanced 2"", (IF(AND(((AI39+((AB39-AA39)/2))&gt;AB39), ((AJ39+((AD39-AC39)/2))&gt;AD39)), AK39+$H39, "&amp;"(AK39))), AO39=""Advanced 1"", (IFS(AW39&lt;AJ39, AK39+$H39, AW39=AJ39, (AK39), AW39&gt;AJ39, (FLOOR((AK39*0.9875), $H39)))))), (AND(AD39=TRUE, AE39=""No"", AL39=TRUE, AM39=""No"")), (FLOOR((AK39*0.9), $H39)), (NOT((AND(AL39=TRUE, AM39=""Yes"")))), AK39)"),"---")</f>
        <v>---</v>
      </c>
      <c r="AY39" s="41" t="b">
        <v>0</v>
      </c>
      <c r="AZ39" s="47"/>
      <c r="BA39" s="47"/>
      <c r="BB39" s="47" t="str">
        <f t="shared" si="326"/>
        <v/>
      </c>
      <c r="BC39" s="60"/>
      <c r="BD39" s="39" t="str">
        <f t="shared" si="327"/>
        <v>---</v>
      </c>
      <c r="BE39" s="46" t="str">
        <f t="shared" si="328"/>
        <v>---</v>
      </c>
      <c r="BF39" s="40" t="str">
        <f>IFERROR(__xludf.DUMMYFUNCTION("IFS((AND(AY39=TRUE, AZ39=""Yes"")), (IFS(ISBLANK(BB39), AX39, BB39=""Novice 1"", CEILING((AX39*1.05), $H39), BB39=""Novice 2"", CEILING((AX39*1.025), $H39), BB39=""Novice 3"", AX39+$H39, BB39=""Intermediate 2"", (IF((ISBETWEEN(((((AL39-AK39)/2))+AW39), AK"&amp;"39, AL39)), AX39, AX39+$H39)), BB39=""Intermediate 1"", (IF((ISBETWEEN((AW39-((AL39-AK39)/2)), AK39, AL39)), AX39+$H39, (FLOOR((AX39*0.9875), $H39)))), BB39=""Advanced 2"", (IF(AND(((AV39+((AJ39-AI39)/2))&gt;AJ39), ((AW39+((AL39-AK39)/2))&gt;AL39)), AX39+$H39, "&amp;"(AX39))), BB39=""Advanced 1"", (IFS(BE39&lt;AW39, AX39+$H39, BE39=AW39, (AX39), BE39&gt;AW39, (FLOOR((AX39*0.9875), $H39)))))), (AND(AL39=TRUE, AM39=""No"", AY39=TRUE, AZ39=""No"")), (FLOOR((AX39*0.9), $H39)), (NOT((AND(AY39=TRUE, AZ39=""Yes"")))), AX39)"),"---")</f>
        <v>---</v>
      </c>
      <c r="BG39" s="41" t="b">
        <v>0</v>
      </c>
      <c r="BH39" s="47"/>
      <c r="BI39" s="47"/>
      <c r="BJ39" s="47" t="str">
        <f t="shared" si="329"/>
        <v/>
      </c>
      <c r="BK39" s="60"/>
      <c r="BL39" s="39" t="str">
        <f t="shared" si="330"/>
        <v>---</v>
      </c>
      <c r="BM39" s="46" t="str">
        <f t="shared" si="331"/>
        <v>---</v>
      </c>
      <c r="BN39" s="40" t="str">
        <f>IFERROR(__xludf.DUMMYFUNCTION("IFS((AND(BG39=TRUE, BH39=""Yes"")), (IFS(ISBLANK(BJ39), BF39, BJ39=""Novice 1"", CEILING((BF39*1.05), $H39), BJ39=""Novice 2"", CEILING((BF39*1.025), $H39), BJ39=""Novice 3"", BF39+$H39, BJ39=""Intermediate 2"", (IF((ISBETWEEN(((((AY39-AX39)/2))+BE39), AX"&amp;"39, AY39)), BF39, BF39+$H39)), BJ39=""Intermediate 1"", (IF((ISBETWEEN((BE39-((AY39-AX39)/2)), AX39, AY39)), BF39+$H39, (FLOOR((BF39*0.9875), $H39)))), BJ39=""Advanced 2"", (IF(AND(((BD39+((AW39-AV39)/2))&gt;AW39), ((BE39+((AY39-AX39)/2))&gt;AY39)), BF39+$H39, "&amp;"(BF39))), BJ39=""Advanced 1"", (IFS(BM39&lt;BE39, BF39+$H39, BM39=BE39, (BF39), BM39&gt;BE39, (FLOOR((BF39*0.9875), $H39)))))), (AND(AY39=TRUE, AZ39=""No"", BG39=TRUE, BH39=""No"")), (FLOOR((BF39*0.9), $H39)), (NOT((AND(BG39=TRUE, BH39=""Yes"")))), BF39)"),"---")</f>
        <v>---</v>
      </c>
      <c r="BO39" s="41" t="b">
        <v>0</v>
      </c>
      <c r="BP39" s="47"/>
      <c r="BQ39" s="47"/>
      <c r="BR39" s="47" t="str">
        <f t="shared" si="332"/>
        <v/>
      </c>
      <c r="BS39" s="60"/>
      <c r="BT39" s="48" t="str">
        <f t="shared" si="333"/>
        <v>---</v>
      </c>
      <c r="BU39" s="49" t="str">
        <f t="shared" si="334"/>
        <v>---</v>
      </c>
      <c r="BV39" s="50" t="str">
        <f>IFERROR(__xludf.DUMMYFUNCTION("IFS((AND(BO39=TRUE, BP39=""Yes"")), (IFS(ISBLANK(BR39), BN39, BR39=""Novice 1"", CEILING((BN39*1.05), $H39), BR39=""Novice 2"", CEILING((BN39*1.025), $H39), BR39=""Novice 3"", BN39+$H39, BR39=""Intermediate 2"", (IF((ISBETWEEN(((((BG39-BF39)/2))+BM39), BF"&amp;"39, BG39)), BN39, BN39+$H39)), BR39=""Intermediate 1"", (IF((ISBETWEEN((BM39-((BG39-BF39)/2)), BF39, BG39)), BN39+$H39, (FLOOR((BN39*0.9875), $H39)))), BR39=""Advanced 2"", (IF(AND(((BL39+((BE39-BD39)/2))&gt;BE39), ((BM39+((BG39-BF39)/2))&gt;BG39)), BN39+$H39, "&amp;"(BN39))), BR39=""Advanced 1"", (IFS(BU39&lt;BM39, BN39+$H39, BU39=BM39, (BN39), BU39&gt;BM39, (FLOOR((BN39*0.9875), $H39)))))), (AND(BG39=TRUE, BH39=""No"", BO39=TRUE, BP39=""No"")), (FLOOR((BN39*0.9), $H39)), (NOT((AND(BO39=TRUE, BP39=""Yes"")))), BN39)"),"---")</f>
        <v>---</v>
      </c>
      <c r="BW39" s="51" t="b">
        <v>0</v>
      </c>
      <c r="BX39" s="52"/>
      <c r="BY39" s="52"/>
      <c r="BZ39" s="52" t="str">
        <f t="shared" si="335"/>
        <v/>
      </c>
      <c r="CA39" s="69"/>
      <c r="CB39" s="53" t="str">
        <f t="shared" ref="CB39:CC39" si="367">IFERROR(BT39/2,BT39)</f>
        <v>---</v>
      </c>
      <c r="CC39" s="53" t="str">
        <f t="shared" si="367"/>
        <v>---</v>
      </c>
      <c r="CD39" s="53" t="str">
        <f t="shared" si="337"/>
        <v>---</v>
      </c>
      <c r="CE39" s="67"/>
      <c r="CF39" s="60"/>
      <c r="CG39" s="39" t="str">
        <f t="shared" si="338"/>
        <v>---</v>
      </c>
      <c r="CH39" s="46" t="str">
        <f t="shared" si="339"/>
        <v>---</v>
      </c>
      <c r="CI39" s="40" t="str">
        <f>IFERROR(__xludf.DUMMYFUNCTION("IFS((AND(BW39=TRUE, BX39=""Yes"")), (IFS(ISBLANK(BZ39), BV39, BZ39=""Novice 1"", CEILING((BV39*1.05), $H39), BZ39=""Novice 2"", CEILING((BV39*1.025), $H39), BZ39=""Novice 3"", BV39+$H39, BZ39=""Intermediate 2"", (IF((ISBETWEEN(((((BO39-BN39)/2))+BU39), BN"&amp;"39, BO39)), BV39, BV39+$H39)), BZ39=""Intermediate 1"", (IF((ISBETWEEN((BU39-((BO39-BN39)/2)), BN39, BO39)), BV39+$H39, (FLOOR((BV39*0.9875), $H39)))), BZ39=""Advanced 2"", (IF(AND(((BT39+((BM39-BL39)/2))&gt;BM39), ((BU39+((BO39-BN39)/2))&gt;BO39)), BV39+$H39, "&amp;"(BV39))), BZ39=""Advanced 1"", (IFS(CH39&lt;BU39, BV39+$H39, CH39=BU39, (BV39), CH39&gt;BU39, (FLOOR((BV39*0.9875), $H39)))))), (AND(BO39=TRUE, BP39=""No"", BW39=TRUE, BX39=""No"")), (FLOOR((BV39*0.9), $H39)), (NOT((AND(BW39=TRUE, BX39=""Yes"")))), BV39)"),"---")</f>
        <v>---</v>
      </c>
      <c r="CJ39" s="41" t="b">
        <v>0</v>
      </c>
      <c r="CK39" s="47"/>
      <c r="CL39" s="47"/>
      <c r="CM39" s="47" t="str">
        <f t="shared" si="340"/>
        <v/>
      </c>
      <c r="CN39" s="60"/>
      <c r="CO39" s="39" t="str">
        <f t="shared" si="341"/>
        <v>---</v>
      </c>
      <c r="CP39" s="46" t="str">
        <f t="shared" si="342"/>
        <v>---</v>
      </c>
      <c r="CQ39" s="40" t="str">
        <f>IFERROR(__xludf.DUMMYFUNCTION("IFS((AND(CJ39=TRUE, CK39=""Yes"")), (IFS(ISBLANK(CM39), CI39, CM39=""Novice 1"", CEILING((CI39*1.05), $H39), CM39=""Novice 2"", CEILING((CI39*1.025), $H39), CM39=""Novice 3"", CI39+$H39, CM39=""Intermediate 2"", (IF((ISBETWEEN(((((BW39-BV39)/2))+CH39), BV"&amp;"39, BW39)), CI39, CI39+$H39)), CM39=""Intermediate 1"", (IF((ISBETWEEN((CH39-((BW39-BV39)/2)), BV39, BW39)), CI39+$H39, (FLOOR((CI39*0.9875), $H39)))), CM39=""Advanced 2"", (IF(AND(((CG39+((BU39-BT39)/2))&gt;BU39), ((CH39+((BW39-BV39)/2))&gt;BW39)), CI39+$H39, "&amp;"(CI39))), CM39=""Advanced 1"", (IFS(CP39&lt;CH39, CI39+$H39, CP39=CH39, (CI39), CP39&gt;CH39, (FLOOR((CI39*0.9875), $H39)))))), (AND(BW39=TRUE, BX39=""No"", CJ39=TRUE, CK39=""No"")), (FLOOR((CI39*0.9), $H39)), (NOT((AND(CJ39=TRUE, CK39=""Yes"")))), CI39)"),"---")</f>
        <v>---</v>
      </c>
      <c r="CR39" s="41" t="b">
        <v>0</v>
      </c>
      <c r="CS39" s="47"/>
      <c r="CT39" s="47"/>
      <c r="CU39" s="47" t="str">
        <f t="shared" si="343"/>
        <v/>
      </c>
      <c r="CV39" s="60"/>
      <c r="CW39" s="39" t="str">
        <f t="shared" si="344"/>
        <v>---</v>
      </c>
      <c r="CX39" s="46" t="str">
        <f t="shared" si="345"/>
        <v>---</v>
      </c>
      <c r="CY39" s="40" t="str">
        <f>IFERROR(__xludf.DUMMYFUNCTION("IFS((AND(CR39=TRUE, CS39=""Yes"")), (IFS(ISBLANK(CU39), CQ39, CU39=""Novice 1"", CEILING((CQ39*1.05), $H39), CU39=""Novice 2"", CEILING((CQ39*1.025), $H39), CU39=""Novice 3"", CQ39+$H39, CU39=""Intermediate 2"", (IF((ISBETWEEN(((((CJ39-CI39)/2))+CP39), CI"&amp;"39, CJ39)), CQ39, CQ39+$H39)), CU39=""Intermediate 1"", (IF((ISBETWEEN((CP39-((CJ39-CI39)/2)), CI39, CJ39)), CQ39+$H39, (FLOOR((CQ39*0.9875), $H39)))), CU39=""Advanced 2"", (IF(AND(((CO39+((CH39-CG39)/2))&gt;CH39), ((CP39+((CJ39-CI39)/2))&gt;CJ39)), CQ39+$H39, "&amp;"(CQ39))), CU39=""Advanced 1"", (IFS(CX39&lt;CP39, CQ39+$H39, CX39=CP39, (CQ39), CX39&gt;CP39, (FLOOR((CQ39*0.9875), $H39)))))), (AND(CJ39=TRUE, CK39=""No"", CR39=TRUE, CS39=""No"")), (FLOOR((CQ39*0.9), $H39)), (NOT((AND(CR39=TRUE, CS39=""Yes"")))), CQ39)"),"---")</f>
        <v>---</v>
      </c>
      <c r="CZ39" s="41" t="b">
        <v>0</v>
      </c>
      <c r="DA39" s="47"/>
      <c r="DB39" s="47"/>
      <c r="DC39" s="47" t="str">
        <f t="shared" si="346"/>
        <v/>
      </c>
      <c r="DD39" s="60"/>
      <c r="DE39" s="48" t="str">
        <f t="shared" si="347"/>
        <v>---</v>
      </c>
      <c r="DF39" s="49" t="str">
        <f t="shared" si="348"/>
        <v>---</v>
      </c>
      <c r="DG39" s="50" t="str">
        <f>IFERROR(__xludf.DUMMYFUNCTION("IFS((AND(CZ39=TRUE, DA39=""Yes"")), (IFS(ISBLANK(DC39), CY39, DC39=""Novice 1"", CEILING((CY39*1.05), $H39), DC39=""Novice 2"", CEILING((CY39*1.025), $H39), DC39=""Novice 3"", CY39+$H39, DC39=""Intermediate 2"", (IF((ISBETWEEN(((((CR39-CQ39)/2))+CX39), CQ"&amp;"39, CR39)), CY39, CY39+$H39)), DC39=""Intermediate 1"", (IF((ISBETWEEN((CX39-((CR39-CQ39)/2)), CQ39, CR39)), CY39+$H39, (FLOOR((CY39*0.9875), $H39)))), DC39=""Advanced 2"", (IF(AND(((CW39+((CP39-CO39)/2))&gt;CP39), ((CX39+((CR39-CQ39)/2))&gt;CR39)), CY39+$H39, "&amp;"(CY39))), DC39=""Advanced 1"", (IFS(DF39&lt;CX39, CY39+$H39, DF39=CX39, (CY39), DF39&gt;CX39, (FLOOR((CY39*0.9875), $H39)))))), (AND(CR39=TRUE, CS39=""No"", CZ39=TRUE, DA39=""No"")), (FLOOR((CY39*0.9), $H39)), (NOT((AND(CZ39=TRUE, DA39=""Yes"")))), CY39)"),"---")</f>
        <v>---</v>
      </c>
      <c r="DH39" s="51" t="b">
        <v>0</v>
      </c>
      <c r="DI39" s="52"/>
      <c r="DJ39" s="52"/>
      <c r="DK39" s="52" t="str">
        <f t="shared" si="349"/>
        <v/>
      </c>
      <c r="DL39" s="69"/>
      <c r="DM39" s="53" t="str">
        <f t="shared" ref="DM39:DN39" si="368">IFERROR(DE39/2,DE39)</f>
        <v>---</v>
      </c>
      <c r="DN39" s="53" t="str">
        <f t="shared" si="368"/>
        <v>---</v>
      </c>
      <c r="DO39" s="53" t="str">
        <f t="shared" si="351"/>
        <v>---</v>
      </c>
      <c r="DP39" s="67"/>
      <c r="DQ39" s="60"/>
      <c r="DR39" s="39" t="str">
        <f t="shared" si="352"/>
        <v>---</v>
      </c>
      <c r="DS39" s="46" t="str">
        <f t="shared" si="353"/>
        <v>---</v>
      </c>
      <c r="DT39" s="40" t="str">
        <f>IFERROR(__xludf.DUMMYFUNCTION("IFS((AND(DH39=TRUE, DI39=""Yes"")), (IFS(ISBLANK(DK39), DG39, DK39=""Novice 1"", CEILING((DG39*1.05), $H39), DK39=""Novice 2"", CEILING((DG39*1.025), $H39), DK39=""Novice 3"", DG39+$H39, DK39=""Intermediate 2"", (IF((ISBETWEEN(((((CZ39-CY39)/2))+DF39), CY"&amp;"39, CZ39)), DG39, DG39+$H39)), DK39=""Intermediate 1"", (IF((ISBETWEEN((DF39-((CZ39-CY39)/2)), CY39, CZ39)), DG39+$H39, (FLOOR((DG39*0.9875), $H39)))), DK39=""Advanced 2"", (IF(AND(((DE39+((CX39-CW39)/2))&gt;CX39), ((DF39+((CZ39-CY39)/2))&gt;CZ39)), DG39+$H39, "&amp;"(DG39))), DK39=""Advanced 1"", (IFS(DS39&lt;DF39, DG39+$H39, DS39=DF39, (DG39), DS39&gt;DF39, (FLOOR((DG39*0.9875), $H39)))))), (AND(CZ39=TRUE, DA39=""No"", DH39=TRUE, DI39=""No"")), (FLOOR((DG39*0.9), $H39)), (NOT((AND(DH39=TRUE, DI39=""Yes"")))), DG39)"),"---")</f>
        <v>---</v>
      </c>
      <c r="DU39" s="41" t="b">
        <v>0</v>
      </c>
      <c r="DV39" s="47"/>
      <c r="DW39" s="47"/>
      <c r="DX39" s="47" t="str">
        <f t="shared" si="354"/>
        <v/>
      </c>
      <c r="DY39" s="60"/>
      <c r="DZ39" s="39" t="str">
        <f t="shared" si="355"/>
        <v>---</v>
      </c>
      <c r="EA39" s="46" t="str">
        <f t="shared" si="356"/>
        <v>---</v>
      </c>
      <c r="EB39" s="40" t="str">
        <f>IFERROR(__xludf.DUMMYFUNCTION("IFS((AND(DU39=TRUE, DV39=""Yes"")), (IFS(ISBLANK(DX39), DT39, DX39=""Novice 1"", CEILING((DT39*1.05), $H39), DX39=""Novice 2"", CEILING((DT39*1.025), $H39), DX39=""Novice 3"", DT39+$H39, DX39=""Intermediate 2"", (IF((ISBETWEEN(((((DH39-DG39)/2))+DS39), DG"&amp;"39, DH39)), DT39, DT39+$H39)), DX39=""Intermediate 1"", (IF((ISBETWEEN((DS39-((DH39-DG39)/2)), DG39, DH39)), DT39+$H39, (FLOOR((DT39*0.9875), $H39)))), DX39=""Advanced 2"", (IF(AND(((DR39+((DF39-DE39)/2))&gt;DF39), ((DS39+((DH39-DG39)/2))&gt;DH39)), DT39+$H39, "&amp;"(DT39))), DX39=""Advanced 1"", (IFS(EA39&lt;DS39, DT39+$H39, EA39=DS39, (DT39), EA39&gt;DS39, (FLOOR((DT39*0.9875), $H39)))))), (AND(DH39=TRUE, DI39=""No"", DU39=TRUE, DV39=""No"")), (FLOOR((DT39*0.9), $H39)), (NOT((AND(DU39=TRUE, DV39=""Yes"")))), DT39)"),"---")</f>
        <v>---</v>
      </c>
      <c r="EC39" s="41" t="b">
        <v>0</v>
      </c>
      <c r="ED39" s="47"/>
      <c r="EE39" s="47"/>
      <c r="EF39" s="47" t="str">
        <f t="shared" si="357"/>
        <v/>
      </c>
      <c r="EG39" s="60"/>
      <c r="EH39" s="39" t="str">
        <f t="shared" si="358"/>
        <v>---</v>
      </c>
      <c r="EI39" s="46" t="str">
        <f t="shared" si="359"/>
        <v>---</v>
      </c>
      <c r="EJ39" s="40" t="str">
        <f>IFERROR(__xludf.DUMMYFUNCTION("IFS((AND(EC39=TRUE, ED39=""Yes"")), (IFS(ISBLANK(EF39), EB39, EF39=""Novice 1"", CEILING((EB39*1.05), $H39), EF39=""Novice 2"", CEILING((EB39*1.025), $H39), EF39=""Novice 3"", EB39+$H39, EF39=""Intermediate 2"", (IF((ISBETWEEN(((((DU39-DT39)/2))+EA39), DT"&amp;"39, DU39)), EB39, EB39+$H39)), EF39=""Intermediate 1"", (IF((ISBETWEEN((EA39-((DU39-DT39)/2)), DT39, DU39)), EB39+$H39, (FLOOR((EB39*0.9875), $H39)))), EF39=""Advanced 2"", (IF(AND(((DZ39+((DS39-DR39)/2))&gt;DS39), ((EA39+((DU39-DT39)/2))&gt;DU39)), EB39+$H39, "&amp;"(EB39))), EF39=""Advanced 1"", (IFS(EI39&lt;EA39, EB39+$H39, EI39=EA39, (EB39), EI39&gt;EA39, (FLOOR((EB39*0.9875), $H39)))))), (AND(DU39=TRUE, DV39=""No"", EC39=TRUE, ED39=""No"")), (FLOOR((EB39*0.9), $H39)), (NOT((AND(EC39=TRUE, ED39=""Yes"")))), EB39)"),"---")</f>
        <v>---</v>
      </c>
      <c r="EK39" s="41" t="b">
        <v>0</v>
      </c>
      <c r="EL39" s="47"/>
      <c r="EM39" s="47"/>
      <c r="EN39" s="47" t="str">
        <f t="shared" si="360"/>
        <v/>
      </c>
      <c r="EO39" s="60"/>
      <c r="EP39" s="48" t="str">
        <f t="shared" si="361"/>
        <v>---</v>
      </c>
      <c r="EQ39" s="49" t="str">
        <f t="shared" si="362"/>
        <v>---</v>
      </c>
      <c r="ER39" s="50" t="str">
        <f>IFERROR(__xludf.DUMMYFUNCTION("IFS((AND(EK39=TRUE, EL39=""Yes"")), (IFS(ISBLANK(EN39), EJ39, EN39=""Novice 1"", CEILING((EJ39*1.05), $H39), EN39=""Novice 2"", CEILING((EJ39*1.025), $H39), EN39=""Novice 3"", EJ39+$H39, EN39=""Intermediate 2"", (IF((ISBETWEEN(((((EC39-EB39)/2))+EI39), EB"&amp;"39, EC39)), EJ39, EJ39+$H39)), EN39=""Intermediate 1"", (IF((ISBETWEEN((EI39-((EC39-EB39)/2)), EB39, EC39)), EJ39+$H39, (FLOOR((EJ39*0.9875), $H39)))), EN39=""Advanced 2"", (IF(AND(((EH39+((EA39-DZ39)/2))&gt;EA39), ((EI39+((EC39-EB39)/2))&gt;EC39)), EJ39+$H39, "&amp;"(EJ39))), EN39=""Advanced 1"", (IFS(EQ39&lt;EI39, EJ39+$H39, EQ39=EI39, (EJ39), EQ39&gt;EI39, (FLOOR((EJ39*0.9875), $H39)))))), (AND(EC39=TRUE, ED39=""No"", EK39=TRUE, EL39=""No"")), (FLOOR((EJ39*0.9), $H39)), (NOT((AND(EK39=TRUE, EL39=""Yes"")))), EJ39)"),"---")</f>
        <v>---</v>
      </c>
      <c r="ES39" s="51" t="b">
        <v>0</v>
      </c>
      <c r="ET39" s="52"/>
      <c r="EU39" s="52"/>
      <c r="EV39" s="52" t="str">
        <f t="shared" si="363"/>
        <v/>
      </c>
      <c r="EW39" s="69"/>
      <c r="EX39" s="53" t="str">
        <f t="shared" ref="EX39:EY39" si="369">IFERROR(EP39/2,EP39)</f>
        <v>---</v>
      </c>
      <c r="EY39" s="53" t="str">
        <f t="shared" si="369"/>
        <v>---</v>
      </c>
      <c r="EZ39" s="53" t="str">
        <f t="shared" si="365"/>
        <v>---</v>
      </c>
      <c r="FA39" s="67"/>
      <c r="FB39" s="86"/>
      <c r="FC39" s="57"/>
    </row>
    <row r="40" outlineLevel="1">
      <c r="A40" s="81" t="s">
        <v>66</v>
      </c>
      <c r="B40" s="58"/>
      <c r="C40" s="82" t="s">
        <v>53</v>
      </c>
      <c r="D40" s="83" t="s">
        <v>53</v>
      </c>
      <c r="E40" s="82" t="s">
        <v>53</v>
      </c>
      <c r="F40" s="83" t="s">
        <v>53</v>
      </c>
      <c r="G40" s="83" t="s">
        <v>53</v>
      </c>
      <c r="H40" s="84"/>
      <c r="I40" s="85"/>
      <c r="J40" s="59"/>
      <c r="K40" s="39" t="str">
        <f t="shared" si="309"/>
        <v>---</v>
      </c>
      <c r="L40" s="40" t="str">
        <f t="shared" si="310"/>
        <v>---</v>
      </c>
      <c r="M40" s="40" t="str">
        <f t="shared" si="311"/>
        <v>---</v>
      </c>
      <c r="N40" s="41" t="b">
        <v>0</v>
      </c>
      <c r="O40" s="42"/>
      <c r="P40" s="43"/>
      <c r="Q40" s="42" t="str">
        <f t="shared" si="312"/>
        <v/>
      </c>
      <c r="R40" s="60"/>
      <c r="S40" s="39" t="str">
        <f t="shared" si="313"/>
        <v>---</v>
      </c>
      <c r="T40" s="46" t="str">
        <f t="shared" si="314"/>
        <v>---</v>
      </c>
      <c r="U40" s="40" t="str">
        <f>IFERROR(__xludf.DUMMYFUNCTION("IFS((AND(N40=TRUE, O40=""Yes"")), (IFS(ISBLANK(Q40), M40, Q40=""Novice 1"", CEILING((M40*1.05), $H40), Q40=""Novice 2"", CEILING((M40*1.025), $H40), Q40=""Novice 3"", M40+$H40, Q40=""Intermediate 2"", (IF((ISBETWEEN(((((F40-E40)/2))+L40), E40, F40)), M40,"&amp;" M40+$H40)), Q40=""Intermediate 1"", (IF((ISBETWEEN((L40-((F40-E40)/2)), E40, F40)), M40+$H40, (FLOOR((M40*0.9875), $H40)))), Q40=""Advanced 2"", (IF(AND(((K40+((D40-C40)/2))&gt;D40), ((L40+((F40-E40)/2))&gt;F40)), M40+$H40, (M40))), Q40=""Advanced 1"", (IFS(T4"&amp;"0&lt;L40, M40+$H40, T40=L40, (M40), T40&gt;L40, (FLOOR((M40*0.9875), $H40)))))), (AND(F40=TRUE, G40=""No"", N40=TRUE, O40=""No"")), (FLOOR((M40*0.9), $H40)), (NOT((AND(N40=TRUE, O40=""Yes"")))), M40)"),"---")</f>
        <v>---</v>
      </c>
      <c r="V40" s="41" t="b">
        <v>0</v>
      </c>
      <c r="W40" s="47"/>
      <c r="X40" s="47"/>
      <c r="Y40" s="47" t="str">
        <f t="shared" si="315"/>
        <v/>
      </c>
      <c r="Z40" s="60"/>
      <c r="AA40" s="39" t="str">
        <f t="shared" si="316"/>
        <v>---</v>
      </c>
      <c r="AB40" s="46" t="str">
        <f t="shared" si="317"/>
        <v>---</v>
      </c>
      <c r="AC40" s="40" t="str">
        <f>IFERROR(__xludf.DUMMYFUNCTION("IFS((AND(V40=TRUE, W40=""Yes"")), (IFS(ISBLANK(Y40), U40, Y40=""Novice 1"", CEILING((U40*1.05), $H40), Y40=""Novice 2"", CEILING((U40*1.025), $H40), Y40=""Novice 3"", U40+$H40, Y40=""Intermediate 2"", (IF((ISBETWEEN(((((N40-M40)/2))+T40), M40, N40)), U40,"&amp;" U40+$H40)), Y40=""Intermediate 1"", (IF((ISBETWEEN((T40-((N40-M40)/2)), M40, N40)), U40+$H40, (FLOOR((U40*0.9875), $H40)))), Y40=""Advanced 2"", (IF(AND(((S40+((L40-K40)/2))&gt;L40), ((T40+((N40-M40)/2))&gt;N40)), U40+$H40, (U40))), Y40=""Advanced 1"", (IFS(AB"&amp;"40&lt;T40, U40+$H40, AB40=T40, (U40), AB40&gt;T40, (FLOOR((U40*0.9875), $H40)))))), (AND(N40=TRUE, O40=""No"", V40=TRUE, W40=""No"")), (FLOOR((U40*0.9), $H40)), (NOT((AND(V40=TRUE, W40=""Yes"")))), U40)"),"---")</f>
        <v>---</v>
      </c>
      <c r="AD40" s="41" t="b">
        <v>0</v>
      </c>
      <c r="AE40" s="47"/>
      <c r="AF40" s="47"/>
      <c r="AG40" s="47" t="str">
        <f t="shared" si="318"/>
        <v/>
      </c>
      <c r="AH40" s="60"/>
      <c r="AI40" s="61" t="str">
        <f t="shared" si="319"/>
        <v>---</v>
      </c>
      <c r="AJ40" s="62" t="str">
        <f t="shared" si="320"/>
        <v>---</v>
      </c>
      <c r="AK40" s="63" t="str">
        <f>IFERROR(__xludf.DUMMYFUNCTION("IFS((AND(AD40=TRUE, AE40=""Yes"")), (IFS(ISBLANK(AG40), AC40, AG40=""Novice 1"", CEILING((AC40*1.05), $H40), AG40=""Novice 2"", CEILING((AC40*1.025), $H40), AG40=""Novice 3"", AC40+$H40, AG40=""Intermediate 2"", (IF((ISBETWEEN(((((V40-U40)/2))+AB40), U40,"&amp;" V40)), AC40, AC40+$H40)), AG40=""Intermediate 1"", (IF((ISBETWEEN((AB40-((V40-U40)/2)), U40, V40)), AC40+$H40, (FLOOR((AC40*0.9875), $H40)))), AG40=""Advanced 2"", (IF(AND(((AA40+((T40-S40)/2))&gt;T40), ((AB40+((V40-U40)/2))&gt;V40)), AC40+$H40, (AC40))), AG40"&amp;"=""Advanced 1"", (IFS(AJ40&lt;AB40, AC40+$H40, AJ40=AB40, (AC40), AJ40&gt;AB40, (FLOOR((AC40*0.9875), $H40)))))), (AND(V40=TRUE, W40=""No"", AD40=TRUE, AE40=""No"")), (FLOOR((AC40*0.9), $H40)), (NOT((AND(AD40=TRUE, AE40=""Yes"")))), AC40)"),"---")</f>
        <v>---</v>
      </c>
      <c r="AL40" s="64" t="b">
        <v>0</v>
      </c>
      <c r="AM40" s="65"/>
      <c r="AN40" s="65"/>
      <c r="AO40" s="65" t="str">
        <f t="shared" si="321"/>
        <v/>
      </c>
      <c r="AP40" s="66"/>
      <c r="AQ40" s="53" t="str">
        <f t="shared" ref="AQ40:AR40" si="370">IFERROR(AI40/2,AI40)</f>
        <v>---</v>
      </c>
      <c r="AR40" s="53" t="str">
        <f t="shared" si="370"/>
        <v>---</v>
      </c>
      <c r="AS40" s="53" t="str">
        <f t="shared" si="323"/>
        <v>---</v>
      </c>
      <c r="AT40" s="67"/>
      <c r="AU40" s="60"/>
      <c r="AV40" s="39" t="str">
        <f t="shared" si="324"/>
        <v>---</v>
      </c>
      <c r="AW40" s="46" t="str">
        <f t="shared" si="325"/>
        <v>---</v>
      </c>
      <c r="AX40" s="40" t="str">
        <f>IFERROR(__xludf.DUMMYFUNCTION("IFS((AND(AL40=TRUE, AM40=""Yes"")), (IFS(ISBLANK(AO40), AK40, AO40=""Novice 1"", CEILING((AK40*1.05), $H40), AO40=""Novice 2"", CEILING((AK40*1.025), $H40), AO40=""Novice 3"", AK40+$H40, AO40=""Intermediate 2"", (IF((ISBETWEEN(((((AD40-AC40)/2))+AJ40), AC"&amp;"40, AD40)), AK40, AK40+$H40)), AO40=""Intermediate 1"", (IF((ISBETWEEN((AJ40-((AD40-AC40)/2)), AC40, AD40)), AK40+$H40, (FLOOR((AK40*0.9875), $H40)))), AO40=""Advanced 2"", (IF(AND(((AI40+((AB40-AA40)/2))&gt;AB40), ((AJ40+((AD40-AC40)/2))&gt;AD40)), AK40+$H40, "&amp;"(AK40))), AO40=""Advanced 1"", (IFS(AW40&lt;AJ40, AK40+$H40, AW40=AJ40, (AK40), AW40&gt;AJ40, (FLOOR((AK40*0.9875), $H40)))))), (AND(AD40=TRUE, AE40=""No"", AL40=TRUE, AM40=""No"")), (FLOOR((AK40*0.9), $H40)), (NOT((AND(AL40=TRUE, AM40=""Yes"")))), AK40)"),"---")</f>
        <v>---</v>
      </c>
      <c r="AY40" s="41" t="b">
        <v>0</v>
      </c>
      <c r="AZ40" s="47"/>
      <c r="BA40" s="47"/>
      <c r="BB40" s="47" t="str">
        <f t="shared" si="326"/>
        <v/>
      </c>
      <c r="BC40" s="60"/>
      <c r="BD40" s="39" t="str">
        <f t="shared" si="327"/>
        <v>---</v>
      </c>
      <c r="BE40" s="46" t="str">
        <f t="shared" si="328"/>
        <v>---</v>
      </c>
      <c r="BF40" s="40" t="str">
        <f>IFERROR(__xludf.DUMMYFUNCTION("IFS((AND(AY40=TRUE, AZ40=""Yes"")), (IFS(ISBLANK(BB40), AX40, BB40=""Novice 1"", CEILING((AX40*1.05), $H40), BB40=""Novice 2"", CEILING((AX40*1.025), $H40), BB40=""Novice 3"", AX40+$H40, BB40=""Intermediate 2"", (IF((ISBETWEEN(((((AL40-AK40)/2))+AW40), AK"&amp;"40, AL40)), AX40, AX40+$H40)), BB40=""Intermediate 1"", (IF((ISBETWEEN((AW40-((AL40-AK40)/2)), AK40, AL40)), AX40+$H40, (FLOOR((AX40*0.9875), $H40)))), BB40=""Advanced 2"", (IF(AND(((AV40+((AJ40-AI40)/2))&gt;AJ40), ((AW40+((AL40-AK40)/2))&gt;AL40)), AX40+$H40, "&amp;"(AX40))), BB40=""Advanced 1"", (IFS(BE40&lt;AW40, AX40+$H40, BE40=AW40, (AX40), BE40&gt;AW40, (FLOOR((AX40*0.9875), $H40)))))), (AND(AL40=TRUE, AM40=""No"", AY40=TRUE, AZ40=""No"")), (FLOOR((AX40*0.9), $H40)), (NOT((AND(AY40=TRUE, AZ40=""Yes"")))), AX40)"),"---")</f>
        <v>---</v>
      </c>
      <c r="BG40" s="41" t="b">
        <v>0</v>
      </c>
      <c r="BH40" s="47"/>
      <c r="BI40" s="47"/>
      <c r="BJ40" s="47" t="str">
        <f t="shared" si="329"/>
        <v/>
      </c>
      <c r="BK40" s="60"/>
      <c r="BL40" s="39" t="str">
        <f t="shared" si="330"/>
        <v>---</v>
      </c>
      <c r="BM40" s="46" t="str">
        <f t="shared" si="331"/>
        <v>---</v>
      </c>
      <c r="BN40" s="40" t="str">
        <f>IFERROR(__xludf.DUMMYFUNCTION("IFS((AND(BG40=TRUE, BH40=""Yes"")), (IFS(ISBLANK(BJ40), BF40, BJ40=""Novice 1"", CEILING((BF40*1.05), $H40), BJ40=""Novice 2"", CEILING((BF40*1.025), $H40), BJ40=""Novice 3"", BF40+$H40, BJ40=""Intermediate 2"", (IF((ISBETWEEN(((((AY40-AX40)/2))+BE40), AX"&amp;"40, AY40)), BF40, BF40+$H40)), BJ40=""Intermediate 1"", (IF((ISBETWEEN((BE40-((AY40-AX40)/2)), AX40, AY40)), BF40+$H40, (FLOOR((BF40*0.9875), $H40)))), BJ40=""Advanced 2"", (IF(AND(((BD40+((AW40-AV40)/2))&gt;AW40), ((BE40+((AY40-AX40)/2))&gt;AY40)), BF40+$H40, "&amp;"(BF40))), BJ40=""Advanced 1"", (IFS(BM40&lt;BE40, BF40+$H40, BM40=BE40, (BF40), BM40&gt;BE40, (FLOOR((BF40*0.9875), $H40)))))), (AND(AY40=TRUE, AZ40=""No"", BG40=TRUE, BH40=""No"")), (FLOOR((BF40*0.9), $H40)), (NOT((AND(BG40=TRUE, BH40=""Yes"")))), BF40)"),"---")</f>
        <v>---</v>
      </c>
      <c r="BO40" s="41" t="b">
        <v>0</v>
      </c>
      <c r="BP40" s="47"/>
      <c r="BQ40" s="47"/>
      <c r="BR40" s="47" t="str">
        <f t="shared" si="332"/>
        <v/>
      </c>
      <c r="BS40" s="60"/>
      <c r="BT40" s="61" t="str">
        <f t="shared" si="333"/>
        <v>---</v>
      </c>
      <c r="BU40" s="62" t="str">
        <f t="shared" si="334"/>
        <v>---</v>
      </c>
      <c r="BV40" s="63" t="str">
        <f>IFERROR(__xludf.DUMMYFUNCTION("IFS((AND(BO40=TRUE, BP40=""Yes"")), (IFS(ISBLANK(BR40), BN40, BR40=""Novice 1"", CEILING((BN40*1.05), $H40), BR40=""Novice 2"", CEILING((BN40*1.025), $H40), BR40=""Novice 3"", BN40+$H40, BR40=""Intermediate 2"", (IF((ISBETWEEN(((((BG40-BF40)/2))+BM40), BF"&amp;"40, BG40)), BN40, BN40+$H40)), BR40=""Intermediate 1"", (IF((ISBETWEEN((BM40-((BG40-BF40)/2)), BF40, BG40)), BN40+$H40, (FLOOR((BN40*0.9875), $H40)))), BR40=""Advanced 2"", (IF(AND(((BL40+((BE40-BD40)/2))&gt;BE40), ((BM40+((BG40-BF40)/2))&gt;BG40)), BN40+$H40, "&amp;"(BN40))), BR40=""Advanced 1"", (IFS(BU40&lt;BM40, BN40+$H40, BU40=BM40, (BN40), BU40&gt;BM40, (FLOOR((BN40*0.9875), $H40)))))), (AND(BG40=TRUE, BH40=""No"", BO40=TRUE, BP40=""No"")), (FLOOR((BN40*0.9), $H40)), (NOT((AND(BO40=TRUE, BP40=""Yes"")))), BN40)"),"---")</f>
        <v>---</v>
      </c>
      <c r="BW40" s="64" t="b">
        <v>0</v>
      </c>
      <c r="BX40" s="65"/>
      <c r="BY40" s="65"/>
      <c r="BZ40" s="65" t="str">
        <f t="shared" si="335"/>
        <v/>
      </c>
      <c r="CA40" s="66"/>
      <c r="CB40" s="53" t="str">
        <f t="shared" ref="CB40:CC40" si="371">IFERROR(BT40/2,BT40)</f>
        <v>---</v>
      </c>
      <c r="CC40" s="53" t="str">
        <f t="shared" si="371"/>
        <v>---</v>
      </c>
      <c r="CD40" s="53" t="str">
        <f t="shared" si="337"/>
        <v>---</v>
      </c>
      <c r="CE40" s="67"/>
      <c r="CF40" s="60"/>
      <c r="CG40" s="39" t="str">
        <f t="shared" si="338"/>
        <v>---</v>
      </c>
      <c r="CH40" s="46" t="str">
        <f t="shared" si="339"/>
        <v>---</v>
      </c>
      <c r="CI40" s="40" t="str">
        <f>IFERROR(__xludf.DUMMYFUNCTION("IFS((AND(BW40=TRUE, BX40=""Yes"")), (IFS(ISBLANK(BZ40), BV40, BZ40=""Novice 1"", CEILING((BV40*1.05), $H40), BZ40=""Novice 2"", CEILING((BV40*1.025), $H40), BZ40=""Novice 3"", BV40+$H40, BZ40=""Intermediate 2"", (IF((ISBETWEEN(((((BO40-BN40)/2))+BU40), BN"&amp;"40, BO40)), BV40, BV40+$H40)), BZ40=""Intermediate 1"", (IF((ISBETWEEN((BU40-((BO40-BN40)/2)), BN40, BO40)), BV40+$H40, (FLOOR((BV40*0.9875), $H40)))), BZ40=""Advanced 2"", (IF(AND(((BT40+((BM40-BL40)/2))&gt;BM40), ((BU40+((BO40-BN40)/2))&gt;BO40)), BV40+$H40, "&amp;"(BV40))), BZ40=""Advanced 1"", (IFS(CH40&lt;BU40, BV40+$H40, CH40=BU40, (BV40), CH40&gt;BU40, (FLOOR((BV40*0.9875), $H40)))))), (AND(BO40=TRUE, BP40=""No"", BW40=TRUE, BX40=""No"")), (FLOOR((BV40*0.9), $H40)), (NOT((AND(BW40=TRUE, BX40=""Yes"")))), BV40)"),"---")</f>
        <v>---</v>
      </c>
      <c r="CJ40" s="41" t="b">
        <v>0</v>
      </c>
      <c r="CK40" s="47"/>
      <c r="CL40" s="47"/>
      <c r="CM40" s="47" t="str">
        <f t="shared" si="340"/>
        <v/>
      </c>
      <c r="CN40" s="60"/>
      <c r="CO40" s="39" t="str">
        <f t="shared" si="341"/>
        <v>---</v>
      </c>
      <c r="CP40" s="46" t="str">
        <f t="shared" si="342"/>
        <v>---</v>
      </c>
      <c r="CQ40" s="40" t="str">
        <f>IFERROR(__xludf.DUMMYFUNCTION("IFS((AND(CJ40=TRUE, CK40=""Yes"")), (IFS(ISBLANK(CM40), CI40, CM40=""Novice 1"", CEILING((CI40*1.05), $H40), CM40=""Novice 2"", CEILING((CI40*1.025), $H40), CM40=""Novice 3"", CI40+$H40, CM40=""Intermediate 2"", (IF((ISBETWEEN(((((BW40-BV40)/2))+CH40), BV"&amp;"40, BW40)), CI40, CI40+$H40)), CM40=""Intermediate 1"", (IF((ISBETWEEN((CH40-((BW40-BV40)/2)), BV40, BW40)), CI40+$H40, (FLOOR((CI40*0.9875), $H40)))), CM40=""Advanced 2"", (IF(AND(((CG40+((BU40-BT40)/2))&gt;BU40), ((CH40+((BW40-BV40)/2))&gt;BW40)), CI40+$H40, "&amp;"(CI40))), CM40=""Advanced 1"", (IFS(CP40&lt;CH40, CI40+$H40, CP40=CH40, (CI40), CP40&gt;CH40, (FLOOR((CI40*0.9875), $H40)))))), (AND(BW40=TRUE, BX40=""No"", CJ40=TRUE, CK40=""No"")), (FLOOR((CI40*0.9), $H40)), (NOT((AND(CJ40=TRUE, CK40=""Yes"")))), CI40)"),"---")</f>
        <v>---</v>
      </c>
      <c r="CR40" s="41" t="b">
        <v>0</v>
      </c>
      <c r="CS40" s="47"/>
      <c r="CT40" s="47"/>
      <c r="CU40" s="47" t="str">
        <f t="shared" si="343"/>
        <v/>
      </c>
      <c r="CV40" s="60"/>
      <c r="CW40" s="39" t="str">
        <f t="shared" si="344"/>
        <v>---</v>
      </c>
      <c r="CX40" s="46" t="str">
        <f t="shared" si="345"/>
        <v>---</v>
      </c>
      <c r="CY40" s="40" t="str">
        <f>IFERROR(__xludf.DUMMYFUNCTION("IFS((AND(CR40=TRUE, CS40=""Yes"")), (IFS(ISBLANK(CU40), CQ40, CU40=""Novice 1"", CEILING((CQ40*1.05), $H40), CU40=""Novice 2"", CEILING((CQ40*1.025), $H40), CU40=""Novice 3"", CQ40+$H40, CU40=""Intermediate 2"", (IF((ISBETWEEN(((((CJ40-CI40)/2))+CP40), CI"&amp;"40, CJ40)), CQ40, CQ40+$H40)), CU40=""Intermediate 1"", (IF((ISBETWEEN((CP40-((CJ40-CI40)/2)), CI40, CJ40)), CQ40+$H40, (FLOOR((CQ40*0.9875), $H40)))), CU40=""Advanced 2"", (IF(AND(((CO40+((CH40-CG40)/2))&gt;CH40), ((CP40+((CJ40-CI40)/2))&gt;CJ40)), CQ40+$H40, "&amp;"(CQ40))), CU40=""Advanced 1"", (IFS(CX40&lt;CP40, CQ40+$H40, CX40=CP40, (CQ40), CX40&gt;CP40, (FLOOR((CQ40*0.9875), $H40)))))), (AND(CJ40=TRUE, CK40=""No"", CR40=TRUE, CS40=""No"")), (FLOOR((CQ40*0.9), $H40)), (NOT((AND(CR40=TRUE, CS40=""Yes"")))), CQ40)"),"---")</f>
        <v>---</v>
      </c>
      <c r="CZ40" s="41" t="b">
        <v>0</v>
      </c>
      <c r="DA40" s="47"/>
      <c r="DB40" s="47"/>
      <c r="DC40" s="47" t="str">
        <f t="shared" si="346"/>
        <v/>
      </c>
      <c r="DD40" s="60"/>
      <c r="DE40" s="61" t="str">
        <f t="shared" si="347"/>
        <v>---</v>
      </c>
      <c r="DF40" s="62" t="str">
        <f t="shared" si="348"/>
        <v>---</v>
      </c>
      <c r="DG40" s="63" t="str">
        <f>IFERROR(__xludf.DUMMYFUNCTION("IFS((AND(CZ40=TRUE, DA40=""Yes"")), (IFS(ISBLANK(DC40), CY40, DC40=""Novice 1"", CEILING((CY40*1.05), $H40), DC40=""Novice 2"", CEILING((CY40*1.025), $H40), DC40=""Novice 3"", CY40+$H40, DC40=""Intermediate 2"", (IF((ISBETWEEN(((((CR40-CQ40)/2))+CX40), CQ"&amp;"40, CR40)), CY40, CY40+$H40)), DC40=""Intermediate 1"", (IF((ISBETWEEN((CX40-((CR40-CQ40)/2)), CQ40, CR40)), CY40+$H40, (FLOOR((CY40*0.9875), $H40)))), DC40=""Advanced 2"", (IF(AND(((CW40+((CP40-CO40)/2))&gt;CP40), ((CX40+((CR40-CQ40)/2))&gt;CR40)), CY40+$H40, "&amp;"(CY40))), DC40=""Advanced 1"", (IFS(DF40&lt;CX40, CY40+$H40, DF40=CX40, (CY40), DF40&gt;CX40, (FLOOR((CY40*0.9875), $H40)))))), (AND(CR40=TRUE, CS40=""No"", CZ40=TRUE, DA40=""No"")), (FLOOR((CY40*0.9), $H40)), (NOT((AND(CZ40=TRUE, DA40=""Yes"")))), CY40)"),"---")</f>
        <v>---</v>
      </c>
      <c r="DH40" s="64" t="b">
        <v>0</v>
      </c>
      <c r="DI40" s="65"/>
      <c r="DJ40" s="65"/>
      <c r="DK40" s="65" t="str">
        <f t="shared" si="349"/>
        <v/>
      </c>
      <c r="DL40" s="66"/>
      <c r="DM40" s="53" t="str">
        <f t="shared" ref="DM40:DN40" si="372">IFERROR(DE40/2,DE40)</f>
        <v>---</v>
      </c>
      <c r="DN40" s="53" t="str">
        <f t="shared" si="372"/>
        <v>---</v>
      </c>
      <c r="DO40" s="53" t="str">
        <f t="shared" si="351"/>
        <v>---</v>
      </c>
      <c r="DP40" s="67"/>
      <c r="DQ40" s="60"/>
      <c r="DR40" s="39" t="str">
        <f t="shared" si="352"/>
        <v>---</v>
      </c>
      <c r="DS40" s="46" t="str">
        <f t="shared" si="353"/>
        <v>---</v>
      </c>
      <c r="DT40" s="40" t="str">
        <f>IFERROR(__xludf.DUMMYFUNCTION("IFS((AND(DH40=TRUE, DI40=""Yes"")), (IFS(ISBLANK(DK40), DG40, DK40=""Novice 1"", CEILING((DG40*1.05), $H40), DK40=""Novice 2"", CEILING((DG40*1.025), $H40), DK40=""Novice 3"", DG40+$H40, DK40=""Intermediate 2"", (IF((ISBETWEEN(((((CZ40-CY40)/2))+DF40), CY"&amp;"40, CZ40)), DG40, DG40+$H40)), DK40=""Intermediate 1"", (IF((ISBETWEEN((DF40-((CZ40-CY40)/2)), CY40, CZ40)), DG40+$H40, (FLOOR((DG40*0.9875), $H40)))), DK40=""Advanced 2"", (IF(AND(((DE40+((CX40-CW40)/2))&gt;CX40), ((DF40+((CZ40-CY40)/2))&gt;CZ40)), DG40+$H40, "&amp;"(DG40))), DK40=""Advanced 1"", (IFS(DS40&lt;DF40, DG40+$H40, DS40=DF40, (DG40), DS40&gt;DF40, (FLOOR((DG40*0.9875), $H40)))))), (AND(CZ40=TRUE, DA40=""No"", DH40=TRUE, DI40=""No"")), (FLOOR((DG40*0.9), $H40)), (NOT((AND(DH40=TRUE, DI40=""Yes"")))), DG40)"),"---")</f>
        <v>---</v>
      </c>
      <c r="DU40" s="41" t="b">
        <v>0</v>
      </c>
      <c r="DV40" s="47"/>
      <c r="DW40" s="47"/>
      <c r="DX40" s="47" t="str">
        <f t="shared" si="354"/>
        <v/>
      </c>
      <c r="DY40" s="60"/>
      <c r="DZ40" s="39" t="str">
        <f t="shared" si="355"/>
        <v>---</v>
      </c>
      <c r="EA40" s="46" t="str">
        <f t="shared" si="356"/>
        <v>---</v>
      </c>
      <c r="EB40" s="40" t="str">
        <f>IFERROR(__xludf.DUMMYFUNCTION("IFS((AND(DU40=TRUE, DV40=""Yes"")), (IFS(ISBLANK(DX40), DT40, DX40=""Novice 1"", CEILING((DT40*1.05), $H40), DX40=""Novice 2"", CEILING((DT40*1.025), $H40), DX40=""Novice 3"", DT40+$H40, DX40=""Intermediate 2"", (IF((ISBETWEEN(((((DH40-DG40)/2))+DS40), DG"&amp;"40, DH40)), DT40, DT40+$H40)), DX40=""Intermediate 1"", (IF((ISBETWEEN((DS40-((DH40-DG40)/2)), DG40, DH40)), DT40+$H40, (FLOOR((DT40*0.9875), $H40)))), DX40=""Advanced 2"", (IF(AND(((DR40+((DF40-DE40)/2))&gt;DF40), ((DS40+((DH40-DG40)/2))&gt;DH40)), DT40+$H40, "&amp;"(DT40))), DX40=""Advanced 1"", (IFS(EA40&lt;DS40, DT40+$H40, EA40=DS40, (DT40), EA40&gt;DS40, (FLOOR((DT40*0.9875), $H40)))))), (AND(DH40=TRUE, DI40=""No"", DU40=TRUE, DV40=""No"")), (FLOOR((DT40*0.9), $H40)), (NOT((AND(DU40=TRUE, DV40=""Yes"")))), DT40)"),"---")</f>
        <v>---</v>
      </c>
      <c r="EC40" s="41" t="b">
        <v>0</v>
      </c>
      <c r="ED40" s="47"/>
      <c r="EE40" s="47"/>
      <c r="EF40" s="47" t="str">
        <f t="shared" si="357"/>
        <v/>
      </c>
      <c r="EG40" s="60"/>
      <c r="EH40" s="39" t="str">
        <f t="shared" si="358"/>
        <v>---</v>
      </c>
      <c r="EI40" s="46" t="str">
        <f t="shared" si="359"/>
        <v>---</v>
      </c>
      <c r="EJ40" s="40" t="str">
        <f>IFERROR(__xludf.DUMMYFUNCTION("IFS((AND(EC40=TRUE, ED40=""Yes"")), (IFS(ISBLANK(EF40), EB40, EF40=""Novice 1"", CEILING((EB40*1.05), $H40), EF40=""Novice 2"", CEILING((EB40*1.025), $H40), EF40=""Novice 3"", EB40+$H40, EF40=""Intermediate 2"", (IF((ISBETWEEN(((((DU40-DT40)/2))+EA40), DT"&amp;"40, DU40)), EB40, EB40+$H40)), EF40=""Intermediate 1"", (IF((ISBETWEEN((EA40-((DU40-DT40)/2)), DT40, DU40)), EB40+$H40, (FLOOR((EB40*0.9875), $H40)))), EF40=""Advanced 2"", (IF(AND(((DZ40+((DS40-DR40)/2))&gt;DS40), ((EA40+((DU40-DT40)/2))&gt;DU40)), EB40+$H40, "&amp;"(EB40))), EF40=""Advanced 1"", (IFS(EI40&lt;EA40, EB40+$H40, EI40=EA40, (EB40), EI40&gt;EA40, (FLOOR((EB40*0.9875), $H40)))))), (AND(DU40=TRUE, DV40=""No"", EC40=TRUE, ED40=""No"")), (FLOOR((EB40*0.9), $H40)), (NOT((AND(EC40=TRUE, ED40=""Yes"")))), EB40)"),"---")</f>
        <v>---</v>
      </c>
      <c r="EK40" s="41" t="b">
        <v>0</v>
      </c>
      <c r="EL40" s="47"/>
      <c r="EM40" s="47"/>
      <c r="EN40" s="47" t="str">
        <f t="shared" si="360"/>
        <v/>
      </c>
      <c r="EO40" s="60"/>
      <c r="EP40" s="61" t="str">
        <f t="shared" si="361"/>
        <v>---</v>
      </c>
      <c r="EQ40" s="62" t="str">
        <f t="shared" si="362"/>
        <v>---</v>
      </c>
      <c r="ER40" s="63" t="str">
        <f>IFERROR(__xludf.DUMMYFUNCTION("IFS((AND(EK40=TRUE, EL40=""Yes"")), (IFS(ISBLANK(EN40), EJ40, EN40=""Novice 1"", CEILING((EJ40*1.05), $H40), EN40=""Novice 2"", CEILING((EJ40*1.025), $H40), EN40=""Novice 3"", EJ40+$H40, EN40=""Intermediate 2"", (IF((ISBETWEEN(((((EC40-EB40)/2))+EI40), EB"&amp;"40, EC40)), EJ40, EJ40+$H40)), EN40=""Intermediate 1"", (IF((ISBETWEEN((EI40-((EC40-EB40)/2)), EB40, EC40)), EJ40+$H40, (FLOOR((EJ40*0.9875), $H40)))), EN40=""Advanced 2"", (IF(AND(((EH40+((EA40-DZ40)/2))&gt;EA40), ((EI40+((EC40-EB40)/2))&gt;EC40)), EJ40+$H40, "&amp;"(EJ40))), EN40=""Advanced 1"", (IFS(EQ40&lt;EI40, EJ40+$H40, EQ40=EI40, (EJ40), EQ40&gt;EI40, (FLOOR((EJ40*0.9875), $H40)))))), (AND(EC40=TRUE, ED40=""No"", EK40=TRUE, EL40=""No"")), (FLOOR((EJ40*0.9), $H40)), (NOT((AND(EK40=TRUE, EL40=""Yes"")))), EJ40)"),"---")</f>
        <v>---</v>
      </c>
      <c r="ES40" s="64" t="b">
        <v>0</v>
      </c>
      <c r="ET40" s="65"/>
      <c r="EU40" s="65"/>
      <c r="EV40" s="65" t="str">
        <f t="shared" si="363"/>
        <v/>
      </c>
      <c r="EW40" s="66"/>
      <c r="EX40" s="53" t="str">
        <f t="shared" ref="EX40:EY40" si="373">IFERROR(EP40/2,EP40)</f>
        <v>---</v>
      </c>
      <c r="EY40" s="53" t="str">
        <f t="shared" si="373"/>
        <v>---</v>
      </c>
      <c r="EZ40" s="53" t="str">
        <f t="shared" si="365"/>
        <v>---</v>
      </c>
      <c r="FA40" s="67"/>
      <c r="FB40" s="86"/>
      <c r="FC40" s="57"/>
    </row>
    <row r="41" outlineLevel="1">
      <c r="A41" s="81" t="s">
        <v>46</v>
      </c>
      <c r="B41" s="58"/>
      <c r="C41" s="82" t="s">
        <v>53</v>
      </c>
      <c r="D41" s="83" t="s">
        <v>53</v>
      </c>
      <c r="E41" s="82" t="s">
        <v>53</v>
      </c>
      <c r="F41" s="83" t="s">
        <v>53</v>
      </c>
      <c r="G41" s="83" t="s">
        <v>53</v>
      </c>
      <c r="H41" s="84"/>
      <c r="I41" s="85"/>
      <c r="J41" s="59"/>
      <c r="K41" s="39" t="str">
        <f t="shared" si="309"/>
        <v>---</v>
      </c>
      <c r="L41" s="40" t="str">
        <f t="shared" si="310"/>
        <v>---</v>
      </c>
      <c r="M41" s="40" t="str">
        <f t="shared" si="311"/>
        <v>---</v>
      </c>
      <c r="N41" s="41" t="b">
        <v>0</v>
      </c>
      <c r="O41" s="42"/>
      <c r="P41" s="43"/>
      <c r="Q41" s="42"/>
      <c r="R41" s="60"/>
      <c r="S41" s="39"/>
      <c r="T41" s="46"/>
      <c r="U41" s="40"/>
      <c r="V41" s="41" t="b">
        <v>0</v>
      </c>
      <c r="W41" s="47"/>
      <c r="X41" s="47"/>
      <c r="Y41" s="47"/>
      <c r="Z41" s="60"/>
      <c r="AA41" s="39"/>
      <c r="AB41" s="46"/>
      <c r="AC41" s="40"/>
      <c r="AD41" s="41" t="b">
        <v>0</v>
      </c>
      <c r="AE41" s="47"/>
      <c r="AF41" s="47"/>
      <c r="AG41" s="47"/>
      <c r="AH41" s="60"/>
      <c r="AI41" s="48"/>
      <c r="AJ41" s="49"/>
      <c r="AK41" s="50"/>
      <c r="AL41" s="51" t="b">
        <v>0</v>
      </c>
      <c r="AM41" s="52"/>
      <c r="AN41" s="52"/>
      <c r="AO41" s="52"/>
      <c r="AP41" s="69"/>
      <c r="AQ41" s="53"/>
      <c r="AR41" s="53"/>
      <c r="AS41" s="53"/>
      <c r="AT41" s="67"/>
      <c r="AU41" s="60"/>
      <c r="AV41" s="39"/>
      <c r="AW41" s="46"/>
      <c r="AX41" s="40"/>
      <c r="AY41" s="41" t="b">
        <v>0</v>
      </c>
      <c r="AZ41" s="47"/>
      <c r="BA41" s="47"/>
      <c r="BB41" s="47"/>
      <c r="BC41" s="60"/>
      <c r="BD41" s="39"/>
      <c r="BE41" s="46"/>
      <c r="BF41" s="40"/>
      <c r="BG41" s="41" t="b">
        <v>0</v>
      </c>
      <c r="BH41" s="47"/>
      <c r="BI41" s="47"/>
      <c r="BJ41" s="47"/>
      <c r="BK41" s="60"/>
      <c r="BL41" s="39"/>
      <c r="BM41" s="46"/>
      <c r="BN41" s="40"/>
      <c r="BO41" s="41" t="b">
        <v>0</v>
      </c>
      <c r="BP41" s="47"/>
      <c r="BQ41" s="47"/>
      <c r="BR41" s="47"/>
      <c r="BS41" s="60"/>
      <c r="BT41" s="48"/>
      <c r="BU41" s="49"/>
      <c r="BV41" s="50"/>
      <c r="BW41" s="51" t="b">
        <v>0</v>
      </c>
      <c r="BX41" s="52"/>
      <c r="BY41" s="52"/>
      <c r="BZ41" s="52"/>
      <c r="CA41" s="69"/>
      <c r="CB41" s="53"/>
      <c r="CC41" s="53"/>
      <c r="CD41" s="53"/>
      <c r="CE41" s="67"/>
      <c r="CF41" s="60"/>
      <c r="CG41" s="39"/>
      <c r="CH41" s="46"/>
      <c r="CI41" s="40"/>
      <c r="CJ41" s="41" t="b">
        <v>0</v>
      </c>
      <c r="CK41" s="47"/>
      <c r="CL41" s="47"/>
      <c r="CM41" s="47"/>
      <c r="CN41" s="60"/>
      <c r="CO41" s="39"/>
      <c r="CP41" s="46"/>
      <c r="CQ41" s="40"/>
      <c r="CR41" s="41" t="b">
        <v>0</v>
      </c>
      <c r="CS41" s="47"/>
      <c r="CT41" s="47"/>
      <c r="CU41" s="47"/>
      <c r="CV41" s="60"/>
      <c r="CW41" s="39"/>
      <c r="CX41" s="46"/>
      <c r="CY41" s="40"/>
      <c r="CZ41" s="41" t="b">
        <v>0</v>
      </c>
      <c r="DA41" s="47"/>
      <c r="DB41" s="47"/>
      <c r="DC41" s="47"/>
      <c r="DD41" s="60"/>
      <c r="DE41" s="48"/>
      <c r="DF41" s="49"/>
      <c r="DG41" s="50"/>
      <c r="DH41" s="51" t="b">
        <v>0</v>
      </c>
      <c r="DI41" s="52"/>
      <c r="DJ41" s="52"/>
      <c r="DK41" s="52"/>
      <c r="DL41" s="69"/>
      <c r="DM41" s="53"/>
      <c r="DN41" s="53"/>
      <c r="DO41" s="53"/>
      <c r="DP41" s="67"/>
      <c r="DQ41" s="60"/>
      <c r="DR41" s="39"/>
      <c r="DS41" s="46"/>
      <c r="DT41" s="40"/>
      <c r="DU41" s="41" t="b">
        <v>0</v>
      </c>
      <c r="DV41" s="47"/>
      <c r="DW41" s="47"/>
      <c r="DX41" s="47"/>
      <c r="DY41" s="60"/>
      <c r="DZ41" s="39"/>
      <c r="EA41" s="46"/>
      <c r="EB41" s="40"/>
      <c r="EC41" s="41" t="b">
        <v>0</v>
      </c>
      <c r="ED41" s="47"/>
      <c r="EE41" s="47"/>
      <c r="EF41" s="47"/>
      <c r="EG41" s="60"/>
      <c r="EH41" s="39"/>
      <c r="EI41" s="46"/>
      <c r="EJ41" s="40"/>
      <c r="EK41" s="41" t="b">
        <v>0</v>
      </c>
      <c r="EL41" s="47"/>
      <c r="EM41" s="47"/>
      <c r="EN41" s="47"/>
      <c r="EO41" s="60"/>
      <c r="EP41" s="48"/>
      <c r="EQ41" s="49"/>
      <c r="ER41" s="50"/>
      <c r="ES41" s="51" t="b">
        <v>0</v>
      </c>
      <c r="ET41" s="52"/>
      <c r="EU41" s="52"/>
      <c r="EV41" s="52"/>
      <c r="EW41" s="69"/>
      <c r="EX41" s="53"/>
      <c r="EY41" s="53"/>
      <c r="EZ41" s="53"/>
      <c r="FA41" s="67"/>
      <c r="FB41" s="86"/>
      <c r="FC41" s="57"/>
    </row>
    <row r="42" outlineLevel="1">
      <c r="A42" s="81" t="s">
        <v>47</v>
      </c>
      <c r="B42" s="58"/>
      <c r="C42" s="82" t="s">
        <v>53</v>
      </c>
      <c r="D42" s="83" t="s">
        <v>53</v>
      </c>
      <c r="E42" s="82" t="s">
        <v>53</v>
      </c>
      <c r="F42" s="83" t="s">
        <v>53</v>
      </c>
      <c r="G42" s="83" t="s">
        <v>53</v>
      </c>
      <c r="H42" s="84"/>
      <c r="I42" s="85"/>
      <c r="J42" s="59"/>
      <c r="K42" s="39" t="str">
        <f t="shared" si="309"/>
        <v>---</v>
      </c>
      <c r="L42" s="40" t="str">
        <f t="shared" si="310"/>
        <v>---</v>
      </c>
      <c r="M42" s="40" t="str">
        <f t="shared" si="311"/>
        <v>---</v>
      </c>
      <c r="N42" s="41" t="b">
        <v>0</v>
      </c>
      <c r="O42" s="42"/>
      <c r="P42" s="43"/>
      <c r="Q42" s="42"/>
      <c r="R42" s="60"/>
      <c r="S42" s="39"/>
      <c r="T42" s="46"/>
      <c r="U42" s="40"/>
      <c r="V42" s="41" t="b">
        <v>0</v>
      </c>
      <c r="W42" s="47"/>
      <c r="X42" s="47"/>
      <c r="Y42" s="47"/>
      <c r="Z42" s="60"/>
      <c r="AA42" s="39"/>
      <c r="AB42" s="46"/>
      <c r="AC42" s="40"/>
      <c r="AD42" s="41" t="b">
        <v>0</v>
      </c>
      <c r="AE42" s="47"/>
      <c r="AF42" s="47"/>
      <c r="AG42" s="47"/>
      <c r="AH42" s="60"/>
      <c r="AI42" s="61"/>
      <c r="AJ42" s="62"/>
      <c r="AK42" s="63"/>
      <c r="AL42" s="64" t="b">
        <v>0</v>
      </c>
      <c r="AM42" s="65"/>
      <c r="AN42" s="65"/>
      <c r="AO42" s="65"/>
      <c r="AP42" s="66"/>
      <c r="AQ42" s="53"/>
      <c r="AR42" s="53"/>
      <c r="AS42" s="53"/>
      <c r="AT42" s="67"/>
      <c r="AU42" s="60"/>
      <c r="AV42" s="39"/>
      <c r="AW42" s="46"/>
      <c r="AX42" s="40"/>
      <c r="AY42" s="41" t="b">
        <v>0</v>
      </c>
      <c r="AZ42" s="47"/>
      <c r="BA42" s="47"/>
      <c r="BB42" s="47"/>
      <c r="BC42" s="60"/>
      <c r="BD42" s="39"/>
      <c r="BE42" s="46"/>
      <c r="BF42" s="40"/>
      <c r="BG42" s="41" t="b">
        <v>0</v>
      </c>
      <c r="BH42" s="47"/>
      <c r="BI42" s="47"/>
      <c r="BJ42" s="47"/>
      <c r="BK42" s="60"/>
      <c r="BL42" s="39"/>
      <c r="BM42" s="46"/>
      <c r="BN42" s="40"/>
      <c r="BO42" s="41" t="b">
        <v>0</v>
      </c>
      <c r="BP42" s="47"/>
      <c r="BQ42" s="47"/>
      <c r="BR42" s="47"/>
      <c r="BS42" s="60"/>
      <c r="BT42" s="61"/>
      <c r="BU42" s="62"/>
      <c r="BV42" s="63"/>
      <c r="BW42" s="64" t="b">
        <v>0</v>
      </c>
      <c r="BX42" s="65"/>
      <c r="BY42" s="65"/>
      <c r="BZ42" s="65"/>
      <c r="CA42" s="66"/>
      <c r="CB42" s="53"/>
      <c r="CC42" s="53"/>
      <c r="CD42" s="53"/>
      <c r="CE42" s="67"/>
      <c r="CF42" s="60"/>
      <c r="CG42" s="39"/>
      <c r="CH42" s="46"/>
      <c r="CI42" s="40"/>
      <c r="CJ42" s="41" t="b">
        <v>0</v>
      </c>
      <c r="CK42" s="47"/>
      <c r="CL42" s="47"/>
      <c r="CM42" s="47"/>
      <c r="CN42" s="60"/>
      <c r="CO42" s="39"/>
      <c r="CP42" s="46"/>
      <c r="CQ42" s="40"/>
      <c r="CR42" s="41" t="b">
        <v>0</v>
      </c>
      <c r="CS42" s="47"/>
      <c r="CT42" s="47"/>
      <c r="CU42" s="47"/>
      <c r="CV42" s="60"/>
      <c r="CW42" s="39"/>
      <c r="CX42" s="46"/>
      <c r="CY42" s="40"/>
      <c r="CZ42" s="41" t="b">
        <v>0</v>
      </c>
      <c r="DA42" s="47"/>
      <c r="DB42" s="47"/>
      <c r="DC42" s="47"/>
      <c r="DD42" s="60"/>
      <c r="DE42" s="61"/>
      <c r="DF42" s="62"/>
      <c r="DG42" s="63"/>
      <c r="DH42" s="64" t="b">
        <v>0</v>
      </c>
      <c r="DI42" s="65"/>
      <c r="DJ42" s="65"/>
      <c r="DK42" s="65"/>
      <c r="DL42" s="66"/>
      <c r="DM42" s="53"/>
      <c r="DN42" s="53"/>
      <c r="DO42" s="53"/>
      <c r="DP42" s="67"/>
      <c r="DQ42" s="60"/>
      <c r="DR42" s="39"/>
      <c r="DS42" s="46"/>
      <c r="DT42" s="40"/>
      <c r="DU42" s="41" t="b">
        <v>0</v>
      </c>
      <c r="DV42" s="47"/>
      <c r="DW42" s="47"/>
      <c r="DX42" s="47"/>
      <c r="DY42" s="60"/>
      <c r="DZ42" s="39"/>
      <c r="EA42" s="46"/>
      <c r="EB42" s="40"/>
      <c r="EC42" s="41" t="b">
        <v>0</v>
      </c>
      <c r="ED42" s="47"/>
      <c r="EE42" s="47"/>
      <c r="EF42" s="47"/>
      <c r="EG42" s="60"/>
      <c r="EH42" s="39"/>
      <c r="EI42" s="46"/>
      <c r="EJ42" s="40"/>
      <c r="EK42" s="41" t="b">
        <v>0</v>
      </c>
      <c r="EL42" s="47"/>
      <c r="EM42" s="47"/>
      <c r="EN42" s="47"/>
      <c r="EO42" s="60"/>
      <c r="EP42" s="61"/>
      <c r="EQ42" s="62"/>
      <c r="ER42" s="63"/>
      <c r="ES42" s="64" t="b">
        <v>0</v>
      </c>
      <c r="ET42" s="65"/>
      <c r="EU42" s="65"/>
      <c r="EV42" s="65"/>
      <c r="EW42" s="66"/>
      <c r="EX42" s="53"/>
      <c r="EY42" s="53"/>
      <c r="EZ42" s="53"/>
      <c r="FA42" s="67"/>
      <c r="FB42" s="86"/>
      <c r="FC42" s="57"/>
    </row>
    <row r="43" outlineLevel="1">
      <c r="A43" s="81" t="s">
        <v>52</v>
      </c>
      <c r="B43" s="58"/>
      <c r="C43" s="82" t="s">
        <v>53</v>
      </c>
      <c r="D43" s="83" t="s">
        <v>53</v>
      </c>
      <c r="E43" s="82" t="s">
        <v>53</v>
      </c>
      <c r="F43" s="83" t="s">
        <v>53</v>
      </c>
      <c r="G43" s="83" t="s">
        <v>53</v>
      </c>
      <c r="H43" s="84"/>
      <c r="I43" s="85"/>
      <c r="J43" s="59"/>
      <c r="K43" s="39" t="str">
        <f t="shared" si="309"/>
        <v>---</v>
      </c>
      <c r="L43" s="40" t="str">
        <f t="shared" si="310"/>
        <v>---</v>
      </c>
      <c r="M43" s="40" t="str">
        <f t="shared" si="311"/>
        <v>---</v>
      </c>
      <c r="N43" s="41" t="b">
        <v>0</v>
      </c>
      <c r="O43" s="42"/>
      <c r="P43" s="43"/>
      <c r="Q43" s="42"/>
      <c r="R43" s="60"/>
      <c r="S43" s="39"/>
      <c r="T43" s="46"/>
      <c r="U43" s="40"/>
      <c r="V43" s="41" t="b">
        <v>0</v>
      </c>
      <c r="W43" s="47"/>
      <c r="X43" s="47"/>
      <c r="Y43" s="47"/>
      <c r="Z43" s="60"/>
      <c r="AA43" s="39"/>
      <c r="AB43" s="46"/>
      <c r="AC43" s="40"/>
      <c r="AD43" s="41" t="b">
        <v>0</v>
      </c>
      <c r="AE43" s="47"/>
      <c r="AF43" s="47"/>
      <c r="AG43" s="47"/>
      <c r="AH43" s="60"/>
      <c r="AI43" s="48"/>
      <c r="AJ43" s="49"/>
      <c r="AK43" s="50"/>
      <c r="AL43" s="51" t="b">
        <v>0</v>
      </c>
      <c r="AM43" s="52"/>
      <c r="AN43" s="52"/>
      <c r="AO43" s="52"/>
      <c r="AP43" s="69"/>
      <c r="AQ43" s="53"/>
      <c r="AR43" s="53"/>
      <c r="AS43" s="53"/>
      <c r="AT43" s="67"/>
      <c r="AU43" s="60"/>
      <c r="AV43" s="39"/>
      <c r="AW43" s="46"/>
      <c r="AX43" s="40"/>
      <c r="AY43" s="41" t="b">
        <v>0</v>
      </c>
      <c r="AZ43" s="47"/>
      <c r="BA43" s="47"/>
      <c r="BB43" s="47"/>
      <c r="BC43" s="60"/>
      <c r="BD43" s="39"/>
      <c r="BE43" s="46"/>
      <c r="BF43" s="40"/>
      <c r="BG43" s="41" t="b">
        <v>0</v>
      </c>
      <c r="BH43" s="47"/>
      <c r="BI43" s="47"/>
      <c r="BJ43" s="47"/>
      <c r="BK43" s="60"/>
      <c r="BL43" s="39"/>
      <c r="BM43" s="46"/>
      <c r="BN43" s="40"/>
      <c r="BO43" s="41" t="b">
        <v>0</v>
      </c>
      <c r="BP43" s="47"/>
      <c r="BQ43" s="47"/>
      <c r="BR43" s="47"/>
      <c r="BS43" s="60"/>
      <c r="BT43" s="48"/>
      <c r="BU43" s="49"/>
      <c r="BV43" s="50"/>
      <c r="BW43" s="51" t="b">
        <v>0</v>
      </c>
      <c r="BX43" s="52"/>
      <c r="BY43" s="52"/>
      <c r="BZ43" s="52"/>
      <c r="CA43" s="69"/>
      <c r="CB43" s="53"/>
      <c r="CC43" s="53"/>
      <c r="CD43" s="53"/>
      <c r="CE43" s="67"/>
      <c r="CF43" s="60"/>
      <c r="CG43" s="39"/>
      <c r="CH43" s="46"/>
      <c r="CI43" s="40"/>
      <c r="CJ43" s="41" t="b">
        <v>0</v>
      </c>
      <c r="CK43" s="47"/>
      <c r="CL43" s="47"/>
      <c r="CM43" s="47"/>
      <c r="CN43" s="60"/>
      <c r="CO43" s="39"/>
      <c r="CP43" s="46"/>
      <c r="CQ43" s="40"/>
      <c r="CR43" s="41" t="b">
        <v>0</v>
      </c>
      <c r="CS43" s="47"/>
      <c r="CT43" s="47"/>
      <c r="CU43" s="47"/>
      <c r="CV43" s="60"/>
      <c r="CW43" s="39"/>
      <c r="CX43" s="46"/>
      <c r="CY43" s="40"/>
      <c r="CZ43" s="41" t="b">
        <v>0</v>
      </c>
      <c r="DA43" s="47"/>
      <c r="DB43" s="47"/>
      <c r="DC43" s="47"/>
      <c r="DD43" s="60"/>
      <c r="DE43" s="48"/>
      <c r="DF43" s="49"/>
      <c r="DG43" s="50"/>
      <c r="DH43" s="51" t="b">
        <v>0</v>
      </c>
      <c r="DI43" s="52"/>
      <c r="DJ43" s="52"/>
      <c r="DK43" s="52"/>
      <c r="DL43" s="69"/>
      <c r="DM43" s="53"/>
      <c r="DN43" s="53"/>
      <c r="DO43" s="53"/>
      <c r="DP43" s="67"/>
      <c r="DQ43" s="60"/>
      <c r="DR43" s="39"/>
      <c r="DS43" s="46"/>
      <c r="DT43" s="40"/>
      <c r="DU43" s="41" t="b">
        <v>0</v>
      </c>
      <c r="DV43" s="47"/>
      <c r="DW43" s="47"/>
      <c r="DX43" s="47"/>
      <c r="DY43" s="60"/>
      <c r="DZ43" s="39"/>
      <c r="EA43" s="46"/>
      <c r="EB43" s="40"/>
      <c r="EC43" s="41" t="b">
        <v>0</v>
      </c>
      <c r="ED43" s="47"/>
      <c r="EE43" s="47"/>
      <c r="EF43" s="47"/>
      <c r="EG43" s="60"/>
      <c r="EH43" s="39"/>
      <c r="EI43" s="46"/>
      <c r="EJ43" s="40"/>
      <c r="EK43" s="41" t="b">
        <v>0</v>
      </c>
      <c r="EL43" s="47"/>
      <c r="EM43" s="47"/>
      <c r="EN43" s="47"/>
      <c r="EO43" s="60"/>
      <c r="EP43" s="48"/>
      <c r="EQ43" s="49"/>
      <c r="ER43" s="50"/>
      <c r="ES43" s="51" t="b">
        <v>0</v>
      </c>
      <c r="ET43" s="52"/>
      <c r="EU43" s="52"/>
      <c r="EV43" s="52"/>
      <c r="EW43" s="69"/>
      <c r="EX43" s="53"/>
      <c r="EY43" s="53"/>
      <c r="EZ43" s="53"/>
      <c r="FA43" s="67"/>
      <c r="FB43" s="86"/>
      <c r="FC43" s="57"/>
    </row>
    <row r="44" outlineLevel="1">
      <c r="A44" s="81" t="s">
        <v>67</v>
      </c>
      <c r="B44" s="58"/>
      <c r="C44" s="82" t="s">
        <v>53</v>
      </c>
      <c r="D44" s="83" t="s">
        <v>53</v>
      </c>
      <c r="E44" s="82" t="s">
        <v>53</v>
      </c>
      <c r="F44" s="83" t="s">
        <v>53</v>
      </c>
      <c r="G44" s="83" t="s">
        <v>53</v>
      </c>
      <c r="H44" s="84"/>
      <c r="I44" s="85"/>
      <c r="J44" s="59"/>
      <c r="K44" s="39" t="str">
        <f t="shared" si="309"/>
        <v>---</v>
      </c>
      <c r="L44" s="40" t="str">
        <f t="shared" si="310"/>
        <v>---</v>
      </c>
      <c r="M44" s="40" t="str">
        <f t="shared" si="311"/>
        <v>---</v>
      </c>
      <c r="N44" s="41" t="b">
        <v>0</v>
      </c>
      <c r="O44" s="42"/>
      <c r="P44" s="43"/>
      <c r="Q44" s="42"/>
      <c r="R44" s="60"/>
      <c r="S44" s="39"/>
      <c r="T44" s="46"/>
      <c r="U44" s="40"/>
      <c r="V44" s="41" t="b">
        <v>0</v>
      </c>
      <c r="W44" s="47"/>
      <c r="X44" s="47"/>
      <c r="Y44" s="47"/>
      <c r="Z44" s="60"/>
      <c r="AA44" s="39"/>
      <c r="AB44" s="46"/>
      <c r="AC44" s="40"/>
      <c r="AD44" s="41" t="b">
        <v>0</v>
      </c>
      <c r="AE44" s="47"/>
      <c r="AF44" s="47"/>
      <c r="AG44" s="47"/>
      <c r="AH44" s="60"/>
      <c r="AI44" s="61"/>
      <c r="AJ44" s="62"/>
      <c r="AK44" s="63"/>
      <c r="AL44" s="64" t="b">
        <v>0</v>
      </c>
      <c r="AM44" s="65"/>
      <c r="AN44" s="65"/>
      <c r="AO44" s="65"/>
      <c r="AP44" s="66"/>
      <c r="AQ44" s="53"/>
      <c r="AR44" s="53"/>
      <c r="AS44" s="53"/>
      <c r="AT44" s="67"/>
      <c r="AU44" s="60"/>
      <c r="AV44" s="39"/>
      <c r="AW44" s="46"/>
      <c r="AX44" s="40"/>
      <c r="AY44" s="41" t="b">
        <v>0</v>
      </c>
      <c r="AZ44" s="47"/>
      <c r="BA44" s="47"/>
      <c r="BB44" s="47"/>
      <c r="BC44" s="60"/>
      <c r="BD44" s="39"/>
      <c r="BE44" s="46"/>
      <c r="BF44" s="40"/>
      <c r="BG44" s="41" t="b">
        <v>0</v>
      </c>
      <c r="BH44" s="47"/>
      <c r="BI44" s="47"/>
      <c r="BJ44" s="47"/>
      <c r="BK44" s="60"/>
      <c r="BL44" s="39"/>
      <c r="BM44" s="46"/>
      <c r="BN44" s="40"/>
      <c r="BO44" s="41" t="b">
        <v>0</v>
      </c>
      <c r="BP44" s="47"/>
      <c r="BQ44" s="47"/>
      <c r="BR44" s="47"/>
      <c r="BS44" s="60"/>
      <c r="BT44" s="61"/>
      <c r="BU44" s="62"/>
      <c r="BV44" s="63"/>
      <c r="BW44" s="64" t="b">
        <v>0</v>
      </c>
      <c r="BX44" s="65"/>
      <c r="BY44" s="65"/>
      <c r="BZ44" s="65"/>
      <c r="CA44" s="66"/>
      <c r="CB44" s="53"/>
      <c r="CC44" s="53"/>
      <c r="CD44" s="53"/>
      <c r="CE44" s="67"/>
      <c r="CF44" s="60"/>
      <c r="CG44" s="39"/>
      <c r="CH44" s="46"/>
      <c r="CI44" s="40"/>
      <c r="CJ44" s="41" t="b">
        <v>0</v>
      </c>
      <c r="CK44" s="47"/>
      <c r="CL44" s="47"/>
      <c r="CM44" s="47"/>
      <c r="CN44" s="60"/>
      <c r="CO44" s="39"/>
      <c r="CP44" s="46"/>
      <c r="CQ44" s="40"/>
      <c r="CR44" s="41" t="b">
        <v>0</v>
      </c>
      <c r="CS44" s="47"/>
      <c r="CT44" s="47"/>
      <c r="CU44" s="47"/>
      <c r="CV44" s="60"/>
      <c r="CW44" s="39"/>
      <c r="CX44" s="46"/>
      <c r="CY44" s="40"/>
      <c r="CZ44" s="41" t="b">
        <v>0</v>
      </c>
      <c r="DA44" s="47"/>
      <c r="DB44" s="47"/>
      <c r="DC44" s="47"/>
      <c r="DD44" s="60"/>
      <c r="DE44" s="61"/>
      <c r="DF44" s="62"/>
      <c r="DG44" s="63"/>
      <c r="DH44" s="64" t="b">
        <v>0</v>
      </c>
      <c r="DI44" s="65"/>
      <c r="DJ44" s="65"/>
      <c r="DK44" s="65"/>
      <c r="DL44" s="66"/>
      <c r="DM44" s="53"/>
      <c r="DN44" s="53"/>
      <c r="DO44" s="53"/>
      <c r="DP44" s="67"/>
      <c r="DQ44" s="60"/>
      <c r="DR44" s="39"/>
      <c r="DS44" s="46"/>
      <c r="DT44" s="40"/>
      <c r="DU44" s="41" t="b">
        <v>0</v>
      </c>
      <c r="DV44" s="47"/>
      <c r="DW44" s="47"/>
      <c r="DX44" s="47"/>
      <c r="DY44" s="60"/>
      <c r="DZ44" s="39"/>
      <c r="EA44" s="46"/>
      <c r="EB44" s="40"/>
      <c r="EC44" s="41" t="b">
        <v>0</v>
      </c>
      <c r="ED44" s="47"/>
      <c r="EE44" s="47"/>
      <c r="EF44" s="47"/>
      <c r="EG44" s="60"/>
      <c r="EH44" s="39"/>
      <c r="EI44" s="46"/>
      <c r="EJ44" s="40"/>
      <c r="EK44" s="41" t="b">
        <v>0</v>
      </c>
      <c r="EL44" s="47"/>
      <c r="EM44" s="47"/>
      <c r="EN44" s="47"/>
      <c r="EO44" s="60"/>
      <c r="EP44" s="61"/>
      <c r="EQ44" s="62"/>
      <c r="ER44" s="63"/>
      <c r="ES44" s="64" t="b">
        <v>0</v>
      </c>
      <c r="ET44" s="65"/>
      <c r="EU44" s="65"/>
      <c r="EV44" s="65"/>
      <c r="EW44" s="66"/>
      <c r="EX44" s="53"/>
      <c r="EY44" s="53"/>
      <c r="EZ44" s="53"/>
      <c r="FA44" s="67"/>
      <c r="FB44" s="86"/>
      <c r="FC44" s="57"/>
    </row>
    <row r="45" outlineLevel="1">
      <c r="A45" s="32" t="s">
        <v>40</v>
      </c>
      <c r="B45" s="58"/>
      <c r="C45" s="82" t="s">
        <v>53</v>
      </c>
      <c r="D45" s="83" t="s">
        <v>53</v>
      </c>
      <c r="E45" s="82" t="s">
        <v>53</v>
      </c>
      <c r="F45" s="83" t="s">
        <v>53</v>
      </c>
      <c r="G45" s="83" t="s">
        <v>53</v>
      </c>
      <c r="H45" s="84"/>
      <c r="I45" s="85"/>
      <c r="J45" s="59"/>
      <c r="K45" s="39" t="str">
        <f t="shared" si="309"/>
        <v>---</v>
      </c>
      <c r="L45" s="40" t="str">
        <f t="shared" si="310"/>
        <v>---</v>
      </c>
      <c r="M45" s="40" t="str">
        <f t="shared" si="311"/>
        <v>---</v>
      </c>
      <c r="N45" s="41" t="b">
        <v>0</v>
      </c>
      <c r="O45" s="42"/>
      <c r="P45" s="43"/>
      <c r="Q45" s="42" t="str">
        <f t="shared" ref="Q45:Q46" si="378">I45</f>
        <v/>
      </c>
      <c r="R45" s="60"/>
      <c r="S45" s="39" t="str">
        <f t="shared" ref="S45:S46" si="379">IFS((AND(N45=TRUE, O45="Yes")), (ifs(ISBLANK(Q45), K45, Q45="Novice 1", K45, Q45="Novice 2", K45, Q45="Novice 3", K45, Q45="Intermediate 2", K45, Q45="Intermediate 1", K45, Q45="Advanced 2", (IF((K45+(($D45-$C45)/2))&gt;$D45, $C45, (K45+(($D45-$C45)/2)))), Q45="Advanced 1", (IF((K45+(($D45-$C45)/2))&gt;$D45, $C45, (K45+(($D45-$C45)/2)))))), (NOT((AND(N45=TRUE, O45="Yes")))), K45)</f>
        <v>---</v>
      </c>
      <c r="T45" s="46" t="str">
        <f t="shared" ref="T45:T46" si="380">IFS((AND(N45=TRUE, O45="Yes")), (IFS(ISBLANK(Q45), L45, Q45="Novice 1", L45, Q45="Novice 2", L45, Q45="Novice 3", L45, Q45="Intermediate 2", (IF((L45+(($F45-$E45)/2))&gt;$F45, $E45, (L45+(($F45-$E45)/2)))), Q45="Intermediate 1", (IF((L45-(($F45-$E45)/2))&lt;$E45, $F45, (L45-(($F45-$E45)/2)))), Q45="Advanced 2", (IF((((($D45-$C45)/2))+K45)&gt;$D45, (IF((L45+(($F45-$E45)/2))&gt;$F45, $E45, (L45+(($F45-$E45)/2)))), L45)), Q45="Advanced 1", (IF((((($D45-$C45)/2))+K45)&gt;$D45, (IF((L45-(($F45-$E45)/2))&lt;$E45, $F45, (L45-(($F45-$E45)/2)))), L45)))), (NOT((AND(N45=TRUE, O45="Yes")))), L45)</f>
        <v>---</v>
      </c>
      <c r="U45" s="40" t="str">
        <f>IFERROR(__xludf.DUMMYFUNCTION("IFS((AND(N45=TRUE, O45=""Yes"")), (IFS(ISBLANK(Q45), M45, Q45=""Novice 1"", CEILING((M45*1.05), $H45), Q45=""Novice 2"", CEILING((M45*1.025), $H45), Q45=""Novice 3"", M45+$H45, Q45=""Intermediate 2"", (IF((ISBETWEEN(((((F45-E45)/2))+L45), E45, F45)), M45,"&amp;" M45+$H45)), Q45=""Intermediate 1"", (IF((ISBETWEEN((L45-((F45-E45)/2)), E45, F45)), M45+$H45, (FLOOR((M45*0.9875), $H45)))), Q45=""Advanced 2"", (IF(AND(((K45+((D45-C45)/2))&gt;D45), ((L45+((F45-E45)/2))&gt;F45)), M45+$H45, (M45))), Q45=""Advanced 1"", (IFS(T4"&amp;"5&lt;L45, M45+$H45, T45=L45, (M45), T45&gt;L45, (FLOOR((M45*0.9875), $H45)))))), (AND(F45=TRUE, G45=""No"", N45=TRUE, O45=""No"")), (FLOOR((M45*0.9), $H45)), (NOT((AND(N45=TRUE, O45=""Yes"")))), M45)"),"---")</f>
        <v>---</v>
      </c>
      <c r="V45" s="41" t="b">
        <v>0</v>
      </c>
      <c r="W45" s="47"/>
      <c r="X45" s="47"/>
      <c r="Y45" s="47" t="str">
        <f t="shared" ref="Y45:Y46" si="381">IF((AND(N45=TRUE, O45="No", V45=TRUE, W45="No")), (IFS(ISBLANK(Q45), Q45, Q45="Novice 1", "Novice 2", Q45="Novice 2", "Novice 3", Q45="Novice 3", "Intermediate 1", Q45="Intermediate 1", "Intermediate 2", Q45="Intermediate 2", "Advanced 1", Q45="Advanced 1", "Advanced 2", Q45="Advanced 2", "Advanced 2")), Q45)</f>
        <v/>
      </c>
      <c r="Z45" s="60"/>
      <c r="AA45" s="39" t="str">
        <f t="shared" ref="AA45:AA46" si="382">IFS((AND(V45=TRUE, W45="Yes")), (ifs(ISBLANK(Y45), S45, Y45="Novice 1", S45, Y45="Novice 2", S45, Y45="Novice 3", S45, Y45="Intermediate 2", S45, Y45="Intermediate 1", S45, Y45="Advanced 2", (IF((S45+(($D45-$C45)/2))&gt;$D45, $C45, (S45+(($D45-$C45)/2)))), Y45="Advanced 1", (IF((S45+(($D45-$C45)/2))&gt;$D45, $C45, (S45+(($D45-$C45)/2)))))), (NOT((AND(V45=TRUE, W45="Yes")))), S45)</f>
        <v>---</v>
      </c>
      <c r="AB45" s="46" t="str">
        <f t="shared" ref="AB45:AB46" si="383">IFS((AND(V45=TRUE, W45="Yes")), (IFS(ISBLANK(Y45), T45, Y45="Novice 1", T45, Y45="Novice 2", T45, Y45="Novice 3", T45, Y45="Intermediate 2", (IF((T45+(($F45-$E45)/2))&gt;$F45, $E45, (T45+(($F45-$E45)/2)))), Y45="Intermediate 1", (IF((T45-(($F45-$E45)/2))&lt;$E45, $F45, (T45-(($F45-$E45)/2)))), Y45="Advanced 2", (IF((((($D45-$C45)/2))+S45)&gt;$D45, (IF((T45+(($F45-$E45)/2))&gt;$F45, $E45, (T45+(($F45-$E45)/2)))), T45)), Y45="Advanced 1", (IF((((($D45-$C45)/2))+S45)&gt;$D45, (IF((T45-(($F45-$E45)/2))&lt;$E45, $F45, (T45-(($F45-$E45)/2)))), T45)))), (NOT((AND(V45=TRUE, W45="Yes")))), T45)</f>
        <v>---</v>
      </c>
      <c r="AC45" s="40" t="str">
        <f>IFERROR(__xludf.DUMMYFUNCTION("IFS((AND(V45=TRUE, W45=""Yes"")), (IFS(ISBLANK(Y45), U45, Y45=""Novice 1"", CEILING((U45*1.05), $H45), Y45=""Novice 2"", CEILING((U45*1.025), $H45), Y45=""Novice 3"", U45+$H45, Y45=""Intermediate 2"", (IF((ISBETWEEN(((((N45-M45)/2))+T45), M45, N45)), U45,"&amp;" U45+$H45)), Y45=""Intermediate 1"", (IF((ISBETWEEN((T45-((N45-M45)/2)), M45, N45)), U45+$H45, (FLOOR((U45*0.9875), $H45)))), Y45=""Advanced 2"", (IF(AND(((S45+((L45-K45)/2))&gt;L45), ((T45+((N45-M45)/2))&gt;N45)), U45+$H45, (U45))), Y45=""Advanced 1"", (IFS(AB"&amp;"45&lt;T45, U45+$H45, AB45=T45, (U45), AB45&gt;T45, (FLOOR((U45*0.9875), $H45)))))), (AND(N45=TRUE, O45=""No"", V45=TRUE, W45=""No"")), (FLOOR((U45*0.9), $H45)), (NOT((AND(V45=TRUE, W45=""Yes"")))), U45)"),"---")</f>
        <v>---</v>
      </c>
      <c r="AD45" s="41" t="b">
        <v>0</v>
      </c>
      <c r="AE45" s="47"/>
      <c r="AF45" s="47"/>
      <c r="AG45" s="47" t="str">
        <f t="shared" ref="AG45:AG46" si="384">IF((AND(V45=TRUE, W45="No", AD45=TRUE, AE45="No")), (IFS(ISBLANK(Y45), Y45, Y45="Novice 1", "Novice 2", Y45="Novice 2", "Novice 3", Y45="Novice 3", "Intermediate 1", Y45="Intermediate 1", "Intermediate 2", Y45="Intermediate 2", "Advanced 1", Y45="Advanced 1", "Advanced 2", Y45="Advanced 2", "Advanced 2")), Y45)</f>
        <v/>
      </c>
      <c r="AH45" s="60"/>
      <c r="AI45" s="48" t="str">
        <f t="shared" ref="AI45:AI46" si="385">IFS((AND(AD45=TRUE, AE45="Yes")), (ifs(ISBLANK(AG45), AA45, AG45="Novice 1", AA45, AG45="Novice 2", AA45, AG45="Novice 3", AA45, AG45="Intermediate 2", AA45, AG45="Intermediate 1", AA45, AG45="Advanced 2", (IF((AA45+(($D45-$C45)/2))&gt;$D45, $C45, (AA45+(($D45-$C45)/2)))), AG45="Advanced 1", (IF((AA45+(($D45-$C45)/2))&gt;$D45, $C45, (AA45+(($D45-$C45)/2)))))), (NOT((AND(AD45=TRUE, AE45="Yes")))), AA45)</f>
        <v>---</v>
      </c>
      <c r="AJ45" s="49" t="str">
        <f t="shared" ref="AJ45:AJ46" si="386">IFS((AND(AD45=TRUE, AE45="Yes")), (IFS(ISBLANK(AG45), AB45, AG45="Novice 1", AB45, AG45="Novice 2", AB45, AG45="Novice 3", AB45, AG45="Intermediate 2", (IF((AB45+(($F45-$E45)/2))&gt;$F45, $E45, (AB45+(($F45-$E45)/2)))), AG45="Intermediate 1", (IF((AB45-(($F45-$E45)/2))&lt;$E45, $F45, (AB45-(($F45-$E45)/2)))), AG45="Advanced 2", (IF((((($D45-$C45)/2))+AA45)&gt;$D45, (IF((AB45+(($F45-$E45)/2))&gt;$F45, $E45, (AB45+(($F45-$E45)/2)))), AB45)), AG45="Advanced 1", (IF((((($D45-$C45)/2))+AA45)&gt;$D45, (IF((AB45-(($F45-$E45)/2))&lt;$E45, $F45, (AB45-(($F45-$E45)/2)))), AB45)))), (NOT((AND(AD45=TRUE, AE45="Yes")))), AB45)</f>
        <v>---</v>
      </c>
      <c r="AK45" s="50" t="str">
        <f>IFERROR(__xludf.DUMMYFUNCTION("IFS((AND(AD45=TRUE, AE45=""Yes"")), (IFS(ISBLANK(AG45), AC45, AG45=""Novice 1"", CEILING((AC45*1.05), $H45), AG45=""Novice 2"", CEILING((AC45*1.025), $H45), AG45=""Novice 3"", AC45+$H45, AG45=""Intermediate 2"", (IF((ISBETWEEN(((((V45-U45)/2))+AB45), U45,"&amp;" V45)), AC45, AC45+$H45)), AG45=""Intermediate 1"", (IF((ISBETWEEN((AB45-((V45-U45)/2)), U45, V45)), AC45+$H45, (FLOOR((AC45*0.9875), $H45)))), AG45=""Advanced 2"", (IF(AND(((AA45+((T45-S45)/2))&gt;T45), ((AB45+((V45-U45)/2))&gt;V45)), AC45+$H45, (AC45))), AG45"&amp;"=""Advanced 1"", (IFS(AJ45&lt;AB45, AC45+$H45, AJ45=AB45, (AC45), AJ45&gt;AB45, (FLOOR((AC45*0.9875), $H45)))))), (AND(V45=TRUE, W45=""No"", AD45=TRUE, AE45=""No"")), (FLOOR((AC45*0.9), $H45)), (NOT((AND(AD45=TRUE, AE45=""Yes"")))), AC45)"),"---")</f>
        <v>---</v>
      </c>
      <c r="AL45" s="51" t="b">
        <v>0</v>
      </c>
      <c r="AM45" s="52"/>
      <c r="AN45" s="52"/>
      <c r="AO45" s="52" t="str">
        <f t="shared" ref="AO45:AO46" si="387">IF((AND(AD45=TRUE, AE45="No", AL45=TRUE, AM45="No")), (IFS(ISBLANK(AG45), AG45, AG45="Novice 1", "Novice 2", AG45="Novice 2", "Novice 3", AG45="Novice 3", "Intermediate 1", AG45="Intermediate 1", "Intermediate 2", AG45="Intermediate 2", "Advanced 1", AG45="Advanced 1", "Advanced 2", AG45="Advanced 2", "Advanced 2")), AG45)</f>
        <v/>
      </c>
      <c r="AP45" s="69"/>
      <c r="AQ45" s="53" t="str">
        <f t="shared" ref="AQ45:AR45" si="374">IFERROR(AI45/2,AI45)</f>
        <v>---</v>
      </c>
      <c r="AR45" s="53" t="str">
        <f t="shared" si="374"/>
        <v>---</v>
      </c>
      <c r="AS45" s="53" t="str">
        <f t="shared" ref="AS45:AS46" si="389">AK45</f>
        <v>---</v>
      </c>
      <c r="AT45" s="67"/>
      <c r="AU45" s="60"/>
      <c r="AV45" s="39" t="str">
        <f t="shared" ref="AV45:AV46" si="390">IFS((AND(AL45=TRUE, AM45="Yes")), (ifs(ISBLANK(AO45), AI45, AO45="Novice 1", AI45, AO45="Novice 2", AI45, AO45="Novice 3", AI45, AO45="Intermediate 2", AI45, AO45="Intermediate 1", AI45, AO45="Advanced 2", (IF((AI45+(($D45-$C45)/2))&gt;$D45, $C45, (AI45+(($D45-$C45)/2)))), AO45="Advanced 1", (IF((AI45+(($D45-$C45)/2))&gt;$D45, $C45, (AI45+(($D45-$C45)/2)))))), (NOT((AND(AL45=TRUE, AM45="Yes")))), AI45)</f>
        <v>---</v>
      </c>
      <c r="AW45" s="46" t="str">
        <f t="shared" ref="AW45:AW46" si="391">IFS((AND(AL45=TRUE, AM45="Yes")), (IFS(ISBLANK(AO45), AJ45, AO45="Novice 1", AJ45, AO45="Novice 2", AJ45, AO45="Novice 3", AJ45, AO45="Intermediate 2", (IF((AJ45+(($F45-$E45)/2))&gt;$F45, $E45, (AJ45+(($F45-$E45)/2)))), AO45="Intermediate 1", (IF((AJ45-(($F45-$E45)/2))&lt;$E45, $F45, (AJ45-(($F45-$E45)/2)))), AO45="Advanced 2", (IF((((($D45-$C45)/2))+AI45)&gt;$D45, (IF((AJ45+(($F45-$E45)/2))&gt;$F45, $E45, (AJ45+(($F45-$E45)/2)))), AJ45)), AO45="Advanced 1", (IF((((($D45-$C45)/2))+AI45)&gt;$D45, (IF((AJ45-(($F45-$E45)/2))&lt;$E45, $F45, (AJ45-(($F45-$E45)/2)))), AJ45)))), (NOT((AND(AL45=TRUE, AM45="Yes")))), AJ45)</f>
        <v>---</v>
      </c>
      <c r="AX45" s="40" t="str">
        <f>IFERROR(__xludf.DUMMYFUNCTION("IFS((AND(AL45=TRUE, AM45=""Yes"")), (IFS(ISBLANK(AO45), AK45, AO45=""Novice 1"", CEILING((AK45*1.05), $H45), AO45=""Novice 2"", CEILING((AK45*1.025), $H45), AO45=""Novice 3"", AK45+$H45, AO45=""Intermediate 2"", (IF((ISBETWEEN(((((AD45-AC45)/2))+AJ45), AC"&amp;"45, AD45)), AK45, AK45+$H45)), AO45=""Intermediate 1"", (IF((ISBETWEEN((AJ45-((AD45-AC45)/2)), AC45, AD45)), AK45+$H45, (FLOOR((AK45*0.9875), $H45)))), AO45=""Advanced 2"", (IF(AND(((AI45+((AB45-AA45)/2))&gt;AB45), ((AJ45+((AD45-AC45)/2))&gt;AD45)), AK45+$H45, "&amp;"(AK45))), AO45=""Advanced 1"", (IFS(AW45&lt;AJ45, AK45+$H45, AW45=AJ45, (AK45), AW45&gt;AJ45, (FLOOR((AK45*0.9875), $H45)))))), (AND(AD45=TRUE, AE45=""No"", AL45=TRUE, AM45=""No"")), (FLOOR((AK45*0.9), $H45)), (NOT((AND(AL45=TRUE, AM45=""Yes"")))), AK45)"),"---")</f>
        <v>---</v>
      </c>
      <c r="AY45" s="41" t="b">
        <v>0</v>
      </c>
      <c r="AZ45" s="47"/>
      <c r="BA45" s="47"/>
      <c r="BB45" s="47" t="str">
        <f t="shared" ref="BB45:BB46" si="392">IF((AND(AL45=TRUE, AM45="No", AY45=TRUE, AZ45="No")), (IFS(ISBLANK(AO45), AO45, AO45="Novice 1", "Novice 2", AO45="Novice 2", "Novice 3", AO45="Novice 3", "Intermediate 1", AO45="Intermediate 1", "Intermediate 2", AO45="Intermediate 2", "Advanced 1", AO45="Advanced 1", "Advanced 2", AO45="Advanced 2", "Advanced 2")), AO45)</f>
        <v/>
      </c>
      <c r="BC45" s="60"/>
      <c r="BD45" s="39" t="str">
        <f t="shared" ref="BD45:BD46" si="393">IFS((AND(AY45=TRUE, AZ45="Yes")), (ifs(ISBLANK(BB45), AV45, BB45="Novice 1", AV45, BB45="Novice 2", AV45, BB45="Novice 3", AV45, BB45="Intermediate 2", AV45, BB45="Intermediate 1", AV45, BB45="Advanced 2", (IF((AV45+(($D45-$C45)/2))&gt;$D45, $C45, (AV45+(($D45-$C45)/2)))), BB45="Advanced 1", (IF((AV45+(($D45-$C45)/2))&gt;$D45, $C45, (AV45+(($D45-$C45)/2)))))), (NOT((AND(AY45=TRUE, AZ45="Yes")))), AV45)</f>
        <v>---</v>
      </c>
      <c r="BE45" s="46" t="str">
        <f t="shared" ref="BE45:BE46" si="394">IFS((AND(AY45=TRUE, AZ45="Yes")), (IFS(ISBLANK(BB45), AW45, BB45="Novice 1", AW45, BB45="Novice 2", AW45, BB45="Novice 3", AW45, BB45="Intermediate 2", (IF((AW45+(($F45-$E45)/2))&gt;$F45, $E45, (AW45+(($F45-$E45)/2)))), BB45="Intermediate 1", (IF((AW45-(($F45-$E45)/2))&lt;$E45, $F45, (AW45-(($F45-$E45)/2)))), BB45="Advanced 2", (IF((((($D45-$C45)/2))+AV45)&gt;$D45, (IF((AW45+(($F45-$E45)/2))&gt;$F45, $E45, (AW45+(($F45-$E45)/2)))), AW45)), BB45="Advanced 1", (IF((((($D45-$C45)/2))+AV45)&gt;$D45, (IF((AW45-(($F45-$E45)/2))&lt;$E45, $F45, (AW45-(($F45-$E45)/2)))), AW45)))), (NOT((AND(AY45=TRUE, AZ45="Yes")))), AW45)</f>
        <v>---</v>
      </c>
      <c r="BF45" s="40" t="str">
        <f>IFERROR(__xludf.DUMMYFUNCTION("IFS((AND(AY45=TRUE, AZ45=""Yes"")), (IFS(ISBLANK(BB45), AX45, BB45=""Novice 1"", CEILING((AX45*1.05), $H45), BB45=""Novice 2"", CEILING((AX45*1.025), $H45), BB45=""Novice 3"", AX45+$H45, BB45=""Intermediate 2"", (IF((ISBETWEEN(((((AL45-AK45)/2))+AW45), AK"&amp;"45, AL45)), AX45, AX45+$H45)), BB45=""Intermediate 1"", (IF((ISBETWEEN((AW45-((AL45-AK45)/2)), AK45, AL45)), AX45+$H45, (FLOOR((AX45*0.9875), $H45)))), BB45=""Advanced 2"", (IF(AND(((AV45+((AJ45-AI45)/2))&gt;AJ45), ((AW45+((AL45-AK45)/2))&gt;AL45)), AX45+$H45, "&amp;"(AX45))), BB45=""Advanced 1"", (IFS(BE45&lt;AW45, AX45+$H45, BE45=AW45, (AX45), BE45&gt;AW45, (FLOOR((AX45*0.9875), $H45)))))), (AND(AL45=TRUE, AM45=""No"", AY45=TRUE, AZ45=""No"")), (FLOOR((AX45*0.9), $H45)), (NOT((AND(AY45=TRUE, AZ45=""Yes"")))), AX45)"),"---")</f>
        <v>---</v>
      </c>
      <c r="BG45" s="41" t="b">
        <v>0</v>
      </c>
      <c r="BH45" s="47"/>
      <c r="BI45" s="47"/>
      <c r="BJ45" s="47" t="str">
        <f t="shared" ref="BJ45:BJ46" si="395">IF((AND(AY45=TRUE, AZ45="No", BG45=TRUE, BH45="No")), (IFS(ISBLANK(BB45), BB45, BB45="Novice 1", "Novice 2", BB45="Novice 2", "Novice 3", BB45="Novice 3", "Intermediate 1", BB45="Intermediate 1", "Intermediate 2", BB45="Intermediate 2", "Advanced 1", BB45="Advanced 1", "Advanced 2", BB45="Advanced 2", "Advanced 2")), BB45)</f>
        <v/>
      </c>
      <c r="BK45" s="60"/>
      <c r="BL45" s="39" t="str">
        <f t="shared" ref="BL45:BL46" si="396">IFS((AND(BG45=TRUE, BH45="Yes")), (ifs(ISBLANK(BJ45), BD45, BJ45="Novice 1", BD45, BJ45="Novice 2", BD45, BJ45="Novice 3", BD45, BJ45="Intermediate 2", BD45, BJ45="Intermediate 1", BD45, BJ45="Advanced 2", (IF((BD45+(($D45-$C45)/2))&gt;$D45, $C45, (BD45+(($D45-$C45)/2)))), BJ45="Advanced 1", (IF((BD45+(($D45-$C45)/2))&gt;$D45, $C45, (BD45+(($D45-$C45)/2)))))), (NOT((AND(BG45=TRUE, BH45="Yes")))), BD45)</f>
        <v>---</v>
      </c>
      <c r="BM45" s="46" t="str">
        <f t="shared" ref="BM45:BM46" si="397">IFS((AND(BG45=TRUE, BH45="Yes")), (IFS(ISBLANK(BJ45), BE45, BJ45="Novice 1", BE45, BJ45="Novice 2", BE45, BJ45="Novice 3", BE45, BJ45="Intermediate 2", (IF((BE45+(($F45-$E45)/2))&gt;$F45, $E45, (BE45+(($F45-$E45)/2)))), BJ45="Intermediate 1", (IF((BE45-(($F45-$E45)/2))&lt;$E45, $F45, (BE45-(($F45-$E45)/2)))), BJ45="Advanced 2", (IF((((($D45-$C45)/2))+BD45)&gt;$D45, (IF((BE45+(($F45-$E45)/2))&gt;$F45, $E45, (BE45+(($F45-$E45)/2)))), BE45)), BJ45="Advanced 1", (IF((((($D45-$C45)/2))+BD45)&gt;$D45, (IF((BE45-(($F45-$E45)/2))&lt;$E45, $F45, (BE45-(($F45-$E45)/2)))), BE45)))), (NOT((AND(BG45=TRUE, BH45="Yes")))), BE45)</f>
        <v>---</v>
      </c>
      <c r="BN45" s="40" t="str">
        <f>IFERROR(__xludf.DUMMYFUNCTION("IFS((AND(BG45=TRUE, BH45=""Yes"")), (IFS(ISBLANK(BJ45), BF45, BJ45=""Novice 1"", CEILING((BF45*1.05), $H45), BJ45=""Novice 2"", CEILING((BF45*1.025), $H45), BJ45=""Novice 3"", BF45+$H45, BJ45=""Intermediate 2"", (IF((ISBETWEEN(((((AY45-AX45)/2))+BE45), AX"&amp;"45, AY45)), BF45, BF45+$H45)), BJ45=""Intermediate 1"", (IF((ISBETWEEN((BE45-((AY45-AX45)/2)), AX45, AY45)), BF45+$H45, (FLOOR((BF45*0.9875), $H45)))), BJ45=""Advanced 2"", (IF(AND(((BD45+((AW45-AV45)/2))&gt;AW45), ((BE45+((AY45-AX45)/2))&gt;AY45)), BF45+$H45, "&amp;"(BF45))), BJ45=""Advanced 1"", (IFS(BM45&lt;BE45, BF45+$H45, BM45=BE45, (BF45), BM45&gt;BE45, (FLOOR((BF45*0.9875), $H45)))))), (AND(AY45=TRUE, AZ45=""No"", BG45=TRUE, BH45=""No"")), (FLOOR((BF45*0.9), $H45)), (NOT((AND(BG45=TRUE, BH45=""Yes"")))), BF45)"),"---")</f>
        <v>---</v>
      </c>
      <c r="BO45" s="41" t="b">
        <v>0</v>
      </c>
      <c r="BP45" s="47"/>
      <c r="BQ45" s="47"/>
      <c r="BR45" s="47" t="str">
        <f t="shared" ref="BR45:BR46" si="398">IF((AND(BG45=TRUE, BH45="No", BO45=TRUE, BP45="No")), (IFS(ISBLANK(BJ45), BJ45, BJ45="Novice 1", "Novice 2", BJ45="Novice 2", "Novice 3", BJ45="Novice 3", "Intermediate 1", BJ45="Intermediate 1", "Intermediate 2", BJ45="Intermediate 2", "Advanced 1", BJ45="Advanced 1", "Advanced 2", BJ45="Advanced 2", "Advanced 2")), BJ45)</f>
        <v/>
      </c>
      <c r="BS45" s="60"/>
      <c r="BT45" s="48" t="str">
        <f t="shared" ref="BT45:BT46" si="399">IFS((AND(BO45=TRUE, BP45="Yes")), (ifs(ISBLANK(BR45), BL45, BR45="Novice 1", BL45, BR45="Novice 2", BL45, BR45="Novice 3", BL45, BR45="Intermediate 2", BL45, BR45="Intermediate 1", BL45, BR45="Advanced 2", (IF((BL45+(($D45-$C45)/2))&gt;$D45, $C45, (BL45+(($D45-$C45)/2)))), BR45="Advanced 1", (IF((BL45+(($D45-$C45)/2))&gt;$D45, $C45, (BL45+(($D45-$C45)/2)))))), (NOT((AND(BO45=TRUE, BP45="Yes")))), BL45)</f>
        <v>---</v>
      </c>
      <c r="BU45" s="49" t="str">
        <f t="shared" ref="BU45:BU46" si="400">IFS((AND(BO45=TRUE, BP45="Yes")), (IFS(ISBLANK(BR45), BM45, BR45="Novice 1", BM45, BR45="Novice 2", BM45, BR45="Novice 3", BM45, BR45="Intermediate 2", (IF((BM45+(($F45-$E45)/2))&gt;$F45, $E45, (BM45+(($F45-$E45)/2)))), BR45="Intermediate 1", (IF((BM45-(($F45-$E45)/2))&lt;$E45, $F45, (BM45-(($F45-$E45)/2)))), BR45="Advanced 2", (IF((((($D45-$C45)/2))+BL45)&gt;$D45, (IF((BM45+(($F45-$E45)/2))&gt;$F45, $E45, (BM45+(($F45-$E45)/2)))), BM45)), BR45="Advanced 1", (IF((((($D45-$C45)/2))+BL45)&gt;$D45, (IF((BM45-(($F45-$E45)/2))&lt;$E45, $F45, (BM45-(($F45-$E45)/2)))), BM45)))), (NOT((AND(BO45=TRUE, BP45="Yes")))), BM45)</f>
        <v>---</v>
      </c>
      <c r="BV45" s="50" t="str">
        <f>IFERROR(__xludf.DUMMYFUNCTION("IFS((AND(BO45=TRUE, BP45=""Yes"")), (IFS(ISBLANK(BR45), BN45, BR45=""Novice 1"", CEILING((BN45*1.05), $H45), BR45=""Novice 2"", CEILING((BN45*1.025), $H45), BR45=""Novice 3"", BN45+$H45, BR45=""Intermediate 2"", (IF((ISBETWEEN(((((BG45-BF45)/2))+BM45), BF"&amp;"45, BG45)), BN45, BN45+$H45)), BR45=""Intermediate 1"", (IF((ISBETWEEN((BM45-((BG45-BF45)/2)), BF45, BG45)), BN45+$H45, (FLOOR((BN45*0.9875), $H45)))), BR45=""Advanced 2"", (IF(AND(((BL45+((BE45-BD45)/2))&gt;BE45), ((BM45+((BG45-BF45)/2))&gt;BG45)), BN45+$H45, "&amp;"(BN45))), BR45=""Advanced 1"", (IFS(BU45&lt;BM45, BN45+$H45, BU45=BM45, (BN45), BU45&gt;BM45, (FLOOR((BN45*0.9875), $H45)))))), (AND(BG45=TRUE, BH45=""No"", BO45=TRUE, BP45=""No"")), (FLOOR((BN45*0.9), $H45)), (NOT((AND(BO45=TRUE, BP45=""Yes"")))), BN45)"),"---")</f>
        <v>---</v>
      </c>
      <c r="BW45" s="51" t="b">
        <v>0</v>
      </c>
      <c r="BX45" s="52"/>
      <c r="BY45" s="52"/>
      <c r="BZ45" s="52" t="str">
        <f t="shared" ref="BZ45:BZ46" si="401">IF((AND(BO45=TRUE, BP45="No", BW45=TRUE, BX45="No")), (IFS(ISBLANK(BR45), BR45, BR45="Novice 1", "Novice 2", BR45="Novice 2", "Novice 3", BR45="Novice 3", "Intermediate 1", BR45="Intermediate 1", "Intermediate 2", BR45="Intermediate 2", "Advanced 1", BR45="Advanced 1", "Advanced 2", BR45="Advanced 2", "Advanced 2")), BR45)</f>
        <v/>
      </c>
      <c r="CA45" s="69"/>
      <c r="CB45" s="53" t="str">
        <f t="shared" ref="CB45:CC45" si="375">IFERROR(BT45/2,BT45)</f>
        <v>---</v>
      </c>
      <c r="CC45" s="53" t="str">
        <f t="shared" si="375"/>
        <v>---</v>
      </c>
      <c r="CD45" s="53" t="str">
        <f t="shared" ref="CD45:CD46" si="403">BV45</f>
        <v>---</v>
      </c>
      <c r="CE45" s="67"/>
      <c r="CF45" s="60"/>
      <c r="CG45" s="39" t="str">
        <f t="shared" ref="CG45:CG46" si="404">IFS((AND(BW45=TRUE, BX45="Yes")), (ifs(ISBLANK(BZ45), BT45, BZ45="Novice 1", BT45, BZ45="Novice 2", BT45, BZ45="Novice 3", BT45, BZ45="Intermediate 2", BT45, BZ45="Intermediate 1", BT45, BZ45="Advanced 2", (IF((BT45+(($D45-$C45)/2))&gt;$D45, $C45, (BT45+(($D45-$C45)/2)))), BZ45="Advanced 1", (IF((BT45+(($D45-$C45)/2))&gt;$D45, $C45, (BT45+(($D45-$C45)/2)))))), (NOT((AND(BW45=TRUE, BX45="Yes")))), BT45)</f>
        <v>---</v>
      </c>
      <c r="CH45" s="46" t="str">
        <f t="shared" ref="CH45:CH46" si="405">IFS((AND(BW45=TRUE, BX45="Yes")), (IFS(ISBLANK(BZ45), BU45, BZ45="Novice 1", BU45, BZ45="Novice 2", BU45, BZ45="Novice 3", BU45, BZ45="Intermediate 2", (IF((BU45+(($F45-$E45)/2))&gt;$F45, $E45, (BU45+(($F45-$E45)/2)))), BZ45="Intermediate 1", (IF((BU45-(($F45-$E45)/2))&lt;$E45, $F45, (BU45-(($F45-$E45)/2)))), BZ45="Advanced 2", (IF((((($D45-$C45)/2))+BT45)&gt;$D45, (IF((BU45+(($F45-$E45)/2))&gt;$F45, $E45, (BU45+(($F45-$E45)/2)))), BU45)), BZ45="Advanced 1", (IF((((($D45-$C45)/2))+BT45)&gt;$D45, (IF((BU45-(($F45-$E45)/2))&lt;$E45, $F45, (BU45-(($F45-$E45)/2)))), BU45)))), (NOT((AND(BW45=TRUE, BX45="Yes")))), BU45)</f>
        <v>---</v>
      </c>
      <c r="CI45" s="40" t="str">
        <f>IFERROR(__xludf.DUMMYFUNCTION("IFS((AND(BW45=TRUE, BX45=""Yes"")), (IFS(ISBLANK(BZ45), BV45, BZ45=""Novice 1"", CEILING((BV45*1.05), $H45), BZ45=""Novice 2"", CEILING((BV45*1.025), $H45), BZ45=""Novice 3"", BV45+$H45, BZ45=""Intermediate 2"", (IF((ISBETWEEN(((((BO45-BN45)/2))+BU45), BN"&amp;"45, BO45)), BV45, BV45+$H45)), BZ45=""Intermediate 1"", (IF((ISBETWEEN((BU45-((BO45-BN45)/2)), BN45, BO45)), BV45+$H45, (FLOOR((BV45*0.9875), $H45)))), BZ45=""Advanced 2"", (IF(AND(((BT45+((BM45-BL45)/2))&gt;BM45), ((BU45+((BO45-BN45)/2))&gt;BO45)), BV45+$H45, "&amp;"(BV45))), BZ45=""Advanced 1"", (IFS(CH45&lt;BU45, BV45+$H45, CH45=BU45, (BV45), CH45&gt;BU45, (FLOOR((BV45*0.9875), $H45)))))), (AND(BO45=TRUE, BP45=""No"", BW45=TRUE, BX45=""No"")), (FLOOR((BV45*0.9), $H45)), (NOT((AND(BW45=TRUE, BX45=""Yes"")))), BV45)"),"---")</f>
        <v>---</v>
      </c>
      <c r="CJ45" s="41" t="b">
        <v>0</v>
      </c>
      <c r="CK45" s="47"/>
      <c r="CL45" s="47"/>
      <c r="CM45" s="47" t="str">
        <f t="shared" ref="CM45:CM46" si="406">IF((AND(BW45=TRUE, BX45="No", CJ45=TRUE, CK45="No")), (IFS(ISBLANK(BZ45), BZ45, BZ45="Novice 1", "Novice 2", BZ45="Novice 2", "Novice 3", BZ45="Novice 3", "Intermediate 1", BZ45="Intermediate 1", "Intermediate 2", BZ45="Intermediate 2", "Advanced 1", BZ45="Advanced 1", "Advanced 2", BZ45="Advanced 2", "Advanced 2")), BZ45)</f>
        <v/>
      </c>
      <c r="CN45" s="60"/>
      <c r="CO45" s="39" t="str">
        <f t="shared" ref="CO45:CO46" si="407">IFS((AND(CJ45=TRUE, CK45="Yes")), (ifs(ISBLANK(CM45), CG45, CM45="Novice 1", CG45, CM45="Novice 2", CG45, CM45="Novice 3", CG45, CM45="Intermediate 2", CG45, CM45="Intermediate 1", CG45, CM45="Advanced 2", (IF((CG45+(($D45-$C45)/2))&gt;$D45, $C45, (CG45+(($D45-$C45)/2)))), CM45="Advanced 1", (IF((CG45+(($D45-$C45)/2))&gt;$D45, $C45, (CG45+(($D45-$C45)/2)))))), (NOT((AND(CJ45=TRUE, CK45="Yes")))), CG45)</f>
        <v>---</v>
      </c>
      <c r="CP45" s="46" t="str">
        <f t="shared" ref="CP45:CP46" si="408">IFS((AND(CJ45=TRUE, CK45="Yes")), (IFS(ISBLANK(CM45), CH45, CM45="Novice 1", CH45, CM45="Novice 2", CH45, CM45="Novice 3", CH45, CM45="Intermediate 2", (IF((CH45+(($F45-$E45)/2))&gt;$F45, $E45, (CH45+(($F45-$E45)/2)))), CM45="Intermediate 1", (IF((CH45-(($F45-$E45)/2))&lt;$E45, $F45, (CH45-(($F45-$E45)/2)))), CM45="Advanced 2", (IF((((($D45-$C45)/2))+CG45)&gt;$D45, (IF((CH45+(($F45-$E45)/2))&gt;$F45, $E45, (CH45+(($F45-$E45)/2)))), CH45)), CM45="Advanced 1", (IF((((($D45-$C45)/2))+CG45)&gt;$D45, (IF((CH45-(($F45-$E45)/2))&lt;$E45, $F45, (CH45-(($F45-$E45)/2)))), CH45)))), (NOT((AND(CJ45=TRUE, CK45="Yes")))), CH45)</f>
        <v>---</v>
      </c>
      <c r="CQ45" s="40" t="str">
        <f>IFERROR(__xludf.DUMMYFUNCTION("IFS((AND(CJ45=TRUE, CK45=""Yes"")), (IFS(ISBLANK(CM45), CI45, CM45=""Novice 1"", CEILING((CI45*1.05), $H45), CM45=""Novice 2"", CEILING((CI45*1.025), $H45), CM45=""Novice 3"", CI45+$H45, CM45=""Intermediate 2"", (IF((ISBETWEEN(((((BW45-BV45)/2))+CH45), BV"&amp;"45, BW45)), CI45, CI45+$H45)), CM45=""Intermediate 1"", (IF((ISBETWEEN((CH45-((BW45-BV45)/2)), BV45, BW45)), CI45+$H45, (FLOOR((CI45*0.9875), $H45)))), CM45=""Advanced 2"", (IF(AND(((CG45+((BU45-BT45)/2))&gt;BU45), ((CH45+((BW45-BV45)/2))&gt;BW45)), CI45+$H45, "&amp;"(CI45))), CM45=""Advanced 1"", (IFS(CP45&lt;CH45, CI45+$H45, CP45=CH45, (CI45), CP45&gt;CH45, (FLOOR((CI45*0.9875), $H45)))))), (AND(BW45=TRUE, BX45=""No"", CJ45=TRUE, CK45=""No"")), (FLOOR((CI45*0.9), $H45)), (NOT((AND(CJ45=TRUE, CK45=""Yes"")))), CI45)"),"---")</f>
        <v>---</v>
      </c>
      <c r="CR45" s="41" t="b">
        <v>0</v>
      </c>
      <c r="CS45" s="47"/>
      <c r="CT45" s="47"/>
      <c r="CU45" s="47" t="str">
        <f t="shared" ref="CU45:CU46" si="409">IF((AND(CJ45=TRUE, CK45="No", CR45=TRUE, CS45="No")), (IFS(ISBLANK(CM45), CM45, CM45="Novice 1", "Novice 2", CM45="Novice 2", "Novice 3", CM45="Novice 3", "Intermediate 1", CM45="Intermediate 1", "Intermediate 2", CM45="Intermediate 2", "Advanced 1", CM45="Advanced 1", "Advanced 2", CM45="Advanced 2", "Advanced 2")), CM45)</f>
        <v/>
      </c>
      <c r="CV45" s="60"/>
      <c r="CW45" s="39" t="str">
        <f t="shared" ref="CW45:CW46" si="410">IFS((AND(CR45=TRUE, CS45="Yes")), (ifs(ISBLANK(CU45), CO45, CU45="Novice 1", CO45, CU45="Novice 2", CO45, CU45="Novice 3", CO45, CU45="Intermediate 2", CO45, CU45="Intermediate 1", CO45, CU45="Advanced 2", (IF((CO45+(($D45-$C45)/2))&gt;$D45, $C45, (CO45+(($D45-$C45)/2)))), CU45="Advanced 1", (IF((CO45+(($D45-$C45)/2))&gt;$D45, $C45, (CO45+(($D45-$C45)/2)))))), (NOT((AND(CR45=TRUE, CS45="Yes")))), CO45)</f>
        <v>---</v>
      </c>
      <c r="CX45" s="46" t="str">
        <f t="shared" ref="CX45:CX46" si="411">IFS((AND(CR45=TRUE, CS45="Yes")), (IFS(ISBLANK(CU45), CP45, CU45="Novice 1", CP45, CU45="Novice 2", CP45, CU45="Novice 3", CP45, CU45="Intermediate 2", (IF((CP45+(($F45-$E45)/2))&gt;$F45, $E45, (CP45+(($F45-$E45)/2)))), CU45="Intermediate 1", (IF((CP45-(($F45-$E45)/2))&lt;$E45, $F45, (CP45-(($F45-$E45)/2)))), CU45="Advanced 2", (IF((((($D45-$C45)/2))+CO45)&gt;$D45, (IF((CP45+(($F45-$E45)/2))&gt;$F45, $E45, (CP45+(($F45-$E45)/2)))), CP45)), CU45="Advanced 1", (IF((((($D45-$C45)/2))+CO45)&gt;$D45, (IF((CP45-(($F45-$E45)/2))&lt;$E45, $F45, (CP45-(($F45-$E45)/2)))), CP45)))), (NOT((AND(CR45=TRUE, CS45="Yes")))), CP45)</f>
        <v>---</v>
      </c>
      <c r="CY45" s="40" t="str">
        <f>IFERROR(__xludf.DUMMYFUNCTION("IFS((AND(CR45=TRUE, CS45=""Yes"")), (IFS(ISBLANK(CU45), CQ45, CU45=""Novice 1"", CEILING((CQ45*1.05), $H45), CU45=""Novice 2"", CEILING((CQ45*1.025), $H45), CU45=""Novice 3"", CQ45+$H45, CU45=""Intermediate 2"", (IF((ISBETWEEN(((((CJ45-CI45)/2))+CP45), CI"&amp;"45, CJ45)), CQ45, CQ45+$H45)), CU45=""Intermediate 1"", (IF((ISBETWEEN((CP45-((CJ45-CI45)/2)), CI45, CJ45)), CQ45+$H45, (FLOOR((CQ45*0.9875), $H45)))), CU45=""Advanced 2"", (IF(AND(((CO45+((CH45-CG45)/2))&gt;CH45), ((CP45+((CJ45-CI45)/2))&gt;CJ45)), CQ45+$H45, "&amp;"(CQ45))), CU45=""Advanced 1"", (IFS(CX45&lt;CP45, CQ45+$H45, CX45=CP45, (CQ45), CX45&gt;CP45, (FLOOR((CQ45*0.9875), $H45)))))), (AND(CJ45=TRUE, CK45=""No"", CR45=TRUE, CS45=""No"")), (FLOOR((CQ45*0.9), $H45)), (NOT((AND(CR45=TRUE, CS45=""Yes"")))), CQ45)"),"---")</f>
        <v>---</v>
      </c>
      <c r="CZ45" s="41" t="b">
        <v>0</v>
      </c>
      <c r="DA45" s="47"/>
      <c r="DB45" s="47"/>
      <c r="DC45" s="47" t="str">
        <f t="shared" ref="DC45:DC46" si="412">IF((AND(CR45=TRUE, CS45="No", CZ45=TRUE, DA45="No")), (IFS(ISBLANK(CU45), CU45, CU45="Novice 1", "Novice 2", CU45="Novice 2", "Novice 3", CU45="Novice 3", "Intermediate 1", CU45="Intermediate 1", "Intermediate 2", CU45="Intermediate 2", "Advanced 1", CU45="Advanced 1", "Advanced 2", CU45="Advanced 2", "Advanced 2")), CU45)</f>
        <v/>
      </c>
      <c r="DD45" s="60"/>
      <c r="DE45" s="48" t="str">
        <f t="shared" ref="DE45:DE46" si="413">IFS((AND(CZ45=TRUE, DA45="Yes")), (ifs(ISBLANK(DC45), CW45, DC45="Novice 1", CW45, DC45="Novice 2", CW45, DC45="Novice 3", CW45, DC45="Intermediate 2", CW45, DC45="Intermediate 1", CW45, DC45="Advanced 2", (IF((CW45+(($D45-$C45)/2))&gt;$D45, $C45, (CW45+(($D45-$C45)/2)))), DC45="Advanced 1", (IF((CW45+(($D45-$C45)/2))&gt;$D45, $C45, (CW45+(($D45-$C45)/2)))))), (NOT((AND(CZ45=TRUE, DA45="Yes")))), CW45)</f>
        <v>---</v>
      </c>
      <c r="DF45" s="49" t="str">
        <f t="shared" ref="DF45:DF46" si="414">IFS((AND(CZ45=TRUE, DA45="Yes")), (IFS(ISBLANK(DC45), CX45, DC45="Novice 1", CX45, DC45="Novice 2", CX45, DC45="Novice 3", CX45, DC45="Intermediate 2", (IF((CX45+(($F45-$E45)/2))&gt;$F45, $E45, (CX45+(($F45-$E45)/2)))), DC45="Intermediate 1", (IF((CX45-(($F45-$E45)/2))&lt;$E45, $F45, (CX45-(($F45-$E45)/2)))), DC45="Advanced 2", (IF((((($D45-$C45)/2))+CW45)&gt;$D45, (IF((CX45+(($F45-$E45)/2))&gt;$F45, $E45, (CX45+(($F45-$E45)/2)))), CX45)), DC45="Advanced 1", (IF((((($D45-$C45)/2))+CW45)&gt;$D45, (IF((CX45-(($F45-$E45)/2))&lt;$E45, $F45, (CX45-(($F45-$E45)/2)))), CX45)))), (NOT((AND(CZ45=TRUE, DA45="Yes")))), CX45)</f>
        <v>---</v>
      </c>
      <c r="DG45" s="50" t="str">
        <f>IFERROR(__xludf.DUMMYFUNCTION("IFS((AND(CZ45=TRUE, DA45=""Yes"")), (IFS(ISBLANK(DC45), CY45, DC45=""Novice 1"", CEILING((CY45*1.05), $H45), DC45=""Novice 2"", CEILING((CY45*1.025), $H45), DC45=""Novice 3"", CY45+$H45, DC45=""Intermediate 2"", (IF((ISBETWEEN(((((CR45-CQ45)/2))+CX45), CQ"&amp;"45, CR45)), CY45, CY45+$H45)), DC45=""Intermediate 1"", (IF((ISBETWEEN((CX45-((CR45-CQ45)/2)), CQ45, CR45)), CY45+$H45, (FLOOR((CY45*0.9875), $H45)))), DC45=""Advanced 2"", (IF(AND(((CW45+((CP45-CO45)/2))&gt;CP45), ((CX45+((CR45-CQ45)/2))&gt;CR45)), CY45+$H45, "&amp;"(CY45))), DC45=""Advanced 1"", (IFS(DF45&lt;CX45, CY45+$H45, DF45=CX45, (CY45), DF45&gt;CX45, (FLOOR((CY45*0.9875), $H45)))))), (AND(CR45=TRUE, CS45=""No"", CZ45=TRUE, DA45=""No"")), (FLOOR((CY45*0.9), $H45)), (NOT((AND(CZ45=TRUE, DA45=""Yes"")))), CY45)"),"---")</f>
        <v>---</v>
      </c>
      <c r="DH45" s="51" t="b">
        <v>0</v>
      </c>
      <c r="DI45" s="52"/>
      <c r="DJ45" s="52"/>
      <c r="DK45" s="52" t="str">
        <f t="shared" ref="DK45:DK46" si="415">IF((AND(CZ45=TRUE, DA45="No", DH45=TRUE, DI45="No")), (IFS(ISBLANK(DC45), DC45, DC45="Novice 1", "Novice 2", DC45="Novice 2", "Novice 3", DC45="Novice 3", "Intermediate 1", DC45="Intermediate 1", "Intermediate 2", DC45="Intermediate 2", "Advanced 1", DC45="Advanced 1", "Advanced 2", DC45="Advanced 2", "Advanced 2")), DC45)</f>
        <v/>
      </c>
      <c r="DL45" s="69"/>
      <c r="DM45" s="53" t="str">
        <f t="shared" ref="DM45:DN45" si="376">IFERROR(DE45/2,DE45)</f>
        <v>---</v>
      </c>
      <c r="DN45" s="53" t="str">
        <f t="shared" si="376"/>
        <v>---</v>
      </c>
      <c r="DO45" s="53" t="str">
        <f t="shared" ref="DO45:DO46" si="417">DG45</f>
        <v>---</v>
      </c>
      <c r="DP45" s="67"/>
      <c r="DQ45" s="60"/>
      <c r="DR45" s="39" t="str">
        <f t="shared" ref="DR45:DR46" si="418">IFS((AND(DH45=TRUE, DI45="Yes")), (ifs(ISBLANK(DK45), DE45, DK45="Novice 1", DE45, DK45="Novice 2", DE45, DK45="Novice 3", DE45, DK45="Intermediate 2", DE45, DK45="Intermediate 1", DE45, DK45="Advanced 2", (IF((DE45+(($D45-$C45)/2))&gt;$D45, $C45, (DE45+(($D45-$C45)/2)))), DK45="Advanced 1", (IF((DE45+(($D45-$C45)/2))&gt;$D45, $C45, (DE45+(($D45-$C45)/2)))))), (NOT((AND(DH45=TRUE, DI45="Yes")))), DE45)</f>
        <v>---</v>
      </c>
      <c r="DS45" s="46" t="str">
        <f t="shared" ref="DS45:DS46" si="419">IFS((AND(DH45=TRUE, DI45="Yes")), (IFS(ISBLANK(DK45), DF45, DK45="Novice 1", DF45, DK45="Novice 2", DF45, DK45="Novice 3", DF45, DK45="Intermediate 2", (IF((DF45+(($F45-$E45)/2))&gt;$F45, $E45, (DF45+(($F45-$E45)/2)))), DK45="Intermediate 1", (IF((DF45-(($F45-$E45)/2))&lt;$E45, $F45, (DF45-(($F45-$E45)/2)))), DK45="Advanced 2", (IF((((($D45-$C45)/2))+DE45)&gt;$D45, (IF((DF45+(($F45-$E45)/2))&gt;$F45, $E45, (DF45+(($F45-$E45)/2)))), DF45)), DK45="Advanced 1", (IF((((($D45-$C45)/2))+DE45)&gt;$D45, (IF((DF45-(($F45-$E45)/2))&lt;$E45, $F45, (DF45-(($F45-$E45)/2)))), DF45)))), (NOT((AND(DH45=TRUE, DI45="Yes")))), DF45)</f>
        <v>---</v>
      </c>
      <c r="DT45" s="40" t="str">
        <f>IFERROR(__xludf.DUMMYFUNCTION("IFS((AND(DH45=TRUE, DI45=""Yes"")), (IFS(ISBLANK(DK45), DG45, DK45=""Novice 1"", CEILING((DG45*1.05), $H45), DK45=""Novice 2"", CEILING((DG45*1.025), $H45), DK45=""Novice 3"", DG45+$H45, DK45=""Intermediate 2"", (IF((ISBETWEEN(((((CZ45-CY45)/2))+DF45), CY"&amp;"45, CZ45)), DG45, DG45+$H45)), DK45=""Intermediate 1"", (IF((ISBETWEEN((DF45-((CZ45-CY45)/2)), CY45, CZ45)), DG45+$H45, (FLOOR((DG45*0.9875), $H45)))), DK45=""Advanced 2"", (IF(AND(((DE45+((CX45-CW45)/2))&gt;CX45), ((DF45+((CZ45-CY45)/2))&gt;CZ45)), DG45+$H45, "&amp;"(DG45))), DK45=""Advanced 1"", (IFS(DS45&lt;DF45, DG45+$H45, DS45=DF45, (DG45), DS45&gt;DF45, (FLOOR((DG45*0.9875), $H45)))))), (AND(CZ45=TRUE, DA45=""No"", DH45=TRUE, DI45=""No"")), (FLOOR((DG45*0.9), $H45)), (NOT((AND(DH45=TRUE, DI45=""Yes"")))), DG45)"),"---")</f>
        <v>---</v>
      </c>
      <c r="DU45" s="41" t="b">
        <v>0</v>
      </c>
      <c r="DV45" s="47"/>
      <c r="DW45" s="47"/>
      <c r="DX45" s="47" t="str">
        <f t="shared" ref="DX45:DX46" si="420">IF((AND(DH45=TRUE, DI45="No", DU45=TRUE, DV45="No")), (IFS(ISBLANK(DK45), DK45, DK45="Novice 1", "Novice 2", DK45="Novice 2", "Novice 3", DK45="Novice 3", "Intermediate 1", DK45="Intermediate 1", "Intermediate 2", DK45="Intermediate 2", "Advanced 1", DK45="Advanced 1", "Advanced 2", DK45="Advanced 2", "Advanced 2")), DK45)</f>
        <v/>
      </c>
      <c r="DY45" s="60"/>
      <c r="DZ45" s="39" t="str">
        <f t="shared" ref="DZ45:DZ46" si="421">IFS((AND(DU45=TRUE, DV45="Yes")), (ifs(ISBLANK(DX45), DR45, DX45="Novice 1", DR45, DX45="Novice 2", DR45, DX45="Novice 3", DR45, DX45="Intermediate 2", DR45, DX45="Intermediate 1", DR45, DX45="Advanced 2", (IF((DR45+(($D45-$C45)/2))&gt;$D45, $C45, (DR45+(($D45-$C45)/2)))), DX45="Advanced 1", (IF((DR45+(($D45-$C45)/2))&gt;$D45, $C45, (DR45+(($D45-$C45)/2)))))), (NOT((AND(DU45=TRUE, DV45="Yes")))), DR45)</f>
        <v>---</v>
      </c>
      <c r="EA45" s="46" t="str">
        <f t="shared" ref="EA45:EA46" si="422">IFS((AND(DU45=TRUE, DV45="Yes")), (IFS(ISBLANK(DX45), DS45, DX45="Novice 1", DS45, DX45="Novice 2", DS45, DX45="Novice 3", DS45, DX45="Intermediate 2", (IF((DS45+(($F45-$E45)/2))&gt;$F45, $E45, (DS45+(($F45-$E45)/2)))), DX45="Intermediate 1", (IF((DS45-(($F45-$E45)/2))&lt;$E45, $F45, (DS45-(($F45-$E45)/2)))), DX45="Advanced 2", (IF((((($D45-$C45)/2))+DR45)&gt;$D45, (IF((DS45+(($F45-$E45)/2))&gt;$F45, $E45, (DS45+(($F45-$E45)/2)))), DS45)), DX45="Advanced 1", (IF((((($D45-$C45)/2))+DR45)&gt;$D45, (IF((DS45-(($F45-$E45)/2))&lt;$E45, $F45, (DS45-(($F45-$E45)/2)))), DS45)))), (NOT((AND(DU45=TRUE, DV45="Yes")))), DS45)</f>
        <v>---</v>
      </c>
      <c r="EB45" s="40" t="str">
        <f>IFERROR(__xludf.DUMMYFUNCTION("IFS((AND(DU45=TRUE, DV45=""Yes"")), (IFS(ISBLANK(DX45), DT45, DX45=""Novice 1"", CEILING((DT45*1.05), $H45), DX45=""Novice 2"", CEILING((DT45*1.025), $H45), DX45=""Novice 3"", DT45+$H45, DX45=""Intermediate 2"", (IF((ISBETWEEN(((((DH45-DG45)/2))+DS45), DG"&amp;"45, DH45)), DT45, DT45+$H45)), DX45=""Intermediate 1"", (IF((ISBETWEEN((DS45-((DH45-DG45)/2)), DG45, DH45)), DT45+$H45, (FLOOR((DT45*0.9875), $H45)))), DX45=""Advanced 2"", (IF(AND(((DR45+((DF45-DE45)/2))&gt;DF45), ((DS45+((DH45-DG45)/2))&gt;DH45)), DT45+$H45, "&amp;"(DT45))), DX45=""Advanced 1"", (IFS(EA45&lt;DS45, DT45+$H45, EA45=DS45, (DT45), EA45&gt;DS45, (FLOOR((DT45*0.9875), $H45)))))), (AND(DH45=TRUE, DI45=""No"", DU45=TRUE, DV45=""No"")), (FLOOR((DT45*0.9), $H45)), (NOT((AND(DU45=TRUE, DV45=""Yes"")))), DT45)"),"---")</f>
        <v>---</v>
      </c>
      <c r="EC45" s="41" t="b">
        <v>0</v>
      </c>
      <c r="ED45" s="47"/>
      <c r="EE45" s="47"/>
      <c r="EF45" s="47" t="str">
        <f t="shared" ref="EF45:EF46" si="423">IF((AND(DU45=TRUE, DV45="No", EC45=TRUE, ED45="No")), (IFS(ISBLANK(DX45), DX45, DX45="Novice 1", "Novice 2", DX45="Novice 2", "Novice 3", DX45="Novice 3", "Intermediate 1", DX45="Intermediate 1", "Intermediate 2", DX45="Intermediate 2", "Advanced 1", DX45="Advanced 1", "Advanced 2", DX45="Advanced 2", "Advanced 2")), DX45)</f>
        <v/>
      </c>
      <c r="EG45" s="60"/>
      <c r="EH45" s="39" t="str">
        <f t="shared" ref="EH45:EH46" si="424">IFS((AND(EC45=TRUE, ED45="Yes")), (ifs(ISBLANK(EF45), DZ45, EF45="Novice 1", DZ45, EF45="Novice 2", DZ45, EF45="Novice 3", DZ45, EF45="Intermediate 2", DZ45, EF45="Intermediate 1", DZ45, EF45="Advanced 2", (IF((DZ45+(($D45-$C45)/2))&gt;$D45, $C45, (DZ45+(($D45-$C45)/2)))), EF45="Advanced 1", (IF((DZ45+(($D45-$C45)/2))&gt;$D45, $C45, (DZ45+(($D45-$C45)/2)))))), (NOT((AND(EC45=TRUE, ED45="Yes")))), DZ45)</f>
        <v>---</v>
      </c>
      <c r="EI45" s="46" t="str">
        <f t="shared" ref="EI45:EI46" si="425">IFS((AND(EC45=TRUE, ED45="Yes")), (IFS(ISBLANK(EF45), EA45, EF45="Novice 1", EA45, EF45="Novice 2", EA45, EF45="Novice 3", EA45, EF45="Intermediate 2", (IF((EA45+(($F45-$E45)/2))&gt;$F45, $E45, (EA45+(($F45-$E45)/2)))), EF45="Intermediate 1", (IF((EA45-(($F45-$E45)/2))&lt;$E45, $F45, (EA45-(($F45-$E45)/2)))), EF45="Advanced 2", (IF((((($D45-$C45)/2))+DZ45)&gt;$D45, (IF((EA45+(($F45-$E45)/2))&gt;$F45, $E45, (EA45+(($F45-$E45)/2)))), EA45)), EF45="Advanced 1", (IF((((($D45-$C45)/2))+DZ45)&gt;$D45, (IF((EA45-(($F45-$E45)/2))&lt;$E45, $F45, (EA45-(($F45-$E45)/2)))), EA45)))), (NOT((AND(EC45=TRUE, ED45="Yes")))), EA45)</f>
        <v>---</v>
      </c>
      <c r="EJ45" s="40" t="str">
        <f>IFERROR(__xludf.DUMMYFUNCTION("IFS((AND(EC45=TRUE, ED45=""Yes"")), (IFS(ISBLANK(EF45), EB45, EF45=""Novice 1"", CEILING((EB45*1.05), $H45), EF45=""Novice 2"", CEILING((EB45*1.025), $H45), EF45=""Novice 3"", EB45+$H45, EF45=""Intermediate 2"", (IF((ISBETWEEN(((((DU45-DT45)/2))+EA45), DT"&amp;"45, DU45)), EB45, EB45+$H45)), EF45=""Intermediate 1"", (IF((ISBETWEEN((EA45-((DU45-DT45)/2)), DT45, DU45)), EB45+$H45, (FLOOR((EB45*0.9875), $H45)))), EF45=""Advanced 2"", (IF(AND(((DZ45+((DS45-DR45)/2))&gt;DS45), ((EA45+((DU45-DT45)/2))&gt;DU45)), EB45+$H45, "&amp;"(EB45))), EF45=""Advanced 1"", (IFS(EI45&lt;EA45, EB45+$H45, EI45=EA45, (EB45), EI45&gt;EA45, (FLOOR((EB45*0.9875), $H45)))))), (AND(DU45=TRUE, DV45=""No"", EC45=TRUE, ED45=""No"")), (FLOOR((EB45*0.9), $H45)), (NOT((AND(EC45=TRUE, ED45=""Yes"")))), EB45)"),"---")</f>
        <v>---</v>
      </c>
      <c r="EK45" s="41" t="b">
        <v>0</v>
      </c>
      <c r="EL45" s="47"/>
      <c r="EM45" s="47"/>
      <c r="EN45" s="47" t="str">
        <f t="shared" ref="EN45:EN46" si="426">IF((AND(EC45=TRUE, ED45="No", EK45=TRUE, EL45="No")), (IFS(ISBLANK(EF45), EF45, EF45="Novice 1", "Novice 2", EF45="Novice 2", "Novice 3", EF45="Novice 3", "Intermediate 1", EF45="Intermediate 1", "Intermediate 2", EF45="Intermediate 2", "Advanced 1", EF45="Advanced 1", "Advanced 2", EF45="Advanced 2", "Advanced 2")), EF45)</f>
        <v/>
      </c>
      <c r="EO45" s="60"/>
      <c r="EP45" s="48" t="str">
        <f t="shared" ref="EP45:EP46" si="427">IFS((AND(EK45=TRUE, EL45="Yes")), (ifs(ISBLANK(EN45), EH45, EN45="Novice 1", EH45, EN45="Novice 2", EH45, EN45="Novice 3", EH45, EN45="Intermediate 2", EH45, EN45="Intermediate 1", EH45, EN45="Advanced 2", (IF((EH45+(($D45-$C45)/2))&gt;$D45, $C45, (EH45+(($D45-$C45)/2)))), EN45="Advanced 1", (IF((EH45+(($D45-$C45)/2))&gt;$D45, $C45, (EH45+(($D45-$C45)/2)))))), (NOT((AND(EK45=TRUE, EL45="Yes")))), EH45)</f>
        <v>---</v>
      </c>
      <c r="EQ45" s="49" t="str">
        <f t="shared" ref="EQ45:EQ46" si="428">IFS((AND(EK45=TRUE, EL45="Yes")), (IFS(ISBLANK(EN45), EI45, EN45="Novice 1", EI45, EN45="Novice 2", EI45, EN45="Novice 3", EI45, EN45="Intermediate 2", (IF((EI45+(($F45-$E45)/2))&gt;$F45, $E45, (EI45+(($F45-$E45)/2)))), EN45="Intermediate 1", (IF((EI45-(($F45-$E45)/2))&lt;$E45, $F45, (EI45-(($F45-$E45)/2)))), EN45="Advanced 2", (IF((((($D45-$C45)/2))+EH45)&gt;$D45, (IF((EI45+(($F45-$E45)/2))&gt;$F45, $E45, (EI45+(($F45-$E45)/2)))), EI45)), EN45="Advanced 1", (IF((((($D45-$C45)/2))+EH45)&gt;$D45, (IF((EI45-(($F45-$E45)/2))&lt;$E45, $F45, (EI45-(($F45-$E45)/2)))), EI45)))), (NOT((AND(EK45=TRUE, EL45="Yes")))), EI45)</f>
        <v>---</v>
      </c>
      <c r="ER45" s="50" t="str">
        <f>IFERROR(__xludf.DUMMYFUNCTION("IFS((AND(EK45=TRUE, EL45=""Yes"")), (IFS(ISBLANK(EN45), EJ45, EN45=""Novice 1"", CEILING((EJ45*1.05), $H45), EN45=""Novice 2"", CEILING((EJ45*1.025), $H45), EN45=""Novice 3"", EJ45+$H45, EN45=""Intermediate 2"", (IF((ISBETWEEN(((((EC45-EB45)/2))+EI45), EB"&amp;"45, EC45)), EJ45, EJ45+$H45)), EN45=""Intermediate 1"", (IF((ISBETWEEN((EI45-((EC45-EB45)/2)), EB45, EC45)), EJ45+$H45, (FLOOR((EJ45*0.9875), $H45)))), EN45=""Advanced 2"", (IF(AND(((EH45+((EA45-DZ45)/2))&gt;EA45), ((EI45+((EC45-EB45)/2))&gt;EC45)), EJ45+$H45, "&amp;"(EJ45))), EN45=""Advanced 1"", (IFS(EQ45&lt;EI45, EJ45+$H45, EQ45=EI45, (EJ45), EQ45&gt;EI45, (FLOOR((EJ45*0.9875), $H45)))))), (AND(EC45=TRUE, ED45=""No"", EK45=TRUE, EL45=""No"")), (FLOOR((EJ45*0.9), $H45)), (NOT((AND(EK45=TRUE, EL45=""Yes"")))), EJ45)"),"---")</f>
        <v>---</v>
      </c>
      <c r="ES45" s="51" t="b">
        <v>0</v>
      </c>
      <c r="ET45" s="52"/>
      <c r="EU45" s="52"/>
      <c r="EV45" s="52" t="str">
        <f t="shared" ref="EV45:EV46" si="429">IF((AND(EK45=TRUE, EL45="No", ES45=TRUE, ET45="No")), (IFS(ISBLANK(EN45), EN45, EN45="Novice 1", "Novice 2", EN45="Novice 2", "Novice 3", EN45="Novice 3", "Intermediate 1", EN45="Intermediate 1", "Intermediate 2", EN45="Intermediate 2", "Advanced 1", EN45="Advanced 1", "Advanced 2", EN45="Advanced 2", "Advanced 2")), EN45)</f>
        <v/>
      </c>
      <c r="EW45" s="69"/>
      <c r="EX45" s="53" t="str">
        <f t="shared" ref="EX45:EY45" si="377">IFERROR(EP45/2,EP45)</f>
        <v>---</v>
      </c>
      <c r="EY45" s="53" t="str">
        <f t="shared" si="377"/>
        <v>---</v>
      </c>
      <c r="EZ45" s="53" t="str">
        <f t="shared" ref="EZ45:EZ46" si="431">ER45</f>
        <v>---</v>
      </c>
      <c r="FA45" s="67"/>
      <c r="FB45" s="86"/>
      <c r="FC45" s="57"/>
    </row>
    <row r="46" outlineLevel="1">
      <c r="A46" s="32" t="s">
        <v>41</v>
      </c>
      <c r="B46" s="14"/>
      <c r="C46" s="82" t="s">
        <v>53</v>
      </c>
      <c r="D46" s="83" t="s">
        <v>53</v>
      </c>
      <c r="E46" s="82" t="s">
        <v>53</v>
      </c>
      <c r="F46" s="83" t="s">
        <v>53</v>
      </c>
      <c r="G46" s="83" t="s">
        <v>53</v>
      </c>
      <c r="H46" s="84"/>
      <c r="I46" s="85"/>
      <c r="J46" s="70"/>
      <c r="K46" s="39" t="str">
        <f t="shared" si="309"/>
        <v>---</v>
      </c>
      <c r="L46" s="40" t="str">
        <f t="shared" si="310"/>
        <v>---</v>
      </c>
      <c r="M46" s="40" t="str">
        <f t="shared" si="311"/>
        <v>---</v>
      </c>
      <c r="N46" s="41" t="b">
        <v>0</v>
      </c>
      <c r="O46" s="42"/>
      <c r="P46" s="43"/>
      <c r="Q46" s="42" t="str">
        <f t="shared" si="378"/>
        <v/>
      </c>
      <c r="R46" s="71"/>
      <c r="S46" s="39" t="str">
        <f t="shared" si="379"/>
        <v>---</v>
      </c>
      <c r="T46" s="46" t="str">
        <f t="shared" si="380"/>
        <v>---</v>
      </c>
      <c r="U46" s="40" t="str">
        <f>IFERROR(__xludf.DUMMYFUNCTION("IFS((AND(N46=TRUE, O46=""Yes"")), (IFS(ISBLANK(Q46), M46, Q46=""Novice 1"", CEILING((M46*1.05), $H46), Q46=""Novice 2"", CEILING((M46*1.025), $H46), Q46=""Novice 3"", M46+$H46, Q46=""Intermediate 2"", (IF((ISBETWEEN(((((F46-E46)/2))+L46), E46, F46)), M46,"&amp;" M46+$H46)), Q46=""Intermediate 1"", (IF((ISBETWEEN((L46-((F46-E46)/2)), E46, F46)), M46+$H46, (FLOOR((M46*0.9875), $H46)))), Q46=""Advanced 2"", (IF(AND(((K46+((D46-C46)/2))&gt;D46), ((L46+((F46-E46)/2))&gt;F46)), M46+$H46, (M46))), Q46=""Advanced 1"", (IFS(T4"&amp;"6&lt;L46, M46+$H46, T46=L46, (M46), T46&gt;L46, (FLOOR((M46*0.9875), $H46)))))), (AND(F46=TRUE, G46=""No"", N46=TRUE, O46=""No"")), (FLOOR((M46*0.9), $H46)), (NOT((AND(N46=TRUE, O46=""Yes"")))), M46)"),"---")</f>
        <v>---</v>
      </c>
      <c r="V46" s="41" t="b">
        <v>0</v>
      </c>
      <c r="W46" s="47"/>
      <c r="X46" s="47"/>
      <c r="Y46" s="47" t="str">
        <f t="shared" si="381"/>
        <v/>
      </c>
      <c r="Z46" s="71"/>
      <c r="AA46" s="39" t="str">
        <f t="shared" si="382"/>
        <v>---</v>
      </c>
      <c r="AB46" s="46" t="str">
        <f t="shared" si="383"/>
        <v>---</v>
      </c>
      <c r="AC46" s="40" t="str">
        <f>IFERROR(__xludf.DUMMYFUNCTION("IFS((AND(V46=TRUE, W46=""Yes"")), (IFS(ISBLANK(Y46), U46, Y46=""Novice 1"", CEILING((U46*1.05), $H46), Y46=""Novice 2"", CEILING((U46*1.025), $H46), Y46=""Novice 3"", U46+$H46, Y46=""Intermediate 2"", (IF((ISBETWEEN(((((N46-M46)/2))+T46), M46, N46)), U46,"&amp;" U46+$H46)), Y46=""Intermediate 1"", (IF((ISBETWEEN((T46-((N46-M46)/2)), M46, N46)), U46+$H46, (FLOOR((U46*0.9875), $H46)))), Y46=""Advanced 2"", (IF(AND(((S46+((L46-K46)/2))&gt;L46), ((T46+((N46-M46)/2))&gt;N46)), U46+$H46, (U46))), Y46=""Advanced 1"", (IFS(AB"&amp;"46&lt;T46, U46+$H46, AB46=T46, (U46), AB46&gt;T46, (FLOOR((U46*0.9875), $H46)))))), (AND(N46=TRUE, O46=""No"", V46=TRUE, W46=""No"")), (FLOOR((U46*0.9), $H46)), (NOT((AND(V46=TRUE, W46=""Yes"")))), U46)"),"---")</f>
        <v>---</v>
      </c>
      <c r="AD46" s="41" t="b">
        <v>0</v>
      </c>
      <c r="AE46" s="47"/>
      <c r="AF46" s="47"/>
      <c r="AG46" s="47" t="str">
        <f t="shared" si="384"/>
        <v/>
      </c>
      <c r="AH46" s="71"/>
      <c r="AI46" s="61" t="str">
        <f t="shared" si="385"/>
        <v>---</v>
      </c>
      <c r="AJ46" s="62" t="str">
        <f t="shared" si="386"/>
        <v>---</v>
      </c>
      <c r="AK46" s="63" t="str">
        <f>IFERROR(__xludf.DUMMYFUNCTION("IFS((AND(AD46=TRUE, AE46=""Yes"")), (IFS(ISBLANK(AG46), AC46, AG46=""Novice 1"", CEILING((AC46*1.05), $H46), AG46=""Novice 2"", CEILING((AC46*1.025), $H46), AG46=""Novice 3"", AC46+$H46, AG46=""Intermediate 2"", (IF((ISBETWEEN(((((V46-U46)/2))+AB46), U46,"&amp;" V46)), AC46, AC46+$H46)), AG46=""Intermediate 1"", (IF((ISBETWEEN((AB46-((V46-U46)/2)), U46, V46)), AC46+$H46, (FLOOR((AC46*0.9875), $H46)))), AG46=""Advanced 2"", (IF(AND(((AA46+((T46-S46)/2))&gt;T46), ((AB46+((V46-U46)/2))&gt;V46)), AC46+$H46, (AC46))), AG46"&amp;"=""Advanced 1"", (IFS(AJ46&lt;AB46, AC46+$H46, AJ46=AB46, (AC46), AJ46&gt;AB46, (FLOOR((AC46*0.9875), $H46)))))), (AND(V46=TRUE, W46=""No"", AD46=TRUE, AE46=""No"")), (FLOOR((AC46*0.9), $H46)), (NOT((AND(AD46=TRUE, AE46=""Yes"")))), AC46)"),"---")</f>
        <v>---</v>
      </c>
      <c r="AL46" s="64" t="b">
        <v>0</v>
      </c>
      <c r="AM46" s="65"/>
      <c r="AN46" s="65"/>
      <c r="AO46" s="65" t="str">
        <f t="shared" si="387"/>
        <v/>
      </c>
      <c r="AP46" s="72"/>
      <c r="AQ46" s="53" t="str">
        <f t="shared" ref="AQ46:AR46" si="388">IFERROR(AI46/2,AI46)</f>
        <v>---</v>
      </c>
      <c r="AR46" s="53" t="str">
        <f t="shared" si="388"/>
        <v>---</v>
      </c>
      <c r="AS46" s="53" t="str">
        <f t="shared" si="389"/>
        <v>---</v>
      </c>
      <c r="AT46" s="67"/>
      <c r="AU46" s="71"/>
      <c r="AV46" s="39" t="str">
        <f t="shared" si="390"/>
        <v>---</v>
      </c>
      <c r="AW46" s="46" t="str">
        <f t="shared" si="391"/>
        <v>---</v>
      </c>
      <c r="AX46" s="40" t="str">
        <f>IFERROR(__xludf.DUMMYFUNCTION("IFS((AND(AL46=TRUE, AM46=""Yes"")), (IFS(ISBLANK(AO46), AK46, AO46=""Novice 1"", CEILING((AK46*1.05), $H46), AO46=""Novice 2"", CEILING((AK46*1.025), $H46), AO46=""Novice 3"", AK46+$H46, AO46=""Intermediate 2"", (IF((ISBETWEEN(((((AD46-AC46)/2))+AJ46), AC"&amp;"46, AD46)), AK46, AK46+$H46)), AO46=""Intermediate 1"", (IF((ISBETWEEN((AJ46-((AD46-AC46)/2)), AC46, AD46)), AK46+$H46, (FLOOR((AK46*0.9875), $H46)))), AO46=""Advanced 2"", (IF(AND(((AI46+((AB46-AA46)/2))&gt;AB46), ((AJ46+((AD46-AC46)/2))&gt;AD46)), AK46+$H46, "&amp;"(AK46))), AO46=""Advanced 1"", (IFS(AW46&lt;AJ46, AK46+$H46, AW46=AJ46, (AK46), AW46&gt;AJ46, (FLOOR((AK46*0.9875), $H46)))))), (AND(AD46=TRUE, AE46=""No"", AL46=TRUE, AM46=""No"")), (FLOOR((AK46*0.9), $H46)), (NOT((AND(AL46=TRUE, AM46=""Yes"")))), AK46)"),"---")</f>
        <v>---</v>
      </c>
      <c r="AY46" s="41" t="b">
        <v>0</v>
      </c>
      <c r="AZ46" s="47"/>
      <c r="BA46" s="47"/>
      <c r="BB46" s="47" t="str">
        <f t="shared" si="392"/>
        <v/>
      </c>
      <c r="BC46" s="71"/>
      <c r="BD46" s="39" t="str">
        <f t="shared" si="393"/>
        <v>---</v>
      </c>
      <c r="BE46" s="46" t="str">
        <f t="shared" si="394"/>
        <v>---</v>
      </c>
      <c r="BF46" s="40" t="str">
        <f>IFERROR(__xludf.DUMMYFUNCTION("IFS((AND(AY46=TRUE, AZ46=""Yes"")), (IFS(ISBLANK(BB46), AX46, BB46=""Novice 1"", CEILING((AX46*1.05), $H46), BB46=""Novice 2"", CEILING((AX46*1.025), $H46), BB46=""Novice 3"", AX46+$H46, BB46=""Intermediate 2"", (IF((ISBETWEEN(((((AL46-AK46)/2))+AW46), AK"&amp;"46, AL46)), AX46, AX46+$H46)), BB46=""Intermediate 1"", (IF((ISBETWEEN((AW46-((AL46-AK46)/2)), AK46, AL46)), AX46+$H46, (FLOOR((AX46*0.9875), $H46)))), BB46=""Advanced 2"", (IF(AND(((AV46+((AJ46-AI46)/2))&gt;AJ46), ((AW46+((AL46-AK46)/2))&gt;AL46)), AX46+$H46, "&amp;"(AX46))), BB46=""Advanced 1"", (IFS(BE46&lt;AW46, AX46+$H46, BE46=AW46, (AX46), BE46&gt;AW46, (FLOOR((AX46*0.9875), $H46)))))), (AND(AL46=TRUE, AM46=""No"", AY46=TRUE, AZ46=""No"")), (FLOOR((AX46*0.9), $H46)), (NOT((AND(AY46=TRUE, AZ46=""Yes"")))), AX46)"),"---")</f>
        <v>---</v>
      </c>
      <c r="BG46" s="41" t="b">
        <v>0</v>
      </c>
      <c r="BH46" s="47"/>
      <c r="BI46" s="47"/>
      <c r="BJ46" s="47" t="str">
        <f t="shared" si="395"/>
        <v/>
      </c>
      <c r="BK46" s="71"/>
      <c r="BL46" s="39" t="str">
        <f t="shared" si="396"/>
        <v>---</v>
      </c>
      <c r="BM46" s="46" t="str">
        <f t="shared" si="397"/>
        <v>---</v>
      </c>
      <c r="BN46" s="40" t="str">
        <f>IFERROR(__xludf.DUMMYFUNCTION("IFS((AND(BG46=TRUE, BH46=""Yes"")), (IFS(ISBLANK(BJ46), BF46, BJ46=""Novice 1"", CEILING((BF46*1.05), $H46), BJ46=""Novice 2"", CEILING((BF46*1.025), $H46), BJ46=""Novice 3"", BF46+$H46, BJ46=""Intermediate 2"", (IF((ISBETWEEN(((((AY46-AX46)/2))+BE46), AX"&amp;"46, AY46)), BF46, BF46+$H46)), BJ46=""Intermediate 1"", (IF((ISBETWEEN((BE46-((AY46-AX46)/2)), AX46, AY46)), BF46+$H46, (FLOOR((BF46*0.9875), $H46)))), BJ46=""Advanced 2"", (IF(AND(((BD46+((AW46-AV46)/2))&gt;AW46), ((BE46+((AY46-AX46)/2))&gt;AY46)), BF46+$H46, "&amp;"(BF46))), BJ46=""Advanced 1"", (IFS(BM46&lt;BE46, BF46+$H46, BM46=BE46, (BF46), BM46&gt;BE46, (FLOOR((BF46*0.9875), $H46)))))), (AND(AY46=TRUE, AZ46=""No"", BG46=TRUE, BH46=""No"")), (FLOOR((BF46*0.9), $H46)), (NOT((AND(BG46=TRUE, BH46=""Yes"")))), BF46)"),"---")</f>
        <v>---</v>
      </c>
      <c r="BO46" s="41" t="b">
        <v>0</v>
      </c>
      <c r="BP46" s="47"/>
      <c r="BQ46" s="47"/>
      <c r="BR46" s="47" t="str">
        <f t="shared" si="398"/>
        <v/>
      </c>
      <c r="BS46" s="71"/>
      <c r="BT46" s="61" t="str">
        <f t="shared" si="399"/>
        <v>---</v>
      </c>
      <c r="BU46" s="62" t="str">
        <f t="shared" si="400"/>
        <v>---</v>
      </c>
      <c r="BV46" s="63" t="str">
        <f>IFERROR(__xludf.DUMMYFUNCTION("IFS((AND(BO46=TRUE, BP46=""Yes"")), (IFS(ISBLANK(BR46), BN46, BR46=""Novice 1"", CEILING((BN46*1.05), $H46), BR46=""Novice 2"", CEILING((BN46*1.025), $H46), BR46=""Novice 3"", BN46+$H46, BR46=""Intermediate 2"", (IF((ISBETWEEN(((((BG46-BF46)/2))+BM46), BF"&amp;"46, BG46)), BN46, BN46+$H46)), BR46=""Intermediate 1"", (IF((ISBETWEEN((BM46-((BG46-BF46)/2)), BF46, BG46)), BN46+$H46, (FLOOR((BN46*0.9875), $H46)))), BR46=""Advanced 2"", (IF(AND(((BL46+((BE46-BD46)/2))&gt;BE46), ((BM46+((BG46-BF46)/2))&gt;BG46)), BN46+$H46, "&amp;"(BN46))), BR46=""Advanced 1"", (IFS(BU46&lt;BM46, BN46+$H46, BU46=BM46, (BN46), BU46&gt;BM46, (FLOOR((BN46*0.9875), $H46)))))), (AND(BG46=TRUE, BH46=""No"", BO46=TRUE, BP46=""No"")), (FLOOR((BN46*0.9), $H46)), (NOT((AND(BO46=TRUE, BP46=""Yes"")))), BN46)"),"---")</f>
        <v>---</v>
      </c>
      <c r="BW46" s="64" t="b">
        <v>0</v>
      </c>
      <c r="BX46" s="65"/>
      <c r="BY46" s="65"/>
      <c r="BZ46" s="65" t="str">
        <f t="shared" si="401"/>
        <v/>
      </c>
      <c r="CA46" s="72"/>
      <c r="CB46" s="53" t="str">
        <f t="shared" ref="CB46:CC46" si="402">IFERROR(BT46/2,BT46)</f>
        <v>---</v>
      </c>
      <c r="CC46" s="53" t="str">
        <f t="shared" si="402"/>
        <v>---</v>
      </c>
      <c r="CD46" s="53" t="str">
        <f t="shared" si="403"/>
        <v>---</v>
      </c>
      <c r="CE46" s="67"/>
      <c r="CF46" s="71"/>
      <c r="CG46" s="39" t="str">
        <f t="shared" si="404"/>
        <v>---</v>
      </c>
      <c r="CH46" s="46" t="str">
        <f t="shared" si="405"/>
        <v>---</v>
      </c>
      <c r="CI46" s="40" t="str">
        <f>IFERROR(__xludf.DUMMYFUNCTION("IFS((AND(BW46=TRUE, BX46=""Yes"")), (IFS(ISBLANK(BZ46), BV46, BZ46=""Novice 1"", CEILING((BV46*1.05), $H46), BZ46=""Novice 2"", CEILING((BV46*1.025), $H46), BZ46=""Novice 3"", BV46+$H46, BZ46=""Intermediate 2"", (IF((ISBETWEEN(((((BO46-BN46)/2))+BU46), BN"&amp;"46, BO46)), BV46, BV46+$H46)), BZ46=""Intermediate 1"", (IF((ISBETWEEN((BU46-((BO46-BN46)/2)), BN46, BO46)), BV46+$H46, (FLOOR((BV46*0.9875), $H46)))), BZ46=""Advanced 2"", (IF(AND(((BT46+((BM46-BL46)/2))&gt;BM46), ((BU46+((BO46-BN46)/2))&gt;BO46)), BV46+$H46, "&amp;"(BV46))), BZ46=""Advanced 1"", (IFS(CH46&lt;BU46, BV46+$H46, CH46=BU46, (BV46), CH46&gt;BU46, (FLOOR((BV46*0.9875), $H46)))))), (AND(BO46=TRUE, BP46=""No"", BW46=TRUE, BX46=""No"")), (FLOOR((BV46*0.9), $H46)), (NOT((AND(BW46=TRUE, BX46=""Yes"")))), BV46)"),"---")</f>
        <v>---</v>
      </c>
      <c r="CJ46" s="41" t="b">
        <v>0</v>
      </c>
      <c r="CK46" s="47"/>
      <c r="CL46" s="47"/>
      <c r="CM46" s="47" t="str">
        <f t="shared" si="406"/>
        <v/>
      </c>
      <c r="CN46" s="71"/>
      <c r="CO46" s="39" t="str">
        <f t="shared" si="407"/>
        <v>---</v>
      </c>
      <c r="CP46" s="46" t="str">
        <f t="shared" si="408"/>
        <v>---</v>
      </c>
      <c r="CQ46" s="40" t="str">
        <f>IFERROR(__xludf.DUMMYFUNCTION("IFS((AND(CJ46=TRUE, CK46=""Yes"")), (IFS(ISBLANK(CM46), CI46, CM46=""Novice 1"", CEILING((CI46*1.05), $H46), CM46=""Novice 2"", CEILING((CI46*1.025), $H46), CM46=""Novice 3"", CI46+$H46, CM46=""Intermediate 2"", (IF((ISBETWEEN(((((BW46-BV46)/2))+CH46), BV"&amp;"46, BW46)), CI46, CI46+$H46)), CM46=""Intermediate 1"", (IF((ISBETWEEN((CH46-((BW46-BV46)/2)), BV46, BW46)), CI46+$H46, (FLOOR((CI46*0.9875), $H46)))), CM46=""Advanced 2"", (IF(AND(((CG46+((BU46-BT46)/2))&gt;BU46), ((CH46+((BW46-BV46)/2))&gt;BW46)), CI46+$H46, "&amp;"(CI46))), CM46=""Advanced 1"", (IFS(CP46&lt;CH46, CI46+$H46, CP46=CH46, (CI46), CP46&gt;CH46, (FLOOR((CI46*0.9875), $H46)))))), (AND(BW46=TRUE, BX46=""No"", CJ46=TRUE, CK46=""No"")), (FLOOR((CI46*0.9), $H46)), (NOT((AND(CJ46=TRUE, CK46=""Yes"")))), CI46)"),"---")</f>
        <v>---</v>
      </c>
      <c r="CR46" s="41" t="b">
        <v>0</v>
      </c>
      <c r="CS46" s="47"/>
      <c r="CT46" s="47"/>
      <c r="CU46" s="47" t="str">
        <f t="shared" si="409"/>
        <v/>
      </c>
      <c r="CV46" s="71"/>
      <c r="CW46" s="39" t="str">
        <f t="shared" si="410"/>
        <v>---</v>
      </c>
      <c r="CX46" s="46" t="str">
        <f t="shared" si="411"/>
        <v>---</v>
      </c>
      <c r="CY46" s="40" t="str">
        <f>IFERROR(__xludf.DUMMYFUNCTION("IFS((AND(CR46=TRUE, CS46=""Yes"")), (IFS(ISBLANK(CU46), CQ46, CU46=""Novice 1"", CEILING((CQ46*1.05), $H46), CU46=""Novice 2"", CEILING((CQ46*1.025), $H46), CU46=""Novice 3"", CQ46+$H46, CU46=""Intermediate 2"", (IF((ISBETWEEN(((((CJ46-CI46)/2))+CP46), CI"&amp;"46, CJ46)), CQ46, CQ46+$H46)), CU46=""Intermediate 1"", (IF((ISBETWEEN((CP46-((CJ46-CI46)/2)), CI46, CJ46)), CQ46+$H46, (FLOOR((CQ46*0.9875), $H46)))), CU46=""Advanced 2"", (IF(AND(((CO46+((CH46-CG46)/2))&gt;CH46), ((CP46+((CJ46-CI46)/2))&gt;CJ46)), CQ46+$H46, "&amp;"(CQ46))), CU46=""Advanced 1"", (IFS(CX46&lt;CP46, CQ46+$H46, CX46=CP46, (CQ46), CX46&gt;CP46, (FLOOR((CQ46*0.9875), $H46)))))), (AND(CJ46=TRUE, CK46=""No"", CR46=TRUE, CS46=""No"")), (FLOOR((CQ46*0.9), $H46)), (NOT((AND(CR46=TRUE, CS46=""Yes"")))), CQ46)"),"---")</f>
        <v>---</v>
      </c>
      <c r="CZ46" s="41" t="b">
        <v>0</v>
      </c>
      <c r="DA46" s="47"/>
      <c r="DB46" s="47"/>
      <c r="DC46" s="47" t="str">
        <f t="shared" si="412"/>
        <v/>
      </c>
      <c r="DD46" s="71"/>
      <c r="DE46" s="61" t="str">
        <f t="shared" si="413"/>
        <v>---</v>
      </c>
      <c r="DF46" s="62" t="str">
        <f t="shared" si="414"/>
        <v>---</v>
      </c>
      <c r="DG46" s="63" t="str">
        <f>IFERROR(__xludf.DUMMYFUNCTION("IFS((AND(CZ46=TRUE, DA46=""Yes"")), (IFS(ISBLANK(DC46), CY46, DC46=""Novice 1"", CEILING((CY46*1.05), $H46), DC46=""Novice 2"", CEILING((CY46*1.025), $H46), DC46=""Novice 3"", CY46+$H46, DC46=""Intermediate 2"", (IF((ISBETWEEN(((((CR46-CQ46)/2))+CX46), CQ"&amp;"46, CR46)), CY46, CY46+$H46)), DC46=""Intermediate 1"", (IF((ISBETWEEN((CX46-((CR46-CQ46)/2)), CQ46, CR46)), CY46+$H46, (FLOOR((CY46*0.9875), $H46)))), DC46=""Advanced 2"", (IF(AND(((CW46+((CP46-CO46)/2))&gt;CP46), ((CX46+((CR46-CQ46)/2))&gt;CR46)), CY46+$H46, "&amp;"(CY46))), DC46=""Advanced 1"", (IFS(DF46&lt;CX46, CY46+$H46, DF46=CX46, (CY46), DF46&gt;CX46, (FLOOR((CY46*0.9875), $H46)))))), (AND(CR46=TRUE, CS46=""No"", CZ46=TRUE, DA46=""No"")), (FLOOR((CY46*0.9), $H46)), (NOT((AND(CZ46=TRUE, DA46=""Yes"")))), CY46)"),"---")</f>
        <v>---</v>
      </c>
      <c r="DH46" s="64" t="b">
        <v>0</v>
      </c>
      <c r="DI46" s="65"/>
      <c r="DJ46" s="65"/>
      <c r="DK46" s="65" t="str">
        <f t="shared" si="415"/>
        <v/>
      </c>
      <c r="DL46" s="72"/>
      <c r="DM46" s="53" t="str">
        <f t="shared" ref="DM46:DN46" si="416">IFERROR(DE46/2,DE46)</f>
        <v>---</v>
      </c>
      <c r="DN46" s="53" t="str">
        <f t="shared" si="416"/>
        <v>---</v>
      </c>
      <c r="DO46" s="53" t="str">
        <f t="shared" si="417"/>
        <v>---</v>
      </c>
      <c r="DP46" s="67"/>
      <c r="DQ46" s="71"/>
      <c r="DR46" s="39" t="str">
        <f t="shared" si="418"/>
        <v>---</v>
      </c>
      <c r="DS46" s="46" t="str">
        <f t="shared" si="419"/>
        <v>---</v>
      </c>
      <c r="DT46" s="40" t="str">
        <f>IFERROR(__xludf.DUMMYFUNCTION("IFS((AND(DH46=TRUE, DI46=""Yes"")), (IFS(ISBLANK(DK46), DG46, DK46=""Novice 1"", CEILING((DG46*1.05), $H46), DK46=""Novice 2"", CEILING((DG46*1.025), $H46), DK46=""Novice 3"", DG46+$H46, DK46=""Intermediate 2"", (IF((ISBETWEEN(((((CZ46-CY46)/2))+DF46), CY"&amp;"46, CZ46)), DG46, DG46+$H46)), DK46=""Intermediate 1"", (IF((ISBETWEEN((DF46-((CZ46-CY46)/2)), CY46, CZ46)), DG46+$H46, (FLOOR((DG46*0.9875), $H46)))), DK46=""Advanced 2"", (IF(AND(((DE46+((CX46-CW46)/2))&gt;CX46), ((DF46+((CZ46-CY46)/2))&gt;CZ46)), DG46+$H46, "&amp;"(DG46))), DK46=""Advanced 1"", (IFS(DS46&lt;DF46, DG46+$H46, DS46=DF46, (DG46), DS46&gt;DF46, (FLOOR((DG46*0.9875), $H46)))))), (AND(CZ46=TRUE, DA46=""No"", DH46=TRUE, DI46=""No"")), (FLOOR((DG46*0.9), $H46)), (NOT((AND(DH46=TRUE, DI46=""Yes"")))), DG46)"),"---")</f>
        <v>---</v>
      </c>
      <c r="DU46" s="41" t="b">
        <v>0</v>
      </c>
      <c r="DV46" s="47"/>
      <c r="DW46" s="47"/>
      <c r="DX46" s="47" t="str">
        <f t="shared" si="420"/>
        <v/>
      </c>
      <c r="DY46" s="71"/>
      <c r="DZ46" s="39" t="str">
        <f t="shared" si="421"/>
        <v>---</v>
      </c>
      <c r="EA46" s="46" t="str">
        <f t="shared" si="422"/>
        <v>---</v>
      </c>
      <c r="EB46" s="40" t="str">
        <f>IFERROR(__xludf.DUMMYFUNCTION("IFS((AND(DU46=TRUE, DV46=""Yes"")), (IFS(ISBLANK(DX46), DT46, DX46=""Novice 1"", CEILING((DT46*1.05), $H46), DX46=""Novice 2"", CEILING((DT46*1.025), $H46), DX46=""Novice 3"", DT46+$H46, DX46=""Intermediate 2"", (IF((ISBETWEEN(((((DH46-DG46)/2))+DS46), DG"&amp;"46, DH46)), DT46, DT46+$H46)), DX46=""Intermediate 1"", (IF((ISBETWEEN((DS46-((DH46-DG46)/2)), DG46, DH46)), DT46+$H46, (FLOOR((DT46*0.9875), $H46)))), DX46=""Advanced 2"", (IF(AND(((DR46+((DF46-DE46)/2))&gt;DF46), ((DS46+((DH46-DG46)/2))&gt;DH46)), DT46+$H46, "&amp;"(DT46))), DX46=""Advanced 1"", (IFS(EA46&lt;DS46, DT46+$H46, EA46=DS46, (DT46), EA46&gt;DS46, (FLOOR((DT46*0.9875), $H46)))))), (AND(DH46=TRUE, DI46=""No"", DU46=TRUE, DV46=""No"")), (FLOOR((DT46*0.9), $H46)), (NOT((AND(DU46=TRUE, DV46=""Yes"")))), DT46)"),"---")</f>
        <v>---</v>
      </c>
      <c r="EC46" s="41" t="b">
        <v>0</v>
      </c>
      <c r="ED46" s="47"/>
      <c r="EE46" s="47"/>
      <c r="EF46" s="47" t="str">
        <f t="shared" si="423"/>
        <v/>
      </c>
      <c r="EG46" s="71"/>
      <c r="EH46" s="39" t="str">
        <f t="shared" si="424"/>
        <v>---</v>
      </c>
      <c r="EI46" s="46" t="str">
        <f t="shared" si="425"/>
        <v>---</v>
      </c>
      <c r="EJ46" s="40" t="str">
        <f>IFERROR(__xludf.DUMMYFUNCTION("IFS((AND(EC46=TRUE, ED46=""Yes"")), (IFS(ISBLANK(EF46), EB46, EF46=""Novice 1"", CEILING((EB46*1.05), $H46), EF46=""Novice 2"", CEILING((EB46*1.025), $H46), EF46=""Novice 3"", EB46+$H46, EF46=""Intermediate 2"", (IF((ISBETWEEN(((((DU46-DT46)/2))+EA46), DT"&amp;"46, DU46)), EB46, EB46+$H46)), EF46=""Intermediate 1"", (IF((ISBETWEEN((EA46-((DU46-DT46)/2)), DT46, DU46)), EB46+$H46, (FLOOR((EB46*0.9875), $H46)))), EF46=""Advanced 2"", (IF(AND(((DZ46+((DS46-DR46)/2))&gt;DS46), ((EA46+((DU46-DT46)/2))&gt;DU46)), EB46+$H46, "&amp;"(EB46))), EF46=""Advanced 1"", (IFS(EI46&lt;EA46, EB46+$H46, EI46=EA46, (EB46), EI46&gt;EA46, (FLOOR((EB46*0.9875), $H46)))))), (AND(DU46=TRUE, DV46=""No"", EC46=TRUE, ED46=""No"")), (FLOOR((EB46*0.9), $H46)), (NOT((AND(EC46=TRUE, ED46=""Yes"")))), EB46)"),"---")</f>
        <v>---</v>
      </c>
      <c r="EK46" s="41" t="b">
        <v>0</v>
      </c>
      <c r="EL46" s="47"/>
      <c r="EM46" s="47"/>
      <c r="EN46" s="47" t="str">
        <f t="shared" si="426"/>
        <v/>
      </c>
      <c r="EO46" s="71"/>
      <c r="EP46" s="61" t="str">
        <f t="shared" si="427"/>
        <v>---</v>
      </c>
      <c r="EQ46" s="62" t="str">
        <f t="shared" si="428"/>
        <v>---</v>
      </c>
      <c r="ER46" s="63" t="str">
        <f>IFERROR(__xludf.DUMMYFUNCTION("IFS((AND(EK46=TRUE, EL46=""Yes"")), (IFS(ISBLANK(EN46), EJ46, EN46=""Novice 1"", CEILING((EJ46*1.05), $H46), EN46=""Novice 2"", CEILING((EJ46*1.025), $H46), EN46=""Novice 3"", EJ46+$H46, EN46=""Intermediate 2"", (IF((ISBETWEEN(((((EC46-EB46)/2))+EI46), EB"&amp;"46, EC46)), EJ46, EJ46+$H46)), EN46=""Intermediate 1"", (IF((ISBETWEEN((EI46-((EC46-EB46)/2)), EB46, EC46)), EJ46+$H46, (FLOOR((EJ46*0.9875), $H46)))), EN46=""Advanced 2"", (IF(AND(((EH46+((EA46-DZ46)/2))&gt;EA46), ((EI46+((EC46-EB46)/2))&gt;EC46)), EJ46+$H46, "&amp;"(EJ46))), EN46=""Advanced 1"", (IFS(EQ46&lt;EI46, EJ46+$H46, EQ46=EI46, (EJ46), EQ46&gt;EI46, (FLOOR((EJ46*0.9875), $H46)))))), (AND(EC46=TRUE, ED46=""No"", EK46=TRUE, EL46=""No"")), (FLOOR((EJ46*0.9), $H46)), (NOT((AND(EK46=TRUE, EL46=""Yes"")))), EJ46)"),"---")</f>
        <v>---</v>
      </c>
      <c r="ES46" s="64" t="b">
        <v>0</v>
      </c>
      <c r="ET46" s="65"/>
      <c r="EU46" s="65"/>
      <c r="EV46" s="65" t="str">
        <f t="shared" si="429"/>
        <v/>
      </c>
      <c r="EW46" s="72"/>
      <c r="EX46" s="53" t="str">
        <f t="shared" ref="EX46:EY46" si="430">IFERROR(EP46/2,EP46)</f>
        <v>---</v>
      </c>
      <c r="EY46" s="53" t="str">
        <f t="shared" si="430"/>
        <v>---</v>
      </c>
      <c r="EZ46" s="53" t="str">
        <f t="shared" si="431"/>
        <v>---</v>
      </c>
      <c r="FA46" s="67"/>
      <c r="FB46" s="86"/>
      <c r="FC46" s="57"/>
    </row>
    <row r="47">
      <c r="A47" s="23" t="s">
        <v>68</v>
      </c>
      <c r="B47" s="89"/>
      <c r="C47" s="79"/>
      <c r="D47" s="79"/>
      <c r="E47" s="79"/>
      <c r="F47" s="79"/>
      <c r="G47" s="79"/>
      <c r="H47" s="79"/>
      <c r="I47" s="79"/>
      <c r="J47" s="90"/>
      <c r="K47" s="91"/>
      <c r="L47" s="91"/>
      <c r="M47" s="91"/>
      <c r="N47" s="91"/>
      <c r="O47" s="92"/>
      <c r="P47" s="92"/>
      <c r="Q47" s="92"/>
      <c r="R47" s="90"/>
      <c r="S47" s="93"/>
      <c r="T47" s="93"/>
      <c r="U47" s="93"/>
      <c r="V47" s="93"/>
      <c r="W47" s="93"/>
      <c r="X47" s="93"/>
      <c r="Y47" s="93"/>
      <c r="Z47" s="90"/>
      <c r="AA47" s="93"/>
      <c r="AB47" s="93"/>
      <c r="AC47" s="93"/>
      <c r="AD47" s="93"/>
      <c r="AE47" s="93"/>
      <c r="AF47" s="93"/>
      <c r="AG47" s="93"/>
      <c r="AH47" s="90"/>
      <c r="AI47" s="93"/>
      <c r="AJ47" s="93"/>
      <c r="AK47" s="93"/>
      <c r="AL47" s="93"/>
      <c r="AM47" s="93"/>
      <c r="AN47" s="93"/>
      <c r="AO47" s="93"/>
      <c r="AP47" s="90"/>
      <c r="AQ47" s="94"/>
      <c r="AR47" s="94"/>
      <c r="AS47" s="94"/>
      <c r="AT47" s="94"/>
      <c r="AU47" s="90"/>
      <c r="AV47" s="93"/>
      <c r="AW47" s="93"/>
      <c r="AX47" s="93"/>
      <c r="AY47" s="93"/>
      <c r="AZ47" s="93"/>
      <c r="BA47" s="93"/>
      <c r="BB47" s="93"/>
      <c r="BC47" s="90"/>
      <c r="BD47" s="93"/>
      <c r="BE47" s="93"/>
      <c r="BF47" s="93"/>
      <c r="BG47" s="93"/>
      <c r="BH47" s="93"/>
      <c r="BI47" s="93"/>
      <c r="BJ47" s="93"/>
      <c r="BK47" s="90"/>
      <c r="BL47" s="93"/>
      <c r="BM47" s="93"/>
      <c r="BN47" s="93"/>
      <c r="BO47" s="93"/>
      <c r="BP47" s="93"/>
      <c r="BQ47" s="93"/>
      <c r="BR47" s="93"/>
      <c r="BS47" s="90"/>
      <c r="BT47" s="93"/>
      <c r="BU47" s="93"/>
      <c r="BV47" s="93"/>
      <c r="BW47" s="93"/>
      <c r="BX47" s="93"/>
      <c r="BY47" s="93"/>
      <c r="BZ47" s="93"/>
      <c r="CA47" s="90"/>
      <c r="CB47" s="94"/>
      <c r="CC47" s="94"/>
      <c r="CD47" s="94"/>
      <c r="CE47" s="94"/>
      <c r="CF47" s="90"/>
      <c r="CG47" s="93"/>
      <c r="CH47" s="93"/>
      <c r="CI47" s="93"/>
      <c r="CJ47" s="93"/>
      <c r="CK47" s="93"/>
      <c r="CL47" s="93"/>
      <c r="CM47" s="93"/>
      <c r="CN47" s="90"/>
      <c r="CO47" s="93"/>
      <c r="CP47" s="93"/>
      <c r="CQ47" s="93"/>
      <c r="CR47" s="93"/>
      <c r="CS47" s="93"/>
      <c r="CT47" s="93"/>
      <c r="CU47" s="93"/>
      <c r="CV47" s="90"/>
      <c r="CW47" s="93"/>
      <c r="CX47" s="93"/>
      <c r="CY47" s="93"/>
      <c r="CZ47" s="93"/>
      <c r="DA47" s="93"/>
      <c r="DB47" s="93"/>
      <c r="DC47" s="93"/>
      <c r="DD47" s="90"/>
      <c r="DE47" s="93"/>
      <c r="DF47" s="93"/>
      <c r="DG47" s="93"/>
      <c r="DH47" s="93"/>
      <c r="DI47" s="93"/>
      <c r="DJ47" s="93"/>
      <c r="DK47" s="93"/>
      <c r="DL47" s="90"/>
      <c r="DM47" s="94"/>
      <c r="DN47" s="94"/>
      <c r="DO47" s="94"/>
      <c r="DP47" s="94"/>
      <c r="DQ47" s="90"/>
      <c r="DR47" s="93"/>
      <c r="DS47" s="93"/>
      <c r="DT47" s="93"/>
      <c r="DU47" s="93"/>
      <c r="DV47" s="93"/>
      <c r="DW47" s="93"/>
      <c r="DX47" s="93"/>
      <c r="DY47" s="90"/>
      <c r="DZ47" s="93"/>
      <c r="EA47" s="93"/>
      <c r="EB47" s="93"/>
      <c r="EC47" s="93"/>
      <c r="ED47" s="93"/>
      <c r="EE47" s="93"/>
      <c r="EF47" s="93"/>
      <c r="EG47" s="90"/>
      <c r="EH47" s="93"/>
      <c r="EI47" s="93"/>
      <c r="EJ47" s="93"/>
      <c r="EK47" s="93"/>
      <c r="EL47" s="93"/>
      <c r="EM47" s="93"/>
      <c r="EN47" s="93"/>
      <c r="EO47" s="90"/>
      <c r="EP47" s="93"/>
      <c r="EQ47" s="93"/>
      <c r="ER47" s="93"/>
      <c r="ES47" s="93"/>
      <c r="ET47" s="93"/>
      <c r="EU47" s="93"/>
      <c r="EV47" s="93"/>
      <c r="EW47" s="90"/>
      <c r="EX47" s="94"/>
      <c r="EY47" s="94"/>
      <c r="EZ47" s="94"/>
      <c r="FA47" s="94"/>
      <c r="FB47" s="86"/>
      <c r="FC47" s="31"/>
    </row>
    <row r="48" outlineLevel="1">
      <c r="A48" s="32" t="s">
        <v>69</v>
      </c>
      <c r="B48" s="33" t="s">
        <v>1</v>
      </c>
      <c r="C48" s="82" t="s">
        <v>53</v>
      </c>
      <c r="D48" s="83" t="s">
        <v>53</v>
      </c>
      <c r="E48" s="82" t="s">
        <v>53</v>
      </c>
      <c r="F48" s="83" t="s">
        <v>53</v>
      </c>
      <c r="G48" s="83" t="s">
        <v>53</v>
      </c>
      <c r="H48" s="84"/>
      <c r="I48" s="85"/>
      <c r="J48" s="38" t="s">
        <v>2</v>
      </c>
      <c r="K48" s="39" t="str">
        <f t="shared" ref="K48:K57" si="436">ifs(ISBLANK(I48), C48, I48="Novice 1", C48, I48="Novice 2", C48, I48="Novice 3", C48, I48="Intermediate 2", C48, I48="Intermediate 1", C48, I48="Advanced 2", C48, I48="Advanced 1", C48)</f>
        <v>---</v>
      </c>
      <c r="L48" s="40" t="str">
        <f t="shared" ref="L48:L57" si="437">ifs(ISBLANK(I48), E48, I48="Novice 1", E48, I48="Novice 2", E48, I48="Novice 3", E48, I48="Intermediate 2", E48, I48="Intermediate 1", F48, I48="Advanced 2", E48, I48="Advanced 1", F48)</f>
        <v>---</v>
      </c>
      <c r="M48" s="40" t="str">
        <f t="shared" ref="M48:M57" si="438">G48</f>
        <v>---</v>
      </c>
      <c r="N48" s="41" t="b">
        <v>0</v>
      </c>
      <c r="O48" s="42"/>
      <c r="P48" s="43"/>
      <c r="Q48" s="42" t="str">
        <f t="shared" ref="Q48:Q53" si="439">I48</f>
        <v/>
      </c>
      <c r="R48" s="45" t="s">
        <v>3</v>
      </c>
      <c r="S48" s="39" t="str">
        <f t="shared" ref="S48:S53" si="440">IFS((AND(N48=TRUE, O48="Yes")), (ifs(ISBLANK(Q48), K48, Q48="Novice 1", K48, Q48="Novice 2", K48, Q48="Novice 3", K48, Q48="Intermediate 2", K48, Q48="Intermediate 1", K48, Q48="Advanced 2", (IF((K48+(($D48-$C48)/2))&gt;$D48, $C48, (K48+(($D48-$C48)/2)))), Q48="Advanced 1", (IF((K48+(($D48-$C48)/2))&gt;$D48, $C48, (K48+(($D48-$C48)/2)))))), (NOT((AND(N48=TRUE, O48="Yes")))), K48)</f>
        <v>---</v>
      </c>
      <c r="T48" s="46" t="str">
        <f t="shared" ref="T48:T53" si="441">IFS((AND(N48=TRUE, O48="Yes")), (IFS(ISBLANK(Q48), L48, Q48="Novice 1", L48, Q48="Novice 2", L48, Q48="Novice 3", L48, Q48="Intermediate 2", (IF((L48+(($F48-$E48)/2))&gt;$F48, $E48, (L48+(($F48-$E48)/2)))), Q48="Intermediate 1", (IF((L48-(($F48-$E48)/2))&lt;$E48, $F48, (L48-(($F48-$E48)/2)))), Q48="Advanced 2", (IF((((($D48-$C48)/2))+K48)&gt;$D48, (IF((L48+(($F48-$E48)/2))&gt;$F48, $E48, (L48+(($F48-$E48)/2)))), L48)), Q48="Advanced 1", (IF((((($D48-$C48)/2))+K48)&gt;$D48, (IF((L48-(($F48-$E48)/2))&lt;$E48, $F48, (L48-(($F48-$E48)/2)))), L48)))), (NOT((AND(N48=TRUE, O48="Yes")))), L48)</f>
        <v>---</v>
      </c>
      <c r="U48" s="40" t="str">
        <f>IFERROR(__xludf.DUMMYFUNCTION("IFS((AND(N48=TRUE, O48=""Yes"")), (IFS(ISBLANK(Q48), M48, Q48=""Novice 1"", CEILING((M48*1.05), $H48), Q48=""Novice 2"", CEILING((M48*1.025), $H48), Q48=""Novice 3"", M48+$H48, Q48=""Intermediate 2"", (IF((ISBETWEEN(((((F48-E48)/2))+L48), E48, F48)), M48,"&amp;" M48+$H48)), Q48=""Intermediate 1"", (IF((ISBETWEEN((L48-((F48-E48)/2)), E48, F48)), M48+$H48, (FLOOR((M48*0.9875), $H48)))), Q48=""Advanced 2"", (IF(AND(((K48+((D48-C48)/2))&gt;D48), ((L48+((F48-E48)/2))&gt;F48)), M48+$H48, (M48))), Q48=""Advanced 1"", (IFS(T4"&amp;"8&lt;L48, M48+$H48, T48=L48, (M48), T48&gt;L48, (FLOOR((M48*0.9875), $H48)))))), (AND(F48=TRUE, G48=""No"", N48=TRUE, O48=""No"")), (FLOOR((M48*0.9), $H48)), (NOT((AND(N48=TRUE, O48=""Yes"")))), M48)"),"---")</f>
        <v>---</v>
      </c>
      <c r="V48" s="41" t="b">
        <v>0</v>
      </c>
      <c r="W48" s="47"/>
      <c r="X48" s="47"/>
      <c r="Y48" s="47" t="str">
        <f t="shared" ref="Y48:Y53" si="442">IF((AND(N48=TRUE, O48="No", V48=TRUE, W48="No")), (IFS(ISBLANK(Q48), Q48, Q48="Novice 1", "Novice 2", Q48="Novice 2", "Novice 3", Q48="Novice 3", "Intermediate 1", Q48="Intermediate 1", "Intermediate 2", Q48="Intermediate 2", "Advanced 1", Q48="Advanced 1", "Advanced 2", Q48="Advanced 2", "Advanced 2")), Q48)</f>
        <v/>
      </c>
      <c r="Z48" s="45" t="s">
        <v>4</v>
      </c>
      <c r="AA48" s="39" t="str">
        <f t="shared" ref="AA48:AA53" si="443">IFS((AND(V48=TRUE, W48="Yes")), (ifs(ISBLANK(Y48), S48, Y48="Novice 1", S48, Y48="Novice 2", S48, Y48="Novice 3", S48, Y48="Intermediate 2", S48, Y48="Intermediate 1", S48, Y48="Advanced 2", (IF((S48+(($D48-$C48)/2))&gt;$D48, $C48, (S48+(($D48-$C48)/2)))), Y48="Advanced 1", (IF((S48+(($D48-$C48)/2))&gt;$D48, $C48, (S48+(($D48-$C48)/2)))))), (NOT((AND(V48=TRUE, W48="Yes")))), S48)</f>
        <v>---</v>
      </c>
      <c r="AB48" s="46" t="str">
        <f t="shared" ref="AB48:AB53" si="444">IFS((AND(V48=TRUE, W48="Yes")), (IFS(ISBLANK(Y48), T48, Y48="Novice 1", T48, Y48="Novice 2", T48, Y48="Novice 3", T48, Y48="Intermediate 2", (IF((T48+(($F48-$E48)/2))&gt;$F48, $E48, (T48+(($F48-$E48)/2)))), Y48="Intermediate 1", (IF((T48-(($F48-$E48)/2))&lt;$E48, $F48, (T48-(($F48-$E48)/2)))), Y48="Advanced 2", (IF((((($D48-$C48)/2))+S48)&gt;$D48, (IF((T48+(($F48-$E48)/2))&gt;$F48, $E48, (T48+(($F48-$E48)/2)))), T48)), Y48="Advanced 1", (IF((((($D48-$C48)/2))+S48)&gt;$D48, (IF((T48-(($F48-$E48)/2))&lt;$E48, $F48, (T48-(($F48-$E48)/2)))), T48)))), (NOT((AND(V48=TRUE, W48="Yes")))), T48)</f>
        <v>---</v>
      </c>
      <c r="AC48" s="40" t="str">
        <f>IFERROR(__xludf.DUMMYFUNCTION("IFS((AND(V48=TRUE, W48=""Yes"")), (IFS(ISBLANK(Y48), U48, Y48=""Novice 1"", CEILING((U48*1.05), $H48), Y48=""Novice 2"", CEILING((U48*1.025), $H48), Y48=""Novice 3"", U48+$H48, Y48=""Intermediate 2"", (IF((ISBETWEEN(((((N48-M48)/2))+T48), M48, N48)), U48,"&amp;" U48+$H48)), Y48=""Intermediate 1"", (IF((ISBETWEEN((T48-((N48-M48)/2)), M48, N48)), U48+$H48, (FLOOR((U48*0.9875), $H48)))), Y48=""Advanced 2"", (IF(AND(((S48+((L48-K48)/2))&gt;L48), ((T48+((N48-M48)/2))&gt;N48)), U48+$H48, (U48))), Y48=""Advanced 1"", (IFS(AB"&amp;"48&lt;T48, U48+$H48, AB48=T48, (U48), AB48&gt;T48, (FLOOR((U48*0.9875), $H48)))))), (AND(N48=TRUE, O48=""No"", V48=TRUE, W48=""No"")), (FLOOR((U48*0.9), $H48)), (NOT((AND(V48=TRUE, W48=""Yes"")))), U48)"),"---")</f>
        <v>---</v>
      </c>
      <c r="AD48" s="41" t="b">
        <v>0</v>
      </c>
      <c r="AE48" s="47"/>
      <c r="AF48" s="47"/>
      <c r="AG48" s="47" t="str">
        <f t="shared" ref="AG48:AG53" si="445">IF((AND(V48=TRUE, W48="No", AD48=TRUE, AE48="No")), (IFS(ISBLANK(Y48), Y48, Y48="Novice 1", "Novice 2", Y48="Novice 2", "Novice 3", Y48="Novice 3", "Intermediate 1", Y48="Intermediate 1", "Intermediate 2", Y48="Intermediate 2", "Advanced 1", Y48="Advanced 1", "Advanced 2", Y48="Advanced 2", "Advanced 2")), Y48)</f>
        <v/>
      </c>
      <c r="AH48" s="45" t="s">
        <v>5</v>
      </c>
      <c r="AI48" s="48" t="str">
        <f t="shared" ref="AI48:AI53" si="446">IFS((AND(AD48=TRUE, AE48="Yes")), (ifs(ISBLANK(AG48), AA48, AG48="Novice 1", AA48, AG48="Novice 2", AA48, AG48="Novice 3", AA48, AG48="Intermediate 2", AA48, AG48="Intermediate 1", AA48, AG48="Advanced 2", (IF((AA48+(($D48-$C48)/2))&gt;$D48, $C48, (AA48+(($D48-$C48)/2)))), AG48="Advanced 1", (IF((AA48+(($D48-$C48)/2))&gt;$D48, $C48, (AA48+(($D48-$C48)/2)))))), (NOT((AND(AD48=TRUE, AE48="Yes")))), AA48)</f>
        <v>---</v>
      </c>
      <c r="AJ48" s="49" t="str">
        <f t="shared" ref="AJ48:AJ53" si="447">IFS((AND(AD48=TRUE, AE48="Yes")), (IFS(ISBLANK(AG48), AB48, AG48="Novice 1", AB48, AG48="Novice 2", AB48, AG48="Novice 3", AB48, AG48="Intermediate 2", (IF((AB48+(($F48-$E48)/2))&gt;$F48, $E48, (AB48+(($F48-$E48)/2)))), AG48="Intermediate 1", (IF((AB48-(($F48-$E48)/2))&lt;$E48, $F48, (AB48-(($F48-$E48)/2)))), AG48="Advanced 2", (IF((((($D48-$C48)/2))+AA48)&gt;$D48, (IF((AB48+(($F48-$E48)/2))&gt;$F48, $E48, (AB48+(($F48-$E48)/2)))), AB48)), AG48="Advanced 1", (IF((((($D48-$C48)/2))+AA48)&gt;$D48, (IF((AB48-(($F48-$E48)/2))&lt;$E48, $F48, (AB48-(($F48-$E48)/2)))), AB48)))), (NOT((AND(AD48=TRUE, AE48="Yes")))), AB48)</f>
        <v>---</v>
      </c>
      <c r="AK48" s="50" t="str">
        <f>IFERROR(__xludf.DUMMYFUNCTION("IFS((AND(AD48=TRUE, AE48=""Yes"")), (IFS(ISBLANK(AG48), AC48, AG48=""Novice 1"", CEILING((AC48*1.05), $H48), AG48=""Novice 2"", CEILING((AC48*1.025), $H48), AG48=""Novice 3"", AC48+$H48, AG48=""Intermediate 2"", (IF((ISBETWEEN(((((V48-U48)/2))+AB48), U48,"&amp;" V48)), AC48, AC48+$H48)), AG48=""Intermediate 1"", (IF((ISBETWEEN((AB48-((V48-U48)/2)), U48, V48)), AC48+$H48, (FLOOR((AC48*0.9875), $H48)))), AG48=""Advanced 2"", (IF(AND(((AA48+((T48-S48)/2))&gt;T48), ((AB48+((V48-U48)/2))&gt;V48)), AC48+$H48, (AC48))), AG48"&amp;"=""Advanced 1"", (IFS(AJ48&lt;AB48, AC48+$H48, AJ48=AB48, (AC48), AJ48&gt;AB48, (FLOOR((AC48*0.9875), $H48)))))), (AND(V48=TRUE, W48=""No"", AD48=TRUE, AE48=""No"")), (FLOOR((AC48*0.9), $H48)), (NOT((AND(AD48=TRUE, AE48=""Yes"")))), AC48)"),"---")</f>
        <v>---</v>
      </c>
      <c r="AL48" s="51" t="b">
        <v>0</v>
      </c>
      <c r="AM48" s="52"/>
      <c r="AN48" s="52"/>
      <c r="AO48" s="52" t="str">
        <f t="shared" ref="AO48:AO53" si="448">IF((AND(AD48=TRUE, AE48="No", AL48=TRUE, AM48="No")), (IFS(ISBLANK(AG48), AG48, AG48="Novice 1", "Novice 2", AG48="Novice 2", "Novice 3", AG48="Novice 3", "Intermediate 1", AG48="Intermediate 1", "Intermediate 2", AG48="Intermediate 2", "Advanced 1", AG48="Advanced 1", "Advanced 2", AG48="Advanced 2", "Advanced 2")), AG48)</f>
        <v/>
      </c>
      <c r="AP48" s="45" t="s">
        <v>6</v>
      </c>
      <c r="AQ48" s="53" t="str">
        <f t="shared" ref="AQ48:AR48" si="432">IFERROR(AI48/2,AI48)</f>
        <v>---</v>
      </c>
      <c r="AR48" s="53" t="str">
        <f t="shared" si="432"/>
        <v>---</v>
      </c>
      <c r="AS48" s="53" t="str">
        <f t="shared" ref="AS48:AS53" si="450">AK48</f>
        <v>---</v>
      </c>
      <c r="AT48" s="54"/>
      <c r="AU48" s="45" t="s">
        <v>7</v>
      </c>
      <c r="AV48" s="39" t="str">
        <f t="shared" ref="AV48:AV53" si="451">IFS((AND(AL48=TRUE, AM48="Yes")), (ifs(ISBLANK(AO48), AI48, AO48="Novice 1", AI48, AO48="Novice 2", AI48, AO48="Novice 3", AI48, AO48="Intermediate 2", AI48, AO48="Intermediate 1", AI48, AO48="Advanced 2", (IF((AI48+(($D48-$C48)/2))&gt;$D48, $C48, (AI48+(($D48-$C48)/2)))), AO48="Advanced 1", (IF((AI48+(($D48-$C48)/2))&gt;$D48, $C48, (AI48+(($D48-$C48)/2)))))), (NOT((AND(AL48=TRUE, AM48="Yes")))), AI48)</f>
        <v>---</v>
      </c>
      <c r="AW48" s="46" t="str">
        <f t="shared" ref="AW48:AW53" si="452">IFS((AND(AL48=TRUE, AM48="Yes")), (IFS(ISBLANK(AO48), AJ48, AO48="Novice 1", AJ48, AO48="Novice 2", AJ48, AO48="Novice 3", AJ48, AO48="Intermediate 2", (IF((AJ48+(($F48-$E48)/2))&gt;$F48, $E48, (AJ48+(($F48-$E48)/2)))), AO48="Intermediate 1", (IF((AJ48-(($F48-$E48)/2))&lt;$E48, $F48, (AJ48-(($F48-$E48)/2)))), AO48="Advanced 2", (IF((((($D48-$C48)/2))+AI48)&gt;$D48, (IF((AJ48+(($F48-$E48)/2))&gt;$F48, $E48, (AJ48+(($F48-$E48)/2)))), AJ48)), AO48="Advanced 1", (IF((((($D48-$C48)/2))+AI48)&gt;$D48, (IF((AJ48-(($F48-$E48)/2))&lt;$E48, $F48, (AJ48-(($F48-$E48)/2)))), AJ48)))), (NOT((AND(AL48=TRUE, AM48="Yes")))), AJ48)</f>
        <v>---</v>
      </c>
      <c r="AX48" s="40" t="str">
        <f>IFERROR(__xludf.DUMMYFUNCTION("IFS((AND(AL48=TRUE, AM48=""Yes"")), (IFS(ISBLANK(AO48), AK48, AO48=""Novice 1"", CEILING((AK48*1.05), $H48), AO48=""Novice 2"", CEILING((AK48*1.025), $H48), AO48=""Novice 3"", AK48+$H48, AO48=""Intermediate 2"", (IF((ISBETWEEN(((((AD48-AC48)/2))+AJ48), AC"&amp;"48, AD48)), AK48, AK48+$H48)), AO48=""Intermediate 1"", (IF((ISBETWEEN((AJ48-((AD48-AC48)/2)), AC48, AD48)), AK48+$H48, (FLOOR((AK48*0.9875), $H48)))), AO48=""Advanced 2"", (IF(AND(((AI48+((AB48-AA48)/2))&gt;AB48), ((AJ48+((AD48-AC48)/2))&gt;AD48)), AK48+$H48, "&amp;"(AK48))), AO48=""Advanced 1"", (IFS(AW48&lt;AJ48, AK48+$H48, AW48=AJ48, (AK48), AW48&gt;AJ48, (FLOOR((AK48*0.9875), $H48)))))), (AND(AD48=TRUE, AE48=""No"", AL48=TRUE, AM48=""No"")), (FLOOR((AK48*0.9), $H48)), (NOT((AND(AL48=TRUE, AM48=""Yes"")))), AK48)"),"---")</f>
        <v>---</v>
      </c>
      <c r="AY48" s="41" t="b">
        <v>0</v>
      </c>
      <c r="AZ48" s="47"/>
      <c r="BA48" s="47"/>
      <c r="BB48" s="47" t="str">
        <f t="shared" ref="BB48:BB53" si="453">IF((AND(AL48=TRUE, AM48="No", AY48=TRUE, AZ48="No")), (IFS(ISBLANK(AO48), AO48, AO48="Novice 1", "Novice 2", AO48="Novice 2", "Novice 3", AO48="Novice 3", "Intermediate 1", AO48="Intermediate 1", "Intermediate 2", AO48="Intermediate 2", "Advanced 1", AO48="Advanced 1", "Advanced 2", AO48="Advanced 2", "Advanced 2")), AO48)</f>
        <v/>
      </c>
      <c r="BC48" s="45" t="s">
        <v>8</v>
      </c>
      <c r="BD48" s="39" t="str">
        <f t="shared" ref="BD48:BD53" si="454">IFS((AND(AY48=TRUE, AZ48="Yes")), (ifs(ISBLANK(BB48), AV48, BB48="Novice 1", AV48, BB48="Novice 2", AV48, BB48="Novice 3", AV48, BB48="Intermediate 2", AV48, BB48="Intermediate 1", AV48, BB48="Advanced 2", (IF((AV48+(($D48-$C48)/2))&gt;$D48, $C48, (AV48+(($D48-$C48)/2)))), BB48="Advanced 1", (IF((AV48+(($D48-$C48)/2))&gt;$D48, $C48, (AV48+(($D48-$C48)/2)))))), (NOT((AND(AY48=TRUE, AZ48="Yes")))), AV48)</f>
        <v>---</v>
      </c>
      <c r="BE48" s="46" t="str">
        <f t="shared" ref="BE48:BE53" si="455">IFS((AND(AY48=TRUE, AZ48="Yes")), (IFS(ISBLANK(BB48), AW48, BB48="Novice 1", AW48, BB48="Novice 2", AW48, BB48="Novice 3", AW48, BB48="Intermediate 2", (IF((AW48+(($F48-$E48)/2))&gt;$F48, $E48, (AW48+(($F48-$E48)/2)))), BB48="Intermediate 1", (IF((AW48-(($F48-$E48)/2))&lt;$E48, $F48, (AW48-(($F48-$E48)/2)))), BB48="Advanced 2", (IF((((($D48-$C48)/2))+AV48)&gt;$D48, (IF((AW48+(($F48-$E48)/2))&gt;$F48, $E48, (AW48+(($F48-$E48)/2)))), AW48)), BB48="Advanced 1", (IF((((($D48-$C48)/2))+AV48)&gt;$D48, (IF((AW48-(($F48-$E48)/2))&lt;$E48, $F48, (AW48-(($F48-$E48)/2)))), AW48)))), (NOT((AND(AY48=TRUE, AZ48="Yes")))), AW48)</f>
        <v>---</v>
      </c>
      <c r="BF48" s="40" t="str">
        <f>IFERROR(__xludf.DUMMYFUNCTION("IFS((AND(AY48=TRUE, AZ48=""Yes"")), (IFS(ISBLANK(BB48), AX48, BB48=""Novice 1"", CEILING((AX48*1.05), $H48), BB48=""Novice 2"", CEILING((AX48*1.025), $H48), BB48=""Novice 3"", AX48+$H48, BB48=""Intermediate 2"", (IF((ISBETWEEN(((((AL48-AK48)/2))+AW48), AK"&amp;"48, AL48)), AX48, AX48+$H48)), BB48=""Intermediate 1"", (IF((ISBETWEEN((AW48-((AL48-AK48)/2)), AK48, AL48)), AX48+$H48, (FLOOR((AX48*0.9875), $H48)))), BB48=""Advanced 2"", (IF(AND(((AV48+((AJ48-AI48)/2))&gt;AJ48), ((AW48+((AL48-AK48)/2))&gt;AL48)), AX48+$H48, "&amp;"(AX48))), BB48=""Advanced 1"", (IFS(BE48&lt;AW48, AX48+$H48, BE48=AW48, (AX48), BE48&gt;AW48, (FLOOR((AX48*0.9875), $H48)))))), (AND(AL48=TRUE, AM48=""No"", AY48=TRUE, AZ48=""No"")), (FLOOR((AX48*0.9), $H48)), (NOT((AND(AY48=TRUE, AZ48=""Yes"")))), AX48)"),"---")</f>
        <v>---</v>
      </c>
      <c r="BG48" s="41" t="b">
        <v>0</v>
      </c>
      <c r="BH48" s="47"/>
      <c r="BI48" s="47"/>
      <c r="BJ48" s="47" t="str">
        <f t="shared" ref="BJ48:BJ53" si="456">IF((AND(AY48=TRUE, AZ48="No", BG48=TRUE, BH48="No")), (IFS(ISBLANK(BB48), BB48, BB48="Novice 1", "Novice 2", BB48="Novice 2", "Novice 3", BB48="Novice 3", "Intermediate 1", BB48="Intermediate 1", "Intermediate 2", BB48="Intermediate 2", "Advanced 1", BB48="Advanced 1", "Advanced 2", BB48="Advanced 2", "Advanced 2")), BB48)</f>
        <v/>
      </c>
      <c r="BK48" s="45" t="s">
        <v>9</v>
      </c>
      <c r="BL48" s="39" t="str">
        <f t="shared" ref="BL48:BL53" si="457">IFS((AND(BG48=TRUE, BH48="Yes")), (ifs(ISBLANK(BJ48), BD48, BJ48="Novice 1", BD48, BJ48="Novice 2", BD48, BJ48="Novice 3", BD48, BJ48="Intermediate 2", BD48, BJ48="Intermediate 1", BD48, BJ48="Advanced 2", (IF((BD48+(($D48-$C48)/2))&gt;$D48, $C48, (BD48+(($D48-$C48)/2)))), BJ48="Advanced 1", (IF((BD48+(($D48-$C48)/2))&gt;$D48, $C48, (BD48+(($D48-$C48)/2)))))), (NOT((AND(BG48=TRUE, BH48="Yes")))), BD48)</f>
        <v>---</v>
      </c>
      <c r="BM48" s="46" t="str">
        <f t="shared" ref="BM48:BM53" si="458">IFS((AND(BG48=TRUE, BH48="Yes")), (IFS(ISBLANK(BJ48), BE48, BJ48="Novice 1", BE48, BJ48="Novice 2", BE48, BJ48="Novice 3", BE48, BJ48="Intermediate 2", (IF((BE48+(($F48-$E48)/2))&gt;$F48, $E48, (BE48+(($F48-$E48)/2)))), BJ48="Intermediate 1", (IF((BE48-(($F48-$E48)/2))&lt;$E48, $F48, (BE48-(($F48-$E48)/2)))), BJ48="Advanced 2", (IF((((($D48-$C48)/2))+BD48)&gt;$D48, (IF((BE48+(($F48-$E48)/2))&gt;$F48, $E48, (BE48+(($F48-$E48)/2)))), BE48)), BJ48="Advanced 1", (IF((((($D48-$C48)/2))+BD48)&gt;$D48, (IF((BE48-(($F48-$E48)/2))&lt;$E48, $F48, (BE48-(($F48-$E48)/2)))), BE48)))), (NOT((AND(BG48=TRUE, BH48="Yes")))), BE48)</f>
        <v>---</v>
      </c>
      <c r="BN48" s="40" t="str">
        <f>IFERROR(__xludf.DUMMYFUNCTION("IFS((AND(BG48=TRUE, BH48=""Yes"")), (IFS(ISBLANK(BJ48), BF48, BJ48=""Novice 1"", CEILING((BF48*1.05), $H48), BJ48=""Novice 2"", CEILING((BF48*1.025), $H48), BJ48=""Novice 3"", BF48+$H48, BJ48=""Intermediate 2"", (IF((ISBETWEEN(((((AY48-AX48)/2))+BE48), AX"&amp;"48, AY48)), BF48, BF48+$H48)), BJ48=""Intermediate 1"", (IF((ISBETWEEN((BE48-((AY48-AX48)/2)), AX48, AY48)), BF48+$H48, (FLOOR((BF48*0.9875), $H48)))), BJ48=""Advanced 2"", (IF(AND(((BD48+((AW48-AV48)/2))&gt;AW48), ((BE48+((AY48-AX48)/2))&gt;AY48)), BF48+$H48, "&amp;"(BF48))), BJ48=""Advanced 1"", (IFS(BM48&lt;BE48, BF48+$H48, BM48=BE48, (BF48), BM48&gt;BE48, (FLOOR((BF48*0.9875), $H48)))))), (AND(AY48=TRUE, AZ48=""No"", BG48=TRUE, BH48=""No"")), (FLOOR((BF48*0.9), $H48)), (NOT((AND(BG48=TRUE, BH48=""Yes"")))), BF48)"),"---")</f>
        <v>---</v>
      </c>
      <c r="BO48" s="41" t="b">
        <v>0</v>
      </c>
      <c r="BP48" s="47"/>
      <c r="BQ48" s="47"/>
      <c r="BR48" s="47" t="str">
        <f t="shared" ref="BR48:BR53" si="459">IF((AND(BG48=TRUE, BH48="No", BO48=TRUE, BP48="No")), (IFS(ISBLANK(BJ48), BJ48, BJ48="Novice 1", "Novice 2", BJ48="Novice 2", "Novice 3", BJ48="Novice 3", "Intermediate 1", BJ48="Intermediate 1", "Intermediate 2", BJ48="Intermediate 2", "Advanced 1", BJ48="Advanced 1", "Advanced 2", BJ48="Advanced 2", "Advanced 2")), BJ48)</f>
        <v/>
      </c>
      <c r="BS48" s="45" t="s">
        <v>10</v>
      </c>
      <c r="BT48" s="48" t="str">
        <f t="shared" ref="BT48:BT53" si="460">IFS((AND(BO48=TRUE, BP48="Yes")), (ifs(ISBLANK(BR48), BL48, BR48="Novice 1", BL48, BR48="Novice 2", BL48, BR48="Novice 3", BL48, BR48="Intermediate 2", BL48, BR48="Intermediate 1", BL48, BR48="Advanced 2", (IF((BL48+(($D48-$C48)/2))&gt;$D48, $C48, (BL48+(($D48-$C48)/2)))), BR48="Advanced 1", (IF((BL48+(($D48-$C48)/2))&gt;$D48, $C48, (BL48+(($D48-$C48)/2)))))), (NOT((AND(BO48=TRUE, BP48="Yes")))), BL48)</f>
        <v>---</v>
      </c>
      <c r="BU48" s="49" t="str">
        <f t="shared" ref="BU48:BU53" si="461">IFS((AND(BO48=TRUE, BP48="Yes")), (IFS(ISBLANK(BR48), BM48, BR48="Novice 1", BM48, BR48="Novice 2", BM48, BR48="Novice 3", BM48, BR48="Intermediate 2", (IF((BM48+(($F48-$E48)/2))&gt;$F48, $E48, (BM48+(($F48-$E48)/2)))), BR48="Intermediate 1", (IF((BM48-(($F48-$E48)/2))&lt;$E48, $F48, (BM48-(($F48-$E48)/2)))), BR48="Advanced 2", (IF((((($D48-$C48)/2))+BL48)&gt;$D48, (IF((BM48+(($F48-$E48)/2))&gt;$F48, $E48, (BM48+(($F48-$E48)/2)))), BM48)), BR48="Advanced 1", (IF((((($D48-$C48)/2))+BL48)&gt;$D48, (IF((BM48-(($F48-$E48)/2))&lt;$E48, $F48, (BM48-(($F48-$E48)/2)))), BM48)))), (NOT((AND(BO48=TRUE, BP48="Yes")))), BM48)</f>
        <v>---</v>
      </c>
      <c r="BV48" s="50" t="str">
        <f>IFERROR(__xludf.DUMMYFUNCTION("IFS((AND(BO48=TRUE, BP48=""Yes"")), (IFS(ISBLANK(BR48), BN48, BR48=""Novice 1"", CEILING((BN48*1.05), $H48), BR48=""Novice 2"", CEILING((BN48*1.025), $H48), BR48=""Novice 3"", BN48+$H48, BR48=""Intermediate 2"", (IF((ISBETWEEN(((((BG48-BF48)/2))+BM48), BF"&amp;"48, BG48)), BN48, BN48+$H48)), BR48=""Intermediate 1"", (IF((ISBETWEEN((BM48-((BG48-BF48)/2)), BF48, BG48)), BN48+$H48, (FLOOR((BN48*0.9875), $H48)))), BR48=""Advanced 2"", (IF(AND(((BL48+((BE48-BD48)/2))&gt;BE48), ((BM48+((BG48-BF48)/2))&gt;BG48)), BN48+$H48, "&amp;"(BN48))), BR48=""Advanced 1"", (IFS(BU48&lt;BM48, BN48+$H48, BU48=BM48, (BN48), BU48&gt;BM48, (FLOOR((BN48*0.9875), $H48)))))), (AND(BG48=TRUE, BH48=""No"", BO48=TRUE, BP48=""No"")), (FLOOR((BN48*0.9), $H48)), (NOT((AND(BO48=TRUE, BP48=""Yes"")))), BN48)"),"---")</f>
        <v>---</v>
      </c>
      <c r="BW48" s="51" t="b">
        <v>0</v>
      </c>
      <c r="BX48" s="52"/>
      <c r="BY48" s="52"/>
      <c r="BZ48" s="52" t="str">
        <f t="shared" ref="BZ48:BZ53" si="462">IF((AND(BO48=TRUE, BP48="No", BW48=TRUE, BX48="No")), (IFS(ISBLANK(BR48), BR48, BR48="Novice 1", "Novice 2", BR48="Novice 2", "Novice 3", BR48="Novice 3", "Intermediate 1", BR48="Intermediate 1", "Intermediate 2", BR48="Intermediate 2", "Advanced 1", BR48="Advanced 1", "Advanced 2", BR48="Advanced 2", "Advanced 2")), BR48)</f>
        <v/>
      </c>
      <c r="CA48" s="45" t="s">
        <v>6</v>
      </c>
      <c r="CB48" s="53" t="str">
        <f t="shared" ref="CB48:CC48" si="433">IFERROR(BT48/2,BT48)</f>
        <v>---</v>
      </c>
      <c r="CC48" s="53" t="str">
        <f t="shared" si="433"/>
        <v>---</v>
      </c>
      <c r="CD48" s="53" t="str">
        <f t="shared" ref="CD48:CD53" si="464">BV48</f>
        <v>---</v>
      </c>
      <c r="CE48" s="54"/>
      <c r="CF48" s="45" t="s">
        <v>11</v>
      </c>
      <c r="CG48" s="39" t="str">
        <f t="shared" ref="CG48:CG53" si="465">IFS((AND(BW48=TRUE, BX48="Yes")), (ifs(ISBLANK(BZ48), BT48, BZ48="Novice 1", BT48, BZ48="Novice 2", BT48, BZ48="Novice 3", BT48, BZ48="Intermediate 2", BT48, BZ48="Intermediate 1", BT48, BZ48="Advanced 2", (IF((BT48+(($D48-$C48)/2))&gt;$D48, $C48, (BT48+(($D48-$C48)/2)))), BZ48="Advanced 1", (IF((BT48+(($D48-$C48)/2))&gt;$D48, $C48, (BT48+(($D48-$C48)/2)))))), (NOT((AND(BW48=TRUE, BX48="Yes")))), BT48)</f>
        <v>---</v>
      </c>
      <c r="CH48" s="46" t="str">
        <f t="shared" ref="CH48:CH53" si="466">IFS((AND(BW48=TRUE, BX48="Yes")), (IFS(ISBLANK(BZ48), BU48, BZ48="Novice 1", BU48, BZ48="Novice 2", BU48, BZ48="Novice 3", BU48, BZ48="Intermediate 2", (IF((BU48+(($F48-$E48)/2))&gt;$F48, $E48, (BU48+(($F48-$E48)/2)))), BZ48="Intermediate 1", (IF((BU48-(($F48-$E48)/2))&lt;$E48, $F48, (BU48-(($F48-$E48)/2)))), BZ48="Advanced 2", (IF((((($D48-$C48)/2))+BT48)&gt;$D48, (IF((BU48+(($F48-$E48)/2))&gt;$F48, $E48, (BU48+(($F48-$E48)/2)))), BU48)), BZ48="Advanced 1", (IF((((($D48-$C48)/2))+BT48)&gt;$D48, (IF((BU48-(($F48-$E48)/2))&lt;$E48, $F48, (BU48-(($F48-$E48)/2)))), BU48)))), (NOT((AND(BW48=TRUE, BX48="Yes")))), BU48)</f>
        <v>---</v>
      </c>
      <c r="CI48" s="40" t="str">
        <f>IFERROR(__xludf.DUMMYFUNCTION("IFS((AND(BW48=TRUE, BX48=""Yes"")), (IFS(ISBLANK(BZ48), BV48, BZ48=""Novice 1"", CEILING((BV48*1.05), $H48), BZ48=""Novice 2"", CEILING((BV48*1.025), $H48), BZ48=""Novice 3"", BV48+$H48, BZ48=""Intermediate 2"", (IF((ISBETWEEN(((((BO48-BN48)/2))+BU48), BN"&amp;"48, BO48)), BV48, BV48+$H48)), BZ48=""Intermediate 1"", (IF((ISBETWEEN((BU48-((BO48-BN48)/2)), BN48, BO48)), BV48+$H48, (FLOOR((BV48*0.9875), $H48)))), BZ48=""Advanced 2"", (IF(AND(((BT48+((BM48-BL48)/2))&gt;BM48), ((BU48+((BO48-BN48)/2))&gt;BO48)), BV48+$H48, "&amp;"(BV48))), BZ48=""Advanced 1"", (IFS(CH48&lt;BU48, BV48+$H48, CH48=BU48, (BV48), CH48&gt;BU48, (FLOOR((BV48*0.9875), $H48)))))), (AND(BO48=TRUE, BP48=""No"", BW48=TRUE, BX48=""No"")), (FLOOR((BV48*0.9), $H48)), (NOT((AND(BW48=TRUE, BX48=""Yes"")))), BV48)"),"---")</f>
        <v>---</v>
      </c>
      <c r="CJ48" s="41" t="b">
        <v>0</v>
      </c>
      <c r="CK48" s="47"/>
      <c r="CL48" s="47"/>
      <c r="CM48" s="47" t="str">
        <f t="shared" ref="CM48:CM53" si="467">IF((AND(BW48=TRUE, BX48="No", CJ48=TRUE, CK48="No")), (IFS(ISBLANK(BZ48), BZ48, BZ48="Novice 1", "Novice 2", BZ48="Novice 2", "Novice 3", BZ48="Novice 3", "Intermediate 1", BZ48="Intermediate 1", "Intermediate 2", BZ48="Intermediate 2", "Advanced 1", BZ48="Advanced 1", "Advanced 2", BZ48="Advanced 2", "Advanced 2")), BZ48)</f>
        <v/>
      </c>
      <c r="CN48" s="45" t="s">
        <v>12</v>
      </c>
      <c r="CO48" s="39" t="str">
        <f t="shared" ref="CO48:CO53" si="468">IFS((AND(CJ48=TRUE, CK48="Yes")), (ifs(ISBLANK(CM48), CG48, CM48="Novice 1", CG48, CM48="Novice 2", CG48, CM48="Novice 3", CG48, CM48="Intermediate 2", CG48, CM48="Intermediate 1", CG48, CM48="Advanced 2", (IF((CG48+(($D48-$C48)/2))&gt;$D48, $C48, (CG48+(($D48-$C48)/2)))), CM48="Advanced 1", (IF((CG48+(($D48-$C48)/2))&gt;$D48, $C48, (CG48+(($D48-$C48)/2)))))), (NOT((AND(CJ48=TRUE, CK48="Yes")))), CG48)</f>
        <v>---</v>
      </c>
      <c r="CP48" s="46" t="str">
        <f t="shared" ref="CP48:CP53" si="469">IFS((AND(CJ48=TRUE, CK48="Yes")), (IFS(ISBLANK(CM48), CH48, CM48="Novice 1", CH48, CM48="Novice 2", CH48, CM48="Novice 3", CH48, CM48="Intermediate 2", (IF((CH48+(($F48-$E48)/2))&gt;$F48, $E48, (CH48+(($F48-$E48)/2)))), CM48="Intermediate 1", (IF((CH48-(($F48-$E48)/2))&lt;$E48, $F48, (CH48-(($F48-$E48)/2)))), CM48="Advanced 2", (IF((((($D48-$C48)/2))+CG48)&gt;$D48, (IF((CH48+(($F48-$E48)/2))&gt;$F48, $E48, (CH48+(($F48-$E48)/2)))), CH48)), CM48="Advanced 1", (IF((((($D48-$C48)/2))+CG48)&gt;$D48, (IF((CH48-(($F48-$E48)/2))&lt;$E48, $F48, (CH48-(($F48-$E48)/2)))), CH48)))), (NOT((AND(CJ48=TRUE, CK48="Yes")))), CH48)</f>
        <v>---</v>
      </c>
      <c r="CQ48" s="40" t="str">
        <f>IFERROR(__xludf.DUMMYFUNCTION("IFS((AND(CJ48=TRUE, CK48=""Yes"")), (IFS(ISBLANK(CM48), CI48, CM48=""Novice 1"", CEILING((CI48*1.05), $H48), CM48=""Novice 2"", CEILING((CI48*1.025), $H48), CM48=""Novice 3"", CI48+$H48, CM48=""Intermediate 2"", (IF((ISBETWEEN(((((BW48-BV48)/2))+CH48), BV"&amp;"48, BW48)), CI48, CI48+$H48)), CM48=""Intermediate 1"", (IF((ISBETWEEN((CH48-((BW48-BV48)/2)), BV48, BW48)), CI48+$H48, (FLOOR((CI48*0.9875), $H48)))), CM48=""Advanced 2"", (IF(AND(((CG48+((BU48-BT48)/2))&gt;BU48), ((CH48+((BW48-BV48)/2))&gt;BW48)), CI48+$H48, "&amp;"(CI48))), CM48=""Advanced 1"", (IFS(CP48&lt;CH48, CI48+$H48, CP48=CH48, (CI48), CP48&gt;CH48, (FLOOR((CI48*0.9875), $H48)))))), (AND(BW48=TRUE, BX48=""No"", CJ48=TRUE, CK48=""No"")), (FLOOR((CI48*0.9), $H48)), (NOT((AND(CJ48=TRUE, CK48=""Yes"")))), CI48)"),"---")</f>
        <v>---</v>
      </c>
      <c r="CR48" s="41" t="b">
        <v>0</v>
      </c>
      <c r="CS48" s="47"/>
      <c r="CT48" s="47"/>
      <c r="CU48" s="47" t="str">
        <f t="shared" ref="CU48:CU53" si="470">IF((AND(CJ48=TRUE, CK48="No", CR48=TRUE, CS48="No")), (IFS(ISBLANK(CM48), CM48, CM48="Novice 1", "Novice 2", CM48="Novice 2", "Novice 3", CM48="Novice 3", "Intermediate 1", CM48="Intermediate 1", "Intermediate 2", CM48="Intermediate 2", "Advanced 1", CM48="Advanced 1", "Advanced 2", CM48="Advanced 2", "Advanced 2")), CM48)</f>
        <v/>
      </c>
      <c r="CV48" s="45" t="s">
        <v>13</v>
      </c>
      <c r="CW48" s="39" t="str">
        <f t="shared" ref="CW48:CW53" si="471">IFS((AND(CR48=TRUE, CS48="Yes")), (ifs(ISBLANK(CU48), CO48, CU48="Novice 1", CO48, CU48="Novice 2", CO48, CU48="Novice 3", CO48, CU48="Intermediate 2", CO48, CU48="Intermediate 1", CO48, CU48="Advanced 2", (IF((CO48+(($D48-$C48)/2))&gt;$D48, $C48, (CO48+(($D48-$C48)/2)))), CU48="Advanced 1", (IF((CO48+(($D48-$C48)/2))&gt;$D48, $C48, (CO48+(($D48-$C48)/2)))))), (NOT((AND(CR48=TRUE, CS48="Yes")))), CO48)</f>
        <v>---</v>
      </c>
      <c r="CX48" s="46" t="str">
        <f t="shared" ref="CX48:CX53" si="472">IFS((AND(CR48=TRUE, CS48="Yes")), (IFS(ISBLANK(CU48), CP48, CU48="Novice 1", CP48, CU48="Novice 2", CP48, CU48="Novice 3", CP48, CU48="Intermediate 2", (IF((CP48+(($F48-$E48)/2))&gt;$F48, $E48, (CP48+(($F48-$E48)/2)))), CU48="Intermediate 1", (IF((CP48-(($F48-$E48)/2))&lt;$E48, $F48, (CP48-(($F48-$E48)/2)))), CU48="Advanced 2", (IF((((($D48-$C48)/2))+CO48)&gt;$D48, (IF((CP48+(($F48-$E48)/2))&gt;$F48, $E48, (CP48+(($F48-$E48)/2)))), CP48)), CU48="Advanced 1", (IF((((($D48-$C48)/2))+CO48)&gt;$D48, (IF((CP48-(($F48-$E48)/2))&lt;$E48, $F48, (CP48-(($F48-$E48)/2)))), CP48)))), (NOT((AND(CR48=TRUE, CS48="Yes")))), CP48)</f>
        <v>---</v>
      </c>
      <c r="CY48" s="40" t="str">
        <f>IFERROR(__xludf.DUMMYFUNCTION("IFS((AND(CR48=TRUE, CS48=""Yes"")), (IFS(ISBLANK(CU48), CQ48, CU48=""Novice 1"", CEILING((CQ48*1.05), $H48), CU48=""Novice 2"", CEILING((CQ48*1.025), $H48), CU48=""Novice 3"", CQ48+$H48, CU48=""Intermediate 2"", (IF((ISBETWEEN(((((CJ48-CI48)/2))+CP48), CI"&amp;"48, CJ48)), CQ48, CQ48+$H48)), CU48=""Intermediate 1"", (IF((ISBETWEEN((CP48-((CJ48-CI48)/2)), CI48, CJ48)), CQ48+$H48, (FLOOR((CQ48*0.9875), $H48)))), CU48=""Advanced 2"", (IF(AND(((CO48+((CH48-CG48)/2))&gt;CH48), ((CP48+((CJ48-CI48)/2))&gt;CJ48)), CQ48+$H48, "&amp;"(CQ48))), CU48=""Advanced 1"", (IFS(CX48&lt;CP48, CQ48+$H48, CX48=CP48, (CQ48), CX48&gt;CP48, (FLOOR((CQ48*0.9875), $H48)))))), (AND(CJ48=TRUE, CK48=""No"", CR48=TRUE, CS48=""No"")), (FLOOR((CQ48*0.9), $H48)), (NOT((AND(CR48=TRUE, CS48=""Yes"")))), CQ48)"),"---")</f>
        <v>---</v>
      </c>
      <c r="CZ48" s="41" t="b">
        <v>0</v>
      </c>
      <c r="DA48" s="47"/>
      <c r="DB48" s="47"/>
      <c r="DC48" s="47" t="str">
        <f t="shared" ref="DC48:DC53" si="473">IF((AND(CR48=TRUE, CS48="No", CZ48=TRUE, DA48="No")), (IFS(ISBLANK(CU48), CU48, CU48="Novice 1", "Novice 2", CU48="Novice 2", "Novice 3", CU48="Novice 3", "Intermediate 1", CU48="Intermediate 1", "Intermediate 2", CU48="Intermediate 2", "Advanced 1", CU48="Advanced 1", "Advanced 2", CU48="Advanced 2", "Advanced 2")), CU48)</f>
        <v/>
      </c>
      <c r="DD48" s="45" t="s">
        <v>14</v>
      </c>
      <c r="DE48" s="48" t="str">
        <f t="shared" ref="DE48:DE53" si="474">IFS((AND(CZ48=TRUE, DA48="Yes")), (ifs(ISBLANK(DC48), CW48, DC48="Novice 1", CW48, DC48="Novice 2", CW48, DC48="Novice 3", CW48, DC48="Intermediate 2", CW48, DC48="Intermediate 1", CW48, DC48="Advanced 2", (IF((CW48+(($D48-$C48)/2))&gt;$D48, $C48, (CW48+(($D48-$C48)/2)))), DC48="Advanced 1", (IF((CW48+(($D48-$C48)/2))&gt;$D48, $C48, (CW48+(($D48-$C48)/2)))))), (NOT((AND(CZ48=TRUE, DA48="Yes")))), CW48)</f>
        <v>---</v>
      </c>
      <c r="DF48" s="49" t="str">
        <f t="shared" ref="DF48:DF53" si="475">IFS((AND(CZ48=TRUE, DA48="Yes")), (IFS(ISBLANK(DC48), CX48, DC48="Novice 1", CX48, DC48="Novice 2", CX48, DC48="Novice 3", CX48, DC48="Intermediate 2", (IF((CX48+(($F48-$E48)/2))&gt;$F48, $E48, (CX48+(($F48-$E48)/2)))), DC48="Intermediate 1", (IF((CX48-(($F48-$E48)/2))&lt;$E48, $F48, (CX48-(($F48-$E48)/2)))), DC48="Advanced 2", (IF((((($D48-$C48)/2))+CW48)&gt;$D48, (IF((CX48+(($F48-$E48)/2))&gt;$F48, $E48, (CX48+(($F48-$E48)/2)))), CX48)), DC48="Advanced 1", (IF((((($D48-$C48)/2))+CW48)&gt;$D48, (IF((CX48-(($F48-$E48)/2))&lt;$E48, $F48, (CX48-(($F48-$E48)/2)))), CX48)))), (NOT((AND(CZ48=TRUE, DA48="Yes")))), CX48)</f>
        <v>---</v>
      </c>
      <c r="DG48" s="50" t="str">
        <f>IFERROR(__xludf.DUMMYFUNCTION("IFS((AND(CZ48=TRUE, DA48=""Yes"")), (IFS(ISBLANK(DC48), CY48, DC48=""Novice 1"", CEILING((CY48*1.05), $H48), DC48=""Novice 2"", CEILING((CY48*1.025), $H48), DC48=""Novice 3"", CY48+$H48, DC48=""Intermediate 2"", (IF((ISBETWEEN(((((CR48-CQ48)/2))+CX48), CQ"&amp;"48, CR48)), CY48, CY48+$H48)), DC48=""Intermediate 1"", (IF((ISBETWEEN((CX48-((CR48-CQ48)/2)), CQ48, CR48)), CY48+$H48, (FLOOR((CY48*0.9875), $H48)))), DC48=""Advanced 2"", (IF(AND(((CW48+((CP48-CO48)/2))&gt;CP48), ((CX48+((CR48-CQ48)/2))&gt;CR48)), CY48+$H48, "&amp;"(CY48))), DC48=""Advanced 1"", (IFS(DF48&lt;CX48, CY48+$H48, DF48=CX48, (CY48), DF48&gt;CX48, (FLOOR((CY48*0.9875), $H48)))))), (AND(CR48=TRUE, CS48=""No"", CZ48=TRUE, DA48=""No"")), (FLOOR((CY48*0.9), $H48)), (NOT((AND(CZ48=TRUE, DA48=""Yes"")))), CY48)"),"---")</f>
        <v>---</v>
      </c>
      <c r="DH48" s="51" t="b">
        <v>0</v>
      </c>
      <c r="DI48" s="52"/>
      <c r="DJ48" s="52"/>
      <c r="DK48" s="52" t="str">
        <f t="shared" ref="DK48:DK53" si="476">IF((AND(CZ48=TRUE, DA48="No", DH48=TRUE, DI48="No")), (IFS(ISBLANK(DC48), DC48, DC48="Novice 1", "Novice 2", DC48="Novice 2", "Novice 3", DC48="Novice 3", "Intermediate 1", DC48="Intermediate 1", "Intermediate 2", DC48="Intermediate 2", "Advanced 1", DC48="Advanced 1", "Advanced 2", DC48="Advanced 2", "Advanced 2")), DC48)</f>
        <v/>
      </c>
      <c r="DL48" s="45" t="s">
        <v>6</v>
      </c>
      <c r="DM48" s="53" t="str">
        <f t="shared" ref="DM48:DN48" si="434">IFERROR(DE48/2,DE48)</f>
        <v>---</v>
      </c>
      <c r="DN48" s="53" t="str">
        <f t="shared" si="434"/>
        <v>---</v>
      </c>
      <c r="DO48" s="53" t="str">
        <f t="shared" ref="DO48:DO53" si="478">DG48</f>
        <v>---</v>
      </c>
      <c r="DP48" s="54"/>
      <c r="DQ48" s="45" t="s">
        <v>15</v>
      </c>
      <c r="DR48" s="39" t="str">
        <f t="shared" ref="DR48:DR53" si="479">IFS((AND(DH48=TRUE, DI48="Yes")), (ifs(ISBLANK(DK48), DE48, DK48="Novice 1", DE48, DK48="Novice 2", DE48, DK48="Novice 3", DE48, DK48="Intermediate 2", DE48, DK48="Intermediate 1", DE48, DK48="Advanced 2", (IF((DE48+(($D48-$C48)/2))&gt;$D48, $C48, (DE48+(($D48-$C48)/2)))), DK48="Advanced 1", (IF((DE48+(($D48-$C48)/2))&gt;$D48, $C48, (DE48+(($D48-$C48)/2)))))), (NOT((AND(DH48=TRUE, DI48="Yes")))), DE48)</f>
        <v>---</v>
      </c>
      <c r="DS48" s="46" t="str">
        <f t="shared" ref="DS48:DS53" si="480">IFS((AND(DH48=TRUE, DI48="Yes")), (IFS(ISBLANK(DK48), DF48, DK48="Novice 1", DF48, DK48="Novice 2", DF48, DK48="Novice 3", DF48, DK48="Intermediate 2", (IF((DF48+(($F48-$E48)/2))&gt;$F48, $E48, (DF48+(($F48-$E48)/2)))), DK48="Intermediate 1", (IF((DF48-(($F48-$E48)/2))&lt;$E48, $F48, (DF48-(($F48-$E48)/2)))), DK48="Advanced 2", (IF((((($D48-$C48)/2))+DE48)&gt;$D48, (IF((DF48+(($F48-$E48)/2))&gt;$F48, $E48, (DF48+(($F48-$E48)/2)))), DF48)), DK48="Advanced 1", (IF((((($D48-$C48)/2))+DE48)&gt;$D48, (IF((DF48-(($F48-$E48)/2))&lt;$E48, $F48, (DF48-(($F48-$E48)/2)))), DF48)))), (NOT((AND(DH48=TRUE, DI48="Yes")))), DF48)</f>
        <v>---</v>
      </c>
      <c r="DT48" s="40" t="str">
        <f>IFERROR(__xludf.DUMMYFUNCTION("IFS((AND(DH48=TRUE, DI48=""Yes"")), (IFS(ISBLANK(DK48), DG48, DK48=""Novice 1"", CEILING((DG48*1.05), $H48), DK48=""Novice 2"", CEILING((DG48*1.025), $H48), DK48=""Novice 3"", DG48+$H48, DK48=""Intermediate 2"", (IF((ISBETWEEN(((((CZ48-CY48)/2))+DF48), CY"&amp;"48, CZ48)), DG48, DG48+$H48)), DK48=""Intermediate 1"", (IF((ISBETWEEN((DF48-((CZ48-CY48)/2)), CY48, CZ48)), DG48+$H48, (FLOOR((DG48*0.9875), $H48)))), DK48=""Advanced 2"", (IF(AND(((DE48+((CX48-CW48)/2))&gt;CX48), ((DF48+((CZ48-CY48)/2))&gt;CZ48)), DG48+$H48, "&amp;"(DG48))), DK48=""Advanced 1"", (IFS(DS48&lt;DF48, DG48+$H48, DS48=DF48, (DG48), DS48&gt;DF48, (FLOOR((DG48*0.9875), $H48)))))), (AND(CZ48=TRUE, DA48=""No"", DH48=TRUE, DI48=""No"")), (FLOOR((DG48*0.9), $H48)), (NOT((AND(DH48=TRUE, DI48=""Yes"")))), DG48)"),"---")</f>
        <v>---</v>
      </c>
      <c r="DU48" s="41" t="b">
        <v>0</v>
      </c>
      <c r="DV48" s="47"/>
      <c r="DW48" s="47"/>
      <c r="DX48" s="47" t="str">
        <f t="shared" ref="DX48:DX53" si="481">IF((AND(DH48=TRUE, DI48="No", DU48=TRUE, DV48="No")), (IFS(ISBLANK(DK48), DK48, DK48="Novice 1", "Novice 2", DK48="Novice 2", "Novice 3", DK48="Novice 3", "Intermediate 1", DK48="Intermediate 1", "Intermediate 2", DK48="Intermediate 2", "Advanced 1", DK48="Advanced 1", "Advanced 2", DK48="Advanced 2", "Advanced 2")), DK48)</f>
        <v/>
      </c>
      <c r="DY48" s="45" t="s">
        <v>16</v>
      </c>
      <c r="DZ48" s="39" t="str">
        <f t="shared" ref="DZ48:DZ53" si="482">IFS((AND(DU48=TRUE, DV48="Yes")), (ifs(ISBLANK(DX48), DR48, DX48="Novice 1", DR48, DX48="Novice 2", DR48, DX48="Novice 3", DR48, DX48="Intermediate 2", DR48, DX48="Intermediate 1", DR48, DX48="Advanced 2", (IF((DR48+(($D48-$C48)/2))&gt;$D48, $C48, (DR48+(($D48-$C48)/2)))), DX48="Advanced 1", (IF((DR48+(($D48-$C48)/2))&gt;$D48, $C48, (DR48+(($D48-$C48)/2)))))), (NOT((AND(DU48=TRUE, DV48="Yes")))), DR48)</f>
        <v>---</v>
      </c>
      <c r="EA48" s="46" t="str">
        <f t="shared" ref="EA48:EA53" si="483">IFS((AND(DU48=TRUE, DV48="Yes")), (IFS(ISBLANK(DX48), DS48, DX48="Novice 1", DS48, DX48="Novice 2", DS48, DX48="Novice 3", DS48, DX48="Intermediate 2", (IF((DS48+(($F48-$E48)/2))&gt;$F48, $E48, (DS48+(($F48-$E48)/2)))), DX48="Intermediate 1", (IF((DS48-(($F48-$E48)/2))&lt;$E48, $F48, (DS48-(($F48-$E48)/2)))), DX48="Advanced 2", (IF((((($D48-$C48)/2))+DR48)&gt;$D48, (IF((DS48+(($F48-$E48)/2))&gt;$F48, $E48, (DS48+(($F48-$E48)/2)))), DS48)), DX48="Advanced 1", (IF((((($D48-$C48)/2))+DR48)&gt;$D48, (IF((DS48-(($F48-$E48)/2))&lt;$E48, $F48, (DS48-(($F48-$E48)/2)))), DS48)))), (NOT((AND(DU48=TRUE, DV48="Yes")))), DS48)</f>
        <v>---</v>
      </c>
      <c r="EB48" s="40" t="str">
        <f>IFERROR(__xludf.DUMMYFUNCTION("IFS((AND(DU48=TRUE, DV48=""Yes"")), (IFS(ISBLANK(DX48), DT48, DX48=""Novice 1"", CEILING((DT48*1.05), $H48), DX48=""Novice 2"", CEILING((DT48*1.025), $H48), DX48=""Novice 3"", DT48+$H48, DX48=""Intermediate 2"", (IF((ISBETWEEN(((((DH48-DG48)/2))+DS48), DG"&amp;"48, DH48)), DT48, DT48+$H48)), DX48=""Intermediate 1"", (IF((ISBETWEEN((DS48-((DH48-DG48)/2)), DG48, DH48)), DT48+$H48, (FLOOR((DT48*0.9875), $H48)))), DX48=""Advanced 2"", (IF(AND(((DR48+((DF48-DE48)/2))&gt;DF48), ((DS48+((DH48-DG48)/2))&gt;DH48)), DT48+$H48, "&amp;"(DT48))), DX48=""Advanced 1"", (IFS(EA48&lt;DS48, DT48+$H48, EA48=DS48, (DT48), EA48&gt;DS48, (FLOOR((DT48*0.9875), $H48)))))), (AND(DH48=TRUE, DI48=""No"", DU48=TRUE, DV48=""No"")), (FLOOR((DT48*0.9), $H48)), (NOT((AND(DU48=TRUE, DV48=""Yes"")))), DT48)"),"---")</f>
        <v>---</v>
      </c>
      <c r="EC48" s="41" t="b">
        <v>0</v>
      </c>
      <c r="ED48" s="47"/>
      <c r="EE48" s="47"/>
      <c r="EF48" s="47" t="str">
        <f t="shared" ref="EF48:EF53" si="484">IF((AND(DU48=TRUE, DV48="No", EC48=TRUE, ED48="No")), (IFS(ISBLANK(DX48), DX48, DX48="Novice 1", "Novice 2", DX48="Novice 2", "Novice 3", DX48="Novice 3", "Intermediate 1", DX48="Intermediate 1", "Intermediate 2", DX48="Intermediate 2", "Advanced 1", DX48="Advanced 1", "Advanced 2", DX48="Advanced 2", "Advanced 2")), DX48)</f>
        <v/>
      </c>
      <c r="EG48" s="45" t="s">
        <v>17</v>
      </c>
      <c r="EH48" s="39" t="str">
        <f t="shared" ref="EH48:EH53" si="485">IFS((AND(EC48=TRUE, ED48="Yes")), (ifs(ISBLANK(EF48), DZ48, EF48="Novice 1", DZ48, EF48="Novice 2", DZ48, EF48="Novice 3", DZ48, EF48="Intermediate 2", DZ48, EF48="Intermediate 1", DZ48, EF48="Advanced 2", (IF((DZ48+(($D48-$C48)/2))&gt;$D48, $C48, (DZ48+(($D48-$C48)/2)))), EF48="Advanced 1", (IF((DZ48+(($D48-$C48)/2))&gt;$D48, $C48, (DZ48+(($D48-$C48)/2)))))), (NOT((AND(EC48=TRUE, ED48="Yes")))), DZ48)</f>
        <v>---</v>
      </c>
      <c r="EI48" s="46" t="str">
        <f t="shared" ref="EI48:EI53" si="486">IFS((AND(EC48=TRUE, ED48="Yes")), (IFS(ISBLANK(EF48), EA48, EF48="Novice 1", EA48, EF48="Novice 2", EA48, EF48="Novice 3", EA48, EF48="Intermediate 2", (IF((EA48+(($F48-$E48)/2))&gt;$F48, $E48, (EA48+(($F48-$E48)/2)))), EF48="Intermediate 1", (IF((EA48-(($F48-$E48)/2))&lt;$E48, $F48, (EA48-(($F48-$E48)/2)))), EF48="Advanced 2", (IF((((($D48-$C48)/2))+DZ48)&gt;$D48, (IF((EA48+(($F48-$E48)/2))&gt;$F48, $E48, (EA48+(($F48-$E48)/2)))), EA48)), EF48="Advanced 1", (IF((((($D48-$C48)/2))+DZ48)&gt;$D48, (IF((EA48-(($F48-$E48)/2))&lt;$E48, $F48, (EA48-(($F48-$E48)/2)))), EA48)))), (NOT((AND(EC48=TRUE, ED48="Yes")))), EA48)</f>
        <v>---</v>
      </c>
      <c r="EJ48" s="40" t="str">
        <f>IFERROR(__xludf.DUMMYFUNCTION("IFS((AND(EC48=TRUE, ED48=""Yes"")), (IFS(ISBLANK(EF48), EB48, EF48=""Novice 1"", CEILING((EB48*1.05), $H48), EF48=""Novice 2"", CEILING((EB48*1.025), $H48), EF48=""Novice 3"", EB48+$H48, EF48=""Intermediate 2"", (IF((ISBETWEEN(((((DU48-DT48)/2))+EA48), DT"&amp;"48, DU48)), EB48, EB48+$H48)), EF48=""Intermediate 1"", (IF((ISBETWEEN((EA48-((DU48-DT48)/2)), DT48, DU48)), EB48+$H48, (FLOOR((EB48*0.9875), $H48)))), EF48=""Advanced 2"", (IF(AND(((DZ48+((DS48-DR48)/2))&gt;DS48), ((EA48+((DU48-DT48)/2))&gt;DU48)), EB48+$H48, "&amp;"(EB48))), EF48=""Advanced 1"", (IFS(EI48&lt;EA48, EB48+$H48, EI48=EA48, (EB48), EI48&gt;EA48, (FLOOR((EB48*0.9875), $H48)))))), (AND(DU48=TRUE, DV48=""No"", EC48=TRUE, ED48=""No"")), (FLOOR((EB48*0.9), $H48)), (NOT((AND(EC48=TRUE, ED48=""Yes"")))), EB48)"),"---")</f>
        <v>---</v>
      </c>
      <c r="EK48" s="41" t="b">
        <v>0</v>
      </c>
      <c r="EL48" s="47"/>
      <c r="EM48" s="47"/>
      <c r="EN48" s="47" t="str">
        <f t="shared" ref="EN48:EN53" si="487">IF((AND(EC48=TRUE, ED48="No", EK48=TRUE, EL48="No")), (IFS(ISBLANK(EF48), EF48, EF48="Novice 1", "Novice 2", EF48="Novice 2", "Novice 3", EF48="Novice 3", "Intermediate 1", EF48="Intermediate 1", "Intermediate 2", EF48="Intermediate 2", "Advanced 1", EF48="Advanced 1", "Advanced 2", EF48="Advanced 2", "Advanced 2")), EF48)</f>
        <v/>
      </c>
      <c r="EO48" s="45" t="s">
        <v>18</v>
      </c>
      <c r="EP48" s="48" t="str">
        <f t="shared" ref="EP48:EP53" si="488">IFS((AND(EK48=TRUE, EL48="Yes")), (ifs(ISBLANK(EN48), EH48, EN48="Novice 1", EH48, EN48="Novice 2", EH48, EN48="Novice 3", EH48, EN48="Intermediate 2", EH48, EN48="Intermediate 1", EH48, EN48="Advanced 2", (IF((EH48+(($D48-$C48)/2))&gt;$D48, $C48, (EH48+(($D48-$C48)/2)))), EN48="Advanced 1", (IF((EH48+(($D48-$C48)/2))&gt;$D48, $C48, (EH48+(($D48-$C48)/2)))))), (NOT((AND(EK48=TRUE, EL48="Yes")))), EH48)</f>
        <v>---</v>
      </c>
      <c r="EQ48" s="49" t="str">
        <f t="shared" ref="EQ48:EQ53" si="489">IFS((AND(EK48=TRUE, EL48="Yes")), (IFS(ISBLANK(EN48), EI48, EN48="Novice 1", EI48, EN48="Novice 2", EI48, EN48="Novice 3", EI48, EN48="Intermediate 2", (IF((EI48+(($F48-$E48)/2))&gt;$F48, $E48, (EI48+(($F48-$E48)/2)))), EN48="Intermediate 1", (IF((EI48-(($F48-$E48)/2))&lt;$E48, $F48, (EI48-(($F48-$E48)/2)))), EN48="Advanced 2", (IF((((($D48-$C48)/2))+EH48)&gt;$D48, (IF((EI48+(($F48-$E48)/2))&gt;$F48, $E48, (EI48+(($F48-$E48)/2)))), EI48)), EN48="Advanced 1", (IF((((($D48-$C48)/2))+EH48)&gt;$D48, (IF((EI48-(($F48-$E48)/2))&lt;$E48, $F48, (EI48-(($F48-$E48)/2)))), EI48)))), (NOT((AND(EK48=TRUE, EL48="Yes")))), EI48)</f>
        <v>---</v>
      </c>
      <c r="ER48" s="50" t="str">
        <f>IFERROR(__xludf.DUMMYFUNCTION("IFS((AND(EK48=TRUE, EL48=""Yes"")), (IFS(ISBLANK(EN48), EJ48, EN48=""Novice 1"", CEILING((EJ48*1.05), $H48), EN48=""Novice 2"", CEILING((EJ48*1.025), $H48), EN48=""Novice 3"", EJ48+$H48, EN48=""Intermediate 2"", (IF((ISBETWEEN(((((EC48-EB48)/2))+EI48), EB"&amp;"48, EC48)), EJ48, EJ48+$H48)), EN48=""Intermediate 1"", (IF((ISBETWEEN((EI48-((EC48-EB48)/2)), EB48, EC48)), EJ48+$H48, (FLOOR((EJ48*0.9875), $H48)))), EN48=""Advanced 2"", (IF(AND(((EH48+((EA48-DZ48)/2))&gt;EA48), ((EI48+((EC48-EB48)/2))&gt;EC48)), EJ48+$H48, "&amp;"(EJ48))), EN48=""Advanced 1"", (IFS(EQ48&lt;EI48, EJ48+$H48, EQ48=EI48, (EJ48), EQ48&gt;EI48, (FLOOR((EJ48*0.9875), $H48)))))), (AND(EC48=TRUE, ED48=""No"", EK48=TRUE, EL48=""No"")), (FLOOR((EJ48*0.9), $H48)), (NOT((AND(EK48=TRUE, EL48=""Yes"")))), EJ48)"),"---")</f>
        <v>---</v>
      </c>
      <c r="ES48" s="51" t="b">
        <v>0</v>
      </c>
      <c r="ET48" s="52"/>
      <c r="EU48" s="52"/>
      <c r="EV48" s="52" t="str">
        <f t="shared" ref="EV48:EV53" si="490">IF((AND(EK48=TRUE, EL48="No", ES48=TRUE, ET48="No")), (IFS(ISBLANK(EN48), EN48, EN48="Novice 1", "Novice 2", EN48="Novice 2", "Novice 3", EN48="Novice 3", "Intermediate 1", EN48="Intermediate 1", "Intermediate 2", EN48="Intermediate 2", "Advanced 1", EN48="Advanced 1", "Advanced 2", EN48="Advanced 2", "Advanced 2")), EN48)</f>
        <v/>
      </c>
      <c r="EW48" s="45" t="s">
        <v>6</v>
      </c>
      <c r="EX48" s="53" t="str">
        <f t="shared" ref="EX48:EY48" si="435">IFERROR(EP48/2,EP48)</f>
        <v>---</v>
      </c>
      <c r="EY48" s="53" t="str">
        <f t="shared" si="435"/>
        <v>---</v>
      </c>
      <c r="EZ48" s="53" t="str">
        <f t="shared" ref="EZ48:EZ53" si="492">ER48</f>
        <v>---</v>
      </c>
      <c r="FA48" s="54"/>
      <c r="FB48" s="86"/>
      <c r="FC48" s="57"/>
    </row>
    <row r="49" outlineLevel="1">
      <c r="A49" s="32" t="s">
        <v>70</v>
      </c>
      <c r="B49" s="58"/>
      <c r="C49" s="82" t="s">
        <v>53</v>
      </c>
      <c r="D49" s="83" t="s">
        <v>53</v>
      </c>
      <c r="E49" s="82" t="s">
        <v>53</v>
      </c>
      <c r="F49" s="83" t="s">
        <v>53</v>
      </c>
      <c r="G49" s="83" t="s">
        <v>53</v>
      </c>
      <c r="H49" s="84"/>
      <c r="I49" s="85"/>
      <c r="J49" s="59"/>
      <c r="K49" s="39" t="str">
        <f t="shared" si="436"/>
        <v>---</v>
      </c>
      <c r="L49" s="40" t="str">
        <f t="shared" si="437"/>
        <v>---</v>
      </c>
      <c r="M49" s="40" t="str">
        <f t="shared" si="438"/>
        <v>---</v>
      </c>
      <c r="N49" s="41" t="b">
        <v>0</v>
      </c>
      <c r="O49" s="42"/>
      <c r="P49" s="43"/>
      <c r="Q49" s="42" t="str">
        <f t="shared" si="439"/>
        <v/>
      </c>
      <c r="R49" s="60"/>
      <c r="S49" s="39" t="str">
        <f t="shared" si="440"/>
        <v>---</v>
      </c>
      <c r="T49" s="46" t="str">
        <f t="shared" si="441"/>
        <v>---</v>
      </c>
      <c r="U49" s="40" t="str">
        <f>IFERROR(__xludf.DUMMYFUNCTION("IFS((AND(N49=TRUE, O49=""Yes"")), (IFS(ISBLANK(Q49), M49, Q49=""Novice 1"", CEILING((M49*1.05), $H49), Q49=""Novice 2"", CEILING((M49*1.025), $H49), Q49=""Novice 3"", M49+$H49, Q49=""Intermediate 2"", (IF((ISBETWEEN(((((F49-E49)/2))+L49), E49, F49)), M49,"&amp;" M49+$H49)), Q49=""Intermediate 1"", (IF((ISBETWEEN((L49-((F49-E49)/2)), E49, F49)), M49+$H49, (FLOOR((M49*0.9875), $H49)))), Q49=""Advanced 2"", (IF(AND(((K49+((D49-C49)/2))&gt;D49), ((L49+((F49-E49)/2))&gt;F49)), M49+$H49, (M49))), Q49=""Advanced 1"", (IFS(T4"&amp;"9&lt;L49, M49+$H49, T49=L49, (M49), T49&gt;L49, (FLOOR((M49*0.9875), $H49)))))), (AND(F49=TRUE, G49=""No"", N49=TRUE, O49=""No"")), (FLOOR((M49*0.9), $H49)), (NOT((AND(N49=TRUE, O49=""Yes"")))), M49)"),"---")</f>
        <v>---</v>
      </c>
      <c r="V49" s="41" t="b">
        <v>0</v>
      </c>
      <c r="W49" s="47"/>
      <c r="X49" s="47"/>
      <c r="Y49" s="47" t="str">
        <f t="shared" si="442"/>
        <v/>
      </c>
      <c r="Z49" s="60"/>
      <c r="AA49" s="39" t="str">
        <f t="shared" si="443"/>
        <v>---</v>
      </c>
      <c r="AB49" s="46" t="str">
        <f t="shared" si="444"/>
        <v>---</v>
      </c>
      <c r="AC49" s="40" t="str">
        <f>IFERROR(__xludf.DUMMYFUNCTION("IFS((AND(V49=TRUE, W49=""Yes"")), (IFS(ISBLANK(Y49), U49, Y49=""Novice 1"", CEILING((U49*1.05), $H49), Y49=""Novice 2"", CEILING((U49*1.025), $H49), Y49=""Novice 3"", U49+$H49, Y49=""Intermediate 2"", (IF((ISBETWEEN(((((N49-M49)/2))+T49), M49, N49)), U49,"&amp;" U49+$H49)), Y49=""Intermediate 1"", (IF((ISBETWEEN((T49-((N49-M49)/2)), M49, N49)), U49+$H49, (FLOOR((U49*0.9875), $H49)))), Y49=""Advanced 2"", (IF(AND(((S49+((L49-K49)/2))&gt;L49), ((T49+((N49-M49)/2))&gt;N49)), U49+$H49, (U49))), Y49=""Advanced 1"", (IFS(AB"&amp;"49&lt;T49, U49+$H49, AB49=T49, (U49), AB49&gt;T49, (FLOOR((U49*0.9875), $H49)))))), (AND(N49=TRUE, O49=""No"", V49=TRUE, W49=""No"")), (FLOOR((U49*0.9), $H49)), (NOT((AND(V49=TRUE, W49=""Yes"")))), U49)"),"---")</f>
        <v>---</v>
      </c>
      <c r="AD49" s="41" t="b">
        <v>0</v>
      </c>
      <c r="AE49" s="47"/>
      <c r="AF49" s="47"/>
      <c r="AG49" s="47" t="str">
        <f t="shared" si="445"/>
        <v/>
      </c>
      <c r="AH49" s="60"/>
      <c r="AI49" s="61" t="str">
        <f t="shared" si="446"/>
        <v>---</v>
      </c>
      <c r="AJ49" s="62" t="str">
        <f t="shared" si="447"/>
        <v>---</v>
      </c>
      <c r="AK49" s="63" t="str">
        <f>IFERROR(__xludf.DUMMYFUNCTION("IFS((AND(AD49=TRUE, AE49=""Yes"")), (IFS(ISBLANK(AG49), AC49, AG49=""Novice 1"", CEILING((AC49*1.05), $H49), AG49=""Novice 2"", CEILING((AC49*1.025), $H49), AG49=""Novice 3"", AC49+$H49, AG49=""Intermediate 2"", (IF((ISBETWEEN(((((V49-U49)/2))+AB49), U49,"&amp;" V49)), AC49, AC49+$H49)), AG49=""Intermediate 1"", (IF((ISBETWEEN((AB49-((V49-U49)/2)), U49, V49)), AC49+$H49, (FLOOR((AC49*0.9875), $H49)))), AG49=""Advanced 2"", (IF(AND(((AA49+((T49-S49)/2))&gt;T49), ((AB49+((V49-U49)/2))&gt;V49)), AC49+$H49, (AC49))), AG49"&amp;"=""Advanced 1"", (IFS(AJ49&lt;AB49, AC49+$H49, AJ49=AB49, (AC49), AJ49&gt;AB49, (FLOOR((AC49*0.9875), $H49)))))), (AND(V49=TRUE, W49=""No"", AD49=TRUE, AE49=""No"")), (FLOOR((AC49*0.9), $H49)), (NOT((AND(AD49=TRUE, AE49=""Yes"")))), AC49)"),"---")</f>
        <v>---</v>
      </c>
      <c r="AL49" s="64" t="b">
        <v>0</v>
      </c>
      <c r="AM49" s="65"/>
      <c r="AN49" s="65"/>
      <c r="AO49" s="65" t="str">
        <f t="shared" si="448"/>
        <v/>
      </c>
      <c r="AP49" s="66"/>
      <c r="AQ49" s="53" t="str">
        <f t="shared" ref="AQ49:AR49" si="449">IFERROR(AI49/2,AI49)</f>
        <v>---</v>
      </c>
      <c r="AR49" s="53" t="str">
        <f t="shared" si="449"/>
        <v>---</v>
      </c>
      <c r="AS49" s="53" t="str">
        <f t="shared" si="450"/>
        <v>---</v>
      </c>
      <c r="AT49" s="67"/>
      <c r="AU49" s="60"/>
      <c r="AV49" s="39" t="str">
        <f t="shared" si="451"/>
        <v>---</v>
      </c>
      <c r="AW49" s="46" t="str">
        <f t="shared" si="452"/>
        <v>---</v>
      </c>
      <c r="AX49" s="40" t="str">
        <f>IFERROR(__xludf.DUMMYFUNCTION("IFS((AND(AL49=TRUE, AM49=""Yes"")), (IFS(ISBLANK(AO49), AK49, AO49=""Novice 1"", CEILING((AK49*1.05), $H49), AO49=""Novice 2"", CEILING((AK49*1.025), $H49), AO49=""Novice 3"", AK49+$H49, AO49=""Intermediate 2"", (IF((ISBETWEEN(((((AD49-AC49)/2))+AJ49), AC"&amp;"49, AD49)), AK49, AK49+$H49)), AO49=""Intermediate 1"", (IF((ISBETWEEN((AJ49-((AD49-AC49)/2)), AC49, AD49)), AK49+$H49, (FLOOR((AK49*0.9875), $H49)))), AO49=""Advanced 2"", (IF(AND(((AI49+((AB49-AA49)/2))&gt;AB49), ((AJ49+((AD49-AC49)/2))&gt;AD49)), AK49+$H49, "&amp;"(AK49))), AO49=""Advanced 1"", (IFS(AW49&lt;AJ49, AK49+$H49, AW49=AJ49, (AK49), AW49&gt;AJ49, (FLOOR((AK49*0.9875), $H49)))))), (AND(AD49=TRUE, AE49=""No"", AL49=TRUE, AM49=""No"")), (FLOOR((AK49*0.9), $H49)), (NOT((AND(AL49=TRUE, AM49=""Yes"")))), AK49)"),"---")</f>
        <v>---</v>
      </c>
      <c r="AY49" s="41" t="b">
        <v>0</v>
      </c>
      <c r="AZ49" s="47"/>
      <c r="BA49" s="47"/>
      <c r="BB49" s="47" t="str">
        <f t="shared" si="453"/>
        <v/>
      </c>
      <c r="BC49" s="60"/>
      <c r="BD49" s="39" t="str">
        <f t="shared" si="454"/>
        <v>---</v>
      </c>
      <c r="BE49" s="46" t="str">
        <f t="shared" si="455"/>
        <v>---</v>
      </c>
      <c r="BF49" s="40" t="str">
        <f>IFERROR(__xludf.DUMMYFUNCTION("IFS((AND(AY49=TRUE, AZ49=""Yes"")), (IFS(ISBLANK(BB49), AX49, BB49=""Novice 1"", CEILING((AX49*1.05), $H49), BB49=""Novice 2"", CEILING((AX49*1.025), $H49), BB49=""Novice 3"", AX49+$H49, BB49=""Intermediate 2"", (IF((ISBETWEEN(((((AL49-AK49)/2))+AW49), AK"&amp;"49, AL49)), AX49, AX49+$H49)), BB49=""Intermediate 1"", (IF((ISBETWEEN((AW49-((AL49-AK49)/2)), AK49, AL49)), AX49+$H49, (FLOOR((AX49*0.9875), $H49)))), BB49=""Advanced 2"", (IF(AND(((AV49+((AJ49-AI49)/2))&gt;AJ49), ((AW49+((AL49-AK49)/2))&gt;AL49)), AX49+$H49, "&amp;"(AX49))), BB49=""Advanced 1"", (IFS(BE49&lt;AW49, AX49+$H49, BE49=AW49, (AX49), BE49&gt;AW49, (FLOOR((AX49*0.9875), $H49)))))), (AND(AL49=TRUE, AM49=""No"", AY49=TRUE, AZ49=""No"")), (FLOOR((AX49*0.9), $H49)), (NOT((AND(AY49=TRUE, AZ49=""Yes"")))), AX49)"),"---")</f>
        <v>---</v>
      </c>
      <c r="BG49" s="41" t="b">
        <v>0</v>
      </c>
      <c r="BH49" s="47"/>
      <c r="BI49" s="47"/>
      <c r="BJ49" s="47" t="str">
        <f t="shared" si="456"/>
        <v/>
      </c>
      <c r="BK49" s="60"/>
      <c r="BL49" s="39" t="str">
        <f t="shared" si="457"/>
        <v>---</v>
      </c>
      <c r="BM49" s="46" t="str">
        <f t="shared" si="458"/>
        <v>---</v>
      </c>
      <c r="BN49" s="40" t="str">
        <f>IFERROR(__xludf.DUMMYFUNCTION("IFS((AND(BG49=TRUE, BH49=""Yes"")), (IFS(ISBLANK(BJ49), BF49, BJ49=""Novice 1"", CEILING((BF49*1.05), $H49), BJ49=""Novice 2"", CEILING((BF49*1.025), $H49), BJ49=""Novice 3"", BF49+$H49, BJ49=""Intermediate 2"", (IF((ISBETWEEN(((((AY49-AX49)/2))+BE49), AX"&amp;"49, AY49)), BF49, BF49+$H49)), BJ49=""Intermediate 1"", (IF((ISBETWEEN((BE49-((AY49-AX49)/2)), AX49, AY49)), BF49+$H49, (FLOOR((BF49*0.9875), $H49)))), BJ49=""Advanced 2"", (IF(AND(((BD49+((AW49-AV49)/2))&gt;AW49), ((BE49+((AY49-AX49)/2))&gt;AY49)), BF49+$H49, "&amp;"(BF49))), BJ49=""Advanced 1"", (IFS(BM49&lt;BE49, BF49+$H49, BM49=BE49, (BF49), BM49&gt;BE49, (FLOOR((BF49*0.9875), $H49)))))), (AND(AY49=TRUE, AZ49=""No"", BG49=TRUE, BH49=""No"")), (FLOOR((BF49*0.9), $H49)), (NOT((AND(BG49=TRUE, BH49=""Yes"")))), BF49)"),"---")</f>
        <v>---</v>
      </c>
      <c r="BO49" s="41" t="b">
        <v>0</v>
      </c>
      <c r="BP49" s="47"/>
      <c r="BQ49" s="47"/>
      <c r="BR49" s="47" t="str">
        <f t="shared" si="459"/>
        <v/>
      </c>
      <c r="BS49" s="60"/>
      <c r="BT49" s="61" t="str">
        <f t="shared" si="460"/>
        <v>---</v>
      </c>
      <c r="BU49" s="62" t="str">
        <f t="shared" si="461"/>
        <v>---</v>
      </c>
      <c r="BV49" s="63" t="str">
        <f>IFERROR(__xludf.DUMMYFUNCTION("IFS((AND(BO49=TRUE, BP49=""Yes"")), (IFS(ISBLANK(BR49), BN49, BR49=""Novice 1"", CEILING((BN49*1.05), $H49), BR49=""Novice 2"", CEILING((BN49*1.025), $H49), BR49=""Novice 3"", BN49+$H49, BR49=""Intermediate 2"", (IF((ISBETWEEN(((((BG49-BF49)/2))+BM49), BF"&amp;"49, BG49)), BN49, BN49+$H49)), BR49=""Intermediate 1"", (IF((ISBETWEEN((BM49-((BG49-BF49)/2)), BF49, BG49)), BN49+$H49, (FLOOR((BN49*0.9875), $H49)))), BR49=""Advanced 2"", (IF(AND(((BL49+((BE49-BD49)/2))&gt;BE49), ((BM49+((BG49-BF49)/2))&gt;BG49)), BN49+$H49, "&amp;"(BN49))), BR49=""Advanced 1"", (IFS(BU49&lt;BM49, BN49+$H49, BU49=BM49, (BN49), BU49&gt;BM49, (FLOOR((BN49*0.9875), $H49)))))), (AND(BG49=TRUE, BH49=""No"", BO49=TRUE, BP49=""No"")), (FLOOR((BN49*0.9), $H49)), (NOT((AND(BO49=TRUE, BP49=""Yes"")))), BN49)"),"---")</f>
        <v>---</v>
      </c>
      <c r="BW49" s="64" t="b">
        <v>0</v>
      </c>
      <c r="BX49" s="65"/>
      <c r="BY49" s="65"/>
      <c r="BZ49" s="65" t="str">
        <f t="shared" si="462"/>
        <v/>
      </c>
      <c r="CA49" s="66"/>
      <c r="CB49" s="53" t="str">
        <f t="shared" ref="CB49:CC49" si="463">IFERROR(BT49/2,BT49)</f>
        <v>---</v>
      </c>
      <c r="CC49" s="53" t="str">
        <f t="shared" si="463"/>
        <v>---</v>
      </c>
      <c r="CD49" s="53" t="str">
        <f t="shared" si="464"/>
        <v>---</v>
      </c>
      <c r="CE49" s="67"/>
      <c r="CF49" s="60"/>
      <c r="CG49" s="39" t="str">
        <f t="shared" si="465"/>
        <v>---</v>
      </c>
      <c r="CH49" s="46" t="str">
        <f t="shared" si="466"/>
        <v>---</v>
      </c>
      <c r="CI49" s="40" t="str">
        <f>IFERROR(__xludf.DUMMYFUNCTION("IFS((AND(BW49=TRUE, BX49=""Yes"")), (IFS(ISBLANK(BZ49), BV49, BZ49=""Novice 1"", CEILING((BV49*1.05), $H49), BZ49=""Novice 2"", CEILING((BV49*1.025), $H49), BZ49=""Novice 3"", BV49+$H49, BZ49=""Intermediate 2"", (IF((ISBETWEEN(((((BO49-BN49)/2))+BU49), BN"&amp;"49, BO49)), BV49, BV49+$H49)), BZ49=""Intermediate 1"", (IF((ISBETWEEN((BU49-((BO49-BN49)/2)), BN49, BO49)), BV49+$H49, (FLOOR((BV49*0.9875), $H49)))), BZ49=""Advanced 2"", (IF(AND(((BT49+((BM49-BL49)/2))&gt;BM49), ((BU49+((BO49-BN49)/2))&gt;BO49)), BV49+$H49, "&amp;"(BV49))), BZ49=""Advanced 1"", (IFS(CH49&lt;BU49, BV49+$H49, CH49=BU49, (BV49), CH49&gt;BU49, (FLOOR((BV49*0.9875), $H49)))))), (AND(BO49=TRUE, BP49=""No"", BW49=TRUE, BX49=""No"")), (FLOOR((BV49*0.9), $H49)), (NOT((AND(BW49=TRUE, BX49=""Yes"")))), BV49)"),"---")</f>
        <v>---</v>
      </c>
      <c r="CJ49" s="41" t="b">
        <v>0</v>
      </c>
      <c r="CK49" s="47"/>
      <c r="CL49" s="47"/>
      <c r="CM49" s="47" t="str">
        <f t="shared" si="467"/>
        <v/>
      </c>
      <c r="CN49" s="60"/>
      <c r="CO49" s="39" t="str">
        <f t="shared" si="468"/>
        <v>---</v>
      </c>
      <c r="CP49" s="46" t="str">
        <f t="shared" si="469"/>
        <v>---</v>
      </c>
      <c r="CQ49" s="40" t="str">
        <f>IFERROR(__xludf.DUMMYFUNCTION("IFS((AND(CJ49=TRUE, CK49=""Yes"")), (IFS(ISBLANK(CM49), CI49, CM49=""Novice 1"", CEILING((CI49*1.05), $H49), CM49=""Novice 2"", CEILING((CI49*1.025), $H49), CM49=""Novice 3"", CI49+$H49, CM49=""Intermediate 2"", (IF((ISBETWEEN(((((BW49-BV49)/2))+CH49), BV"&amp;"49, BW49)), CI49, CI49+$H49)), CM49=""Intermediate 1"", (IF((ISBETWEEN((CH49-((BW49-BV49)/2)), BV49, BW49)), CI49+$H49, (FLOOR((CI49*0.9875), $H49)))), CM49=""Advanced 2"", (IF(AND(((CG49+((BU49-BT49)/2))&gt;BU49), ((CH49+((BW49-BV49)/2))&gt;BW49)), CI49+$H49, "&amp;"(CI49))), CM49=""Advanced 1"", (IFS(CP49&lt;CH49, CI49+$H49, CP49=CH49, (CI49), CP49&gt;CH49, (FLOOR((CI49*0.9875), $H49)))))), (AND(BW49=TRUE, BX49=""No"", CJ49=TRUE, CK49=""No"")), (FLOOR((CI49*0.9), $H49)), (NOT((AND(CJ49=TRUE, CK49=""Yes"")))), CI49)"),"---")</f>
        <v>---</v>
      </c>
      <c r="CR49" s="41" t="b">
        <v>0</v>
      </c>
      <c r="CS49" s="47"/>
      <c r="CT49" s="47"/>
      <c r="CU49" s="47" t="str">
        <f t="shared" si="470"/>
        <v/>
      </c>
      <c r="CV49" s="60"/>
      <c r="CW49" s="39" t="str">
        <f t="shared" si="471"/>
        <v>---</v>
      </c>
      <c r="CX49" s="46" t="str">
        <f t="shared" si="472"/>
        <v>---</v>
      </c>
      <c r="CY49" s="40" t="str">
        <f>IFERROR(__xludf.DUMMYFUNCTION("IFS((AND(CR49=TRUE, CS49=""Yes"")), (IFS(ISBLANK(CU49), CQ49, CU49=""Novice 1"", CEILING((CQ49*1.05), $H49), CU49=""Novice 2"", CEILING((CQ49*1.025), $H49), CU49=""Novice 3"", CQ49+$H49, CU49=""Intermediate 2"", (IF((ISBETWEEN(((((CJ49-CI49)/2))+CP49), CI"&amp;"49, CJ49)), CQ49, CQ49+$H49)), CU49=""Intermediate 1"", (IF((ISBETWEEN((CP49-((CJ49-CI49)/2)), CI49, CJ49)), CQ49+$H49, (FLOOR((CQ49*0.9875), $H49)))), CU49=""Advanced 2"", (IF(AND(((CO49+((CH49-CG49)/2))&gt;CH49), ((CP49+((CJ49-CI49)/2))&gt;CJ49)), CQ49+$H49, "&amp;"(CQ49))), CU49=""Advanced 1"", (IFS(CX49&lt;CP49, CQ49+$H49, CX49=CP49, (CQ49), CX49&gt;CP49, (FLOOR((CQ49*0.9875), $H49)))))), (AND(CJ49=TRUE, CK49=""No"", CR49=TRUE, CS49=""No"")), (FLOOR((CQ49*0.9), $H49)), (NOT((AND(CR49=TRUE, CS49=""Yes"")))), CQ49)"),"---")</f>
        <v>---</v>
      </c>
      <c r="CZ49" s="41" t="b">
        <v>0</v>
      </c>
      <c r="DA49" s="47"/>
      <c r="DB49" s="47"/>
      <c r="DC49" s="47" t="str">
        <f t="shared" si="473"/>
        <v/>
      </c>
      <c r="DD49" s="60"/>
      <c r="DE49" s="61" t="str">
        <f t="shared" si="474"/>
        <v>---</v>
      </c>
      <c r="DF49" s="62" t="str">
        <f t="shared" si="475"/>
        <v>---</v>
      </c>
      <c r="DG49" s="63" t="str">
        <f>IFERROR(__xludf.DUMMYFUNCTION("IFS((AND(CZ49=TRUE, DA49=""Yes"")), (IFS(ISBLANK(DC49), CY49, DC49=""Novice 1"", CEILING((CY49*1.05), $H49), DC49=""Novice 2"", CEILING((CY49*1.025), $H49), DC49=""Novice 3"", CY49+$H49, DC49=""Intermediate 2"", (IF((ISBETWEEN(((((CR49-CQ49)/2))+CX49), CQ"&amp;"49, CR49)), CY49, CY49+$H49)), DC49=""Intermediate 1"", (IF((ISBETWEEN((CX49-((CR49-CQ49)/2)), CQ49, CR49)), CY49+$H49, (FLOOR((CY49*0.9875), $H49)))), DC49=""Advanced 2"", (IF(AND(((CW49+((CP49-CO49)/2))&gt;CP49), ((CX49+((CR49-CQ49)/2))&gt;CR49)), CY49+$H49, "&amp;"(CY49))), DC49=""Advanced 1"", (IFS(DF49&lt;CX49, CY49+$H49, DF49=CX49, (CY49), DF49&gt;CX49, (FLOOR((CY49*0.9875), $H49)))))), (AND(CR49=TRUE, CS49=""No"", CZ49=TRUE, DA49=""No"")), (FLOOR((CY49*0.9), $H49)), (NOT((AND(CZ49=TRUE, DA49=""Yes"")))), CY49)"),"---")</f>
        <v>---</v>
      </c>
      <c r="DH49" s="64" t="b">
        <v>0</v>
      </c>
      <c r="DI49" s="65"/>
      <c r="DJ49" s="65"/>
      <c r="DK49" s="65" t="str">
        <f t="shared" si="476"/>
        <v/>
      </c>
      <c r="DL49" s="66"/>
      <c r="DM49" s="53" t="str">
        <f t="shared" ref="DM49:DN49" si="477">IFERROR(DE49/2,DE49)</f>
        <v>---</v>
      </c>
      <c r="DN49" s="53" t="str">
        <f t="shared" si="477"/>
        <v>---</v>
      </c>
      <c r="DO49" s="53" t="str">
        <f t="shared" si="478"/>
        <v>---</v>
      </c>
      <c r="DP49" s="67"/>
      <c r="DQ49" s="60"/>
      <c r="DR49" s="39" t="str">
        <f t="shared" si="479"/>
        <v>---</v>
      </c>
      <c r="DS49" s="46" t="str">
        <f t="shared" si="480"/>
        <v>---</v>
      </c>
      <c r="DT49" s="40" t="str">
        <f>IFERROR(__xludf.DUMMYFUNCTION("IFS((AND(DH49=TRUE, DI49=""Yes"")), (IFS(ISBLANK(DK49), DG49, DK49=""Novice 1"", CEILING((DG49*1.05), $H49), DK49=""Novice 2"", CEILING((DG49*1.025), $H49), DK49=""Novice 3"", DG49+$H49, DK49=""Intermediate 2"", (IF((ISBETWEEN(((((CZ49-CY49)/2))+DF49), CY"&amp;"49, CZ49)), DG49, DG49+$H49)), DK49=""Intermediate 1"", (IF((ISBETWEEN((DF49-((CZ49-CY49)/2)), CY49, CZ49)), DG49+$H49, (FLOOR((DG49*0.9875), $H49)))), DK49=""Advanced 2"", (IF(AND(((DE49+((CX49-CW49)/2))&gt;CX49), ((DF49+((CZ49-CY49)/2))&gt;CZ49)), DG49+$H49, "&amp;"(DG49))), DK49=""Advanced 1"", (IFS(DS49&lt;DF49, DG49+$H49, DS49=DF49, (DG49), DS49&gt;DF49, (FLOOR((DG49*0.9875), $H49)))))), (AND(CZ49=TRUE, DA49=""No"", DH49=TRUE, DI49=""No"")), (FLOOR((DG49*0.9), $H49)), (NOT((AND(DH49=TRUE, DI49=""Yes"")))), DG49)"),"---")</f>
        <v>---</v>
      </c>
      <c r="DU49" s="41" t="b">
        <v>0</v>
      </c>
      <c r="DV49" s="47"/>
      <c r="DW49" s="47"/>
      <c r="DX49" s="47" t="str">
        <f t="shared" si="481"/>
        <v/>
      </c>
      <c r="DY49" s="60"/>
      <c r="DZ49" s="39" t="str">
        <f t="shared" si="482"/>
        <v>---</v>
      </c>
      <c r="EA49" s="46" t="str">
        <f t="shared" si="483"/>
        <v>---</v>
      </c>
      <c r="EB49" s="40" t="str">
        <f>IFERROR(__xludf.DUMMYFUNCTION("IFS((AND(DU49=TRUE, DV49=""Yes"")), (IFS(ISBLANK(DX49), DT49, DX49=""Novice 1"", CEILING((DT49*1.05), $H49), DX49=""Novice 2"", CEILING((DT49*1.025), $H49), DX49=""Novice 3"", DT49+$H49, DX49=""Intermediate 2"", (IF((ISBETWEEN(((((DH49-DG49)/2))+DS49), DG"&amp;"49, DH49)), DT49, DT49+$H49)), DX49=""Intermediate 1"", (IF((ISBETWEEN((DS49-((DH49-DG49)/2)), DG49, DH49)), DT49+$H49, (FLOOR((DT49*0.9875), $H49)))), DX49=""Advanced 2"", (IF(AND(((DR49+((DF49-DE49)/2))&gt;DF49), ((DS49+((DH49-DG49)/2))&gt;DH49)), DT49+$H49, "&amp;"(DT49))), DX49=""Advanced 1"", (IFS(EA49&lt;DS49, DT49+$H49, EA49=DS49, (DT49), EA49&gt;DS49, (FLOOR((DT49*0.9875), $H49)))))), (AND(DH49=TRUE, DI49=""No"", DU49=TRUE, DV49=""No"")), (FLOOR((DT49*0.9), $H49)), (NOT((AND(DU49=TRUE, DV49=""Yes"")))), DT49)"),"---")</f>
        <v>---</v>
      </c>
      <c r="EC49" s="41" t="b">
        <v>0</v>
      </c>
      <c r="ED49" s="47"/>
      <c r="EE49" s="47"/>
      <c r="EF49" s="47" t="str">
        <f t="shared" si="484"/>
        <v/>
      </c>
      <c r="EG49" s="60"/>
      <c r="EH49" s="39" t="str">
        <f t="shared" si="485"/>
        <v>---</v>
      </c>
      <c r="EI49" s="46" t="str">
        <f t="shared" si="486"/>
        <v>---</v>
      </c>
      <c r="EJ49" s="40" t="str">
        <f>IFERROR(__xludf.DUMMYFUNCTION("IFS((AND(EC49=TRUE, ED49=""Yes"")), (IFS(ISBLANK(EF49), EB49, EF49=""Novice 1"", CEILING((EB49*1.05), $H49), EF49=""Novice 2"", CEILING((EB49*1.025), $H49), EF49=""Novice 3"", EB49+$H49, EF49=""Intermediate 2"", (IF((ISBETWEEN(((((DU49-DT49)/2))+EA49), DT"&amp;"49, DU49)), EB49, EB49+$H49)), EF49=""Intermediate 1"", (IF((ISBETWEEN((EA49-((DU49-DT49)/2)), DT49, DU49)), EB49+$H49, (FLOOR((EB49*0.9875), $H49)))), EF49=""Advanced 2"", (IF(AND(((DZ49+((DS49-DR49)/2))&gt;DS49), ((EA49+((DU49-DT49)/2))&gt;DU49)), EB49+$H49, "&amp;"(EB49))), EF49=""Advanced 1"", (IFS(EI49&lt;EA49, EB49+$H49, EI49=EA49, (EB49), EI49&gt;EA49, (FLOOR((EB49*0.9875), $H49)))))), (AND(DU49=TRUE, DV49=""No"", EC49=TRUE, ED49=""No"")), (FLOOR((EB49*0.9), $H49)), (NOT((AND(EC49=TRUE, ED49=""Yes"")))), EB49)"),"---")</f>
        <v>---</v>
      </c>
      <c r="EK49" s="41" t="b">
        <v>0</v>
      </c>
      <c r="EL49" s="47"/>
      <c r="EM49" s="47"/>
      <c r="EN49" s="47" t="str">
        <f t="shared" si="487"/>
        <v/>
      </c>
      <c r="EO49" s="60"/>
      <c r="EP49" s="61" t="str">
        <f t="shared" si="488"/>
        <v>---</v>
      </c>
      <c r="EQ49" s="62" t="str">
        <f t="shared" si="489"/>
        <v>---</v>
      </c>
      <c r="ER49" s="63" t="str">
        <f>IFERROR(__xludf.DUMMYFUNCTION("IFS((AND(EK49=TRUE, EL49=""Yes"")), (IFS(ISBLANK(EN49), EJ49, EN49=""Novice 1"", CEILING((EJ49*1.05), $H49), EN49=""Novice 2"", CEILING((EJ49*1.025), $H49), EN49=""Novice 3"", EJ49+$H49, EN49=""Intermediate 2"", (IF((ISBETWEEN(((((EC49-EB49)/2))+EI49), EB"&amp;"49, EC49)), EJ49, EJ49+$H49)), EN49=""Intermediate 1"", (IF((ISBETWEEN((EI49-((EC49-EB49)/2)), EB49, EC49)), EJ49+$H49, (FLOOR((EJ49*0.9875), $H49)))), EN49=""Advanced 2"", (IF(AND(((EH49+((EA49-DZ49)/2))&gt;EA49), ((EI49+((EC49-EB49)/2))&gt;EC49)), EJ49+$H49, "&amp;"(EJ49))), EN49=""Advanced 1"", (IFS(EQ49&lt;EI49, EJ49+$H49, EQ49=EI49, (EJ49), EQ49&gt;EI49, (FLOOR((EJ49*0.9875), $H49)))))), (AND(EC49=TRUE, ED49=""No"", EK49=TRUE, EL49=""No"")), (FLOOR((EJ49*0.9), $H49)), (NOT((AND(EK49=TRUE, EL49=""Yes"")))), EJ49)"),"---")</f>
        <v>---</v>
      </c>
      <c r="ES49" s="64" t="b">
        <v>0</v>
      </c>
      <c r="ET49" s="65"/>
      <c r="EU49" s="65"/>
      <c r="EV49" s="65" t="str">
        <f t="shared" si="490"/>
        <v/>
      </c>
      <c r="EW49" s="66"/>
      <c r="EX49" s="53" t="str">
        <f t="shared" ref="EX49:EY49" si="491">IFERROR(EP49/2,EP49)</f>
        <v>---</v>
      </c>
      <c r="EY49" s="53" t="str">
        <f t="shared" si="491"/>
        <v>---</v>
      </c>
      <c r="EZ49" s="53" t="str">
        <f t="shared" si="492"/>
        <v>---</v>
      </c>
      <c r="FA49" s="67"/>
      <c r="FB49" s="86"/>
      <c r="FC49" s="57"/>
    </row>
    <row r="50" outlineLevel="1">
      <c r="A50" s="32" t="s">
        <v>49</v>
      </c>
      <c r="B50" s="58"/>
      <c r="C50" s="82" t="s">
        <v>53</v>
      </c>
      <c r="D50" s="83" t="s">
        <v>53</v>
      </c>
      <c r="E50" s="82" t="s">
        <v>53</v>
      </c>
      <c r="F50" s="83" t="s">
        <v>53</v>
      </c>
      <c r="G50" s="83" t="s">
        <v>53</v>
      </c>
      <c r="H50" s="84"/>
      <c r="I50" s="85"/>
      <c r="J50" s="59"/>
      <c r="K50" s="39" t="str">
        <f t="shared" si="436"/>
        <v>---</v>
      </c>
      <c r="L50" s="40" t="str">
        <f t="shared" si="437"/>
        <v>---</v>
      </c>
      <c r="M50" s="40" t="str">
        <f t="shared" si="438"/>
        <v>---</v>
      </c>
      <c r="N50" s="41" t="b">
        <v>0</v>
      </c>
      <c r="O50" s="42"/>
      <c r="P50" s="43"/>
      <c r="Q50" s="42" t="str">
        <f t="shared" si="439"/>
        <v/>
      </c>
      <c r="R50" s="60"/>
      <c r="S50" s="39" t="str">
        <f t="shared" si="440"/>
        <v>---</v>
      </c>
      <c r="T50" s="46" t="str">
        <f t="shared" si="441"/>
        <v>---</v>
      </c>
      <c r="U50" s="40" t="str">
        <f>IFERROR(__xludf.DUMMYFUNCTION("IFS((AND(N50=TRUE, O50=""Yes"")), (IFS(ISBLANK(Q50), M50, Q50=""Novice 1"", CEILING((M50*1.05), $H50), Q50=""Novice 2"", CEILING((M50*1.025), $H50), Q50=""Novice 3"", M50+$H50, Q50=""Intermediate 2"", (IF((ISBETWEEN(((((F50-E50)/2))+L50), E50, F50)), M50,"&amp;" M50+$H50)), Q50=""Intermediate 1"", (IF((ISBETWEEN((L50-((F50-E50)/2)), E50, F50)), M50+$H50, (FLOOR((M50*0.9875), $H50)))), Q50=""Advanced 2"", (IF(AND(((K50+((D50-C50)/2))&gt;D50), ((L50+((F50-E50)/2))&gt;F50)), M50+$H50, (M50))), Q50=""Advanced 1"", (IFS(T5"&amp;"0&lt;L50, M50+$H50, T50=L50, (M50), T50&gt;L50, (FLOOR((M50*0.9875), $H50)))))), (AND(F50=TRUE, G50=""No"", N50=TRUE, O50=""No"")), (FLOOR((M50*0.9), $H50)), (NOT((AND(N50=TRUE, O50=""Yes"")))), M50)"),"---")</f>
        <v>---</v>
      </c>
      <c r="V50" s="41" t="b">
        <v>0</v>
      </c>
      <c r="W50" s="47"/>
      <c r="X50" s="47"/>
      <c r="Y50" s="47" t="str">
        <f t="shared" si="442"/>
        <v/>
      </c>
      <c r="Z50" s="60"/>
      <c r="AA50" s="39" t="str">
        <f t="shared" si="443"/>
        <v>---</v>
      </c>
      <c r="AB50" s="46" t="str">
        <f t="shared" si="444"/>
        <v>---</v>
      </c>
      <c r="AC50" s="40" t="str">
        <f>IFERROR(__xludf.DUMMYFUNCTION("IFS((AND(V50=TRUE, W50=""Yes"")), (IFS(ISBLANK(Y50), U50, Y50=""Novice 1"", CEILING((U50*1.05), $H50), Y50=""Novice 2"", CEILING((U50*1.025), $H50), Y50=""Novice 3"", U50+$H50, Y50=""Intermediate 2"", (IF((ISBETWEEN(((((N50-M50)/2))+T50), M50, N50)), U50,"&amp;" U50+$H50)), Y50=""Intermediate 1"", (IF((ISBETWEEN((T50-((N50-M50)/2)), M50, N50)), U50+$H50, (FLOOR((U50*0.9875), $H50)))), Y50=""Advanced 2"", (IF(AND(((S50+((L50-K50)/2))&gt;L50), ((T50+((N50-M50)/2))&gt;N50)), U50+$H50, (U50))), Y50=""Advanced 1"", (IFS(AB"&amp;"50&lt;T50, U50+$H50, AB50=T50, (U50), AB50&gt;T50, (FLOOR((U50*0.9875), $H50)))))), (AND(N50=TRUE, O50=""No"", V50=TRUE, W50=""No"")), (FLOOR((U50*0.9), $H50)), (NOT((AND(V50=TRUE, W50=""Yes"")))), U50)"),"---")</f>
        <v>---</v>
      </c>
      <c r="AD50" s="41" t="b">
        <v>0</v>
      </c>
      <c r="AE50" s="47"/>
      <c r="AF50" s="47"/>
      <c r="AG50" s="47" t="str">
        <f t="shared" si="445"/>
        <v/>
      </c>
      <c r="AH50" s="60"/>
      <c r="AI50" s="48" t="str">
        <f t="shared" si="446"/>
        <v>---</v>
      </c>
      <c r="AJ50" s="49" t="str">
        <f t="shared" si="447"/>
        <v>---</v>
      </c>
      <c r="AK50" s="50" t="str">
        <f>IFERROR(__xludf.DUMMYFUNCTION("IFS((AND(AD50=TRUE, AE50=""Yes"")), (IFS(ISBLANK(AG50), AC50, AG50=""Novice 1"", CEILING((AC50*1.05), $H50), AG50=""Novice 2"", CEILING((AC50*1.025), $H50), AG50=""Novice 3"", AC50+$H50, AG50=""Intermediate 2"", (IF((ISBETWEEN(((((V50-U50)/2))+AB50), U50,"&amp;" V50)), AC50, AC50+$H50)), AG50=""Intermediate 1"", (IF((ISBETWEEN((AB50-((V50-U50)/2)), U50, V50)), AC50+$H50, (FLOOR((AC50*0.9875), $H50)))), AG50=""Advanced 2"", (IF(AND(((AA50+((T50-S50)/2))&gt;T50), ((AB50+((V50-U50)/2))&gt;V50)), AC50+$H50, (AC50))), AG50"&amp;"=""Advanced 1"", (IFS(AJ50&lt;AB50, AC50+$H50, AJ50=AB50, (AC50), AJ50&gt;AB50, (FLOOR((AC50*0.9875), $H50)))))), (AND(V50=TRUE, W50=""No"", AD50=TRUE, AE50=""No"")), (FLOOR((AC50*0.9), $H50)), (NOT((AND(AD50=TRUE, AE50=""Yes"")))), AC50)"),"---")</f>
        <v>---</v>
      </c>
      <c r="AL50" s="51" t="b">
        <v>0</v>
      </c>
      <c r="AM50" s="52"/>
      <c r="AN50" s="52"/>
      <c r="AO50" s="52" t="str">
        <f t="shared" si="448"/>
        <v/>
      </c>
      <c r="AP50" s="69"/>
      <c r="AQ50" s="53" t="str">
        <f t="shared" ref="AQ50:AR50" si="493">IFERROR(AI50/2,AI50)</f>
        <v>---</v>
      </c>
      <c r="AR50" s="53" t="str">
        <f t="shared" si="493"/>
        <v>---</v>
      </c>
      <c r="AS50" s="53" t="str">
        <f t="shared" si="450"/>
        <v>---</v>
      </c>
      <c r="AT50" s="67"/>
      <c r="AU50" s="60"/>
      <c r="AV50" s="39" t="str">
        <f t="shared" si="451"/>
        <v>---</v>
      </c>
      <c r="AW50" s="46" t="str">
        <f t="shared" si="452"/>
        <v>---</v>
      </c>
      <c r="AX50" s="40" t="str">
        <f>IFERROR(__xludf.DUMMYFUNCTION("IFS((AND(AL50=TRUE, AM50=""Yes"")), (IFS(ISBLANK(AO50), AK50, AO50=""Novice 1"", CEILING((AK50*1.05), $H50), AO50=""Novice 2"", CEILING((AK50*1.025), $H50), AO50=""Novice 3"", AK50+$H50, AO50=""Intermediate 2"", (IF((ISBETWEEN(((((AD50-AC50)/2))+AJ50), AC"&amp;"50, AD50)), AK50, AK50+$H50)), AO50=""Intermediate 1"", (IF((ISBETWEEN((AJ50-((AD50-AC50)/2)), AC50, AD50)), AK50+$H50, (FLOOR((AK50*0.9875), $H50)))), AO50=""Advanced 2"", (IF(AND(((AI50+((AB50-AA50)/2))&gt;AB50), ((AJ50+((AD50-AC50)/2))&gt;AD50)), AK50+$H50, "&amp;"(AK50))), AO50=""Advanced 1"", (IFS(AW50&lt;AJ50, AK50+$H50, AW50=AJ50, (AK50), AW50&gt;AJ50, (FLOOR((AK50*0.9875), $H50)))))), (AND(AD50=TRUE, AE50=""No"", AL50=TRUE, AM50=""No"")), (FLOOR((AK50*0.9), $H50)), (NOT((AND(AL50=TRUE, AM50=""Yes"")))), AK50)"),"---")</f>
        <v>---</v>
      </c>
      <c r="AY50" s="41" t="b">
        <v>0</v>
      </c>
      <c r="AZ50" s="47"/>
      <c r="BA50" s="47"/>
      <c r="BB50" s="47" t="str">
        <f t="shared" si="453"/>
        <v/>
      </c>
      <c r="BC50" s="60"/>
      <c r="BD50" s="39" t="str">
        <f t="shared" si="454"/>
        <v>---</v>
      </c>
      <c r="BE50" s="46" t="str">
        <f t="shared" si="455"/>
        <v>---</v>
      </c>
      <c r="BF50" s="40" t="str">
        <f>IFERROR(__xludf.DUMMYFUNCTION("IFS((AND(AY50=TRUE, AZ50=""Yes"")), (IFS(ISBLANK(BB50), AX50, BB50=""Novice 1"", CEILING((AX50*1.05), $H50), BB50=""Novice 2"", CEILING((AX50*1.025), $H50), BB50=""Novice 3"", AX50+$H50, BB50=""Intermediate 2"", (IF((ISBETWEEN(((((AL50-AK50)/2))+AW50), AK"&amp;"50, AL50)), AX50, AX50+$H50)), BB50=""Intermediate 1"", (IF((ISBETWEEN((AW50-((AL50-AK50)/2)), AK50, AL50)), AX50+$H50, (FLOOR((AX50*0.9875), $H50)))), BB50=""Advanced 2"", (IF(AND(((AV50+((AJ50-AI50)/2))&gt;AJ50), ((AW50+((AL50-AK50)/2))&gt;AL50)), AX50+$H50, "&amp;"(AX50))), BB50=""Advanced 1"", (IFS(BE50&lt;AW50, AX50+$H50, BE50=AW50, (AX50), BE50&gt;AW50, (FLOOR((AX50*0.9875), $H50)))))), (AND(AL50=TRUE, AM50=""No"", AY50=TRUE, AZ50=""No"")), (FLOOR((AX50*0.9), $H50)), (NOT((AND(AY50=TRUE, AZ50=""Yes"")))), AX50)"),"---")</f>
        <v>---</v>
      </c>
      <c r="BG50" s="41" t="b">
        <v>0</v>
      </c>
      <c r="BH50" s="47"/>
      <c r="BI50" s="47"/>
      <c r="BJ50" s="47" t="str">
        <f t="shared" si="456"/>
        <v/>
      </c>
      <c r="BK50" s="60"/>
      <c r="BL50" s="39" t="str">
        <f t="shared" si="457"/>
        <v>---</v>
      </c>
      <c r="BM50" s="46" t="str">
        <f t="shared" si="458"/>
        <v>---</v>
      </c>
      <c r="BN50" s="40" t="str">
        <f>IFERROR(__xludf.DUMMYFUNCTION("IFS((AND(BG50=TRUE, BH50=""Yes"")), (IFS(ISBLANK(BJ50), BF50, BJ50=""Novice 1"", CEILING((BF50*1.05), $H50), BJ50=""Novice 2"", CEILING((BF50*1.025), $H50), BJ50=""Novice 3"", BF50+$H50, BJ50=""Intermediate 2"", (IF((ISBETWEEN(((((AY50-AX50)/2))+BE50), AX"&amp;"50, AY50)), BF50, BF50+$H50)), BJ50=""Intermediate 1"", (IF((ISBETWEEN((BE50-((AY50-AX50)/2)), AX50, AY50)), BF50+$H50, (FLOOR((BF50*0.9875), $H50)))), BJ50=""Advanced 2"", (IF(AND(((BD50+((AW50-AV50)/2))&gt;AW50), ((BE50+((AY50-AX50)/2))&gt;AY50)), BF50+$H50, "&amp;"(BF50))), BJ50=""Advanced 1"", (IFS(BM50&lt;BE50, BF50+$H50, BM50=BE50, (BF50), BM50&gt;BE50, (FLOOR((BF50*0.9875), $H50)))))), (AND(AY50=TRUE, AZ50=""No"", BG50=TRUE, BH50=""No"")), (FLOOR((BF50*0.9), $H50)), (NOT((AND(BG50=TRUE, BH50=""Yes"")))), BF50)"),"---")</f>
        <v>---</v>
      </c>
      <c r="BO50" s="41" t="b">
        <v>0</v>
      </c>
      <c r="BP50" s="47"/>
      <c r="BQ50" s="47"/>
      <c r="BR50" s="47" t="str">
        <f t="shared" si="459"/>
        <v/>
      </c>
      <c r="BS50" s="60"/>
      <c r="BT50" s="48" t="str">
        <f t="shared" si="460"/>
        <v>---</v>
      </c>
      <c r="BU50" s="49" t="str">
        <f t="shared" si="461"/>
        <v>---</v>
      </c>
      <c r="BV50" s="50" t="str">
        <f>IFERROR(__xludf.DUMMYFUNCTION("IFS((AND(BO50=TRUE, BP50=""Yes"")), (IFS(ISBLANK(BR50), BN50, BR50=""Novice 1"", CEILING((BN50*1.05), $H50), BR50=""Novice 2"", CEILING((BN50*1.025), $H50), BR50=""Novice 3"", BN50+$H50, BR50=""Intermediate 2"", (IF((ISBETWEEN(((((BG50-BF50)/2))+BM50), BF"&amp;"50, BG50)), BN50, BN50+$H50)), BR50=""Intermediate 1"", (IF((ISBETWEEN((BM50-((BG50-BF50)/2)), BF50, BG50)), BN50+$H50, (FLOOR((BN50*0.9875), $H50)))), BR50=""Advanced 2"", (IF(AND(((BL50+((BE50-BD50)/2))&gt;BE50), ((BM50+((BG50-BF50)/2))&gt;BG50)), BN50+$H50, "&amp;"(BN50))), BR50=""Advanced 1"", (IFS(BU50&lt;BM50, BN50+$H50, BU50=BM50, (BN50), BU50&gt;BM50, (FLOOR((BN50*0.9875), $H50)))))), (AND(BG50=TRUE, BH50=""No"", BO50=TRUE, BP50=""No"")), (FLOOR((BN50*0.9), $H50)), (NOT((AND(BO50=TRUE, BP50=""Yes"")))), BN50)"),"---")</f>
        <v>---</v>
      </c>
      <c r="BW50" s="51" t="b">
        <v>0</v>
      </c>
      <c r="BX50" s="52"/>
      <c r="BY50" s="52"/>
      <c r="BZ50" s="52" t="str">
        <f t="shared" si="462"/>
        <v/>
      </c>
      <c r="CA50" s="69"/>
      <c r="CB50" s="53" t="str">
        <f t="shared" ref="CB50:CC50" si="494">IFERROR(BT50/2,BT50)</f>
        <v>---</v>
      </c>
      <c r="CC50" s="53" t="str">
        <f t="shared" si="494"/>
        <v>---</v>
      </c>
      <c r="CD50" s="53" t="str">
        <f t="shared" si="464"/>
        <v>---</v>
      </c>
      <c r="CE50" s="67"/>
      <c r="CF50" s="60"/>
      <c r="CG50" s="39" t="str">
        <f t="shared" si="465"/>
        <v>---</v>
      </c>
      <c r="CH50" s="46" t="str">
        <f t="shared" si="466"/>
        <v>---</v>
      </c>
      <c r="CI50" s="40" t="str">
        <f>IFERROR(__xludf.DUMMYFUNCTION("IFS((AND(BW50=TRUE, BX50=""Yes"")), (IFS(ISBLANK(BZ50), BV50, BZ50=""Novice 1"", CEILING((BV50*1.05), $H50), BZ50=""Novice 2"", CEILING((BV50*1.025), $H50), BZ50=""Novice 3"", BV50+$H50, BZ50=""Intermediate 2"", (IF((ISBETWEEN(((((BO50-BN50)/2))+BU50), BN"&amp;"50, BO50)), BV50, BV50+$H50)), BZ50=""Intermediate 1"", (IF((ISBETWEEN((BU50-((BO50-BN50)/2)), BN50, BO50)), BV50+$H50, (FLOOR((BV50*0.9875), $H50)))), BZ50=""Advanced 2"", (IF(AND(((BT50+((BM50-BL50)/2))&gt;BM50), ((BU50+((BO50-BN50)/2))&gt;BO50)), BV50+$H50, "&amp;"(BV50))), BZ50=""Advanced 1"", (IFS(CH50&lt;BU50, BV50+$H50, CH50=BU50, (BV50), CH50&gt;BU50, (FLOOR((BV50*0.9875), $H50)))))), (AND(BO50=TRUE, BP50=""No"", BW50=TRUE, BX50=""No"")), (FLOOR((BV50*0.9), $H50)), (NOT((AND(BW50=TRUE, BX50=""Yes"")))), BV50)"),"---")</f>
        <v>---</v>
      </c>
      <c r="CJ50" s="41" t="b">
        <v>0</v>
      </c>
      <c r="CK50" s="47"/>
      <c r="CL50" s="47"/>
      <c r="CM50" s="47" t="str">
        <f t="shared" si="467"/>
        <v/>
      </c>
      <c r="CN50" s="60"/>
      <c r="CO50" s="39" t="str">
        <f t="shared" si="468"/>
        <v>---</v>
      </c>
      <c r="CP50" s="46" t="str">
        <f t="shared" si="469"/>
        <v>---</v>
      </c>
      <c r="CQ50" s="40" t="str">
        <f>IFERROR(__xludf.DUMMYFUNCTION("IFS((AND(CJ50=TRUE, CK50=""Yes"")), (IFS(ISBLANK(CM50), CI50, CM50=""Novice 1"", CEILING((CI50*1.05), $H50), CM50=""Novice 2"", CEILING((CI50*1.025), $H50), CM50=""Novice 3"", CI50+$H50, CM50=""Intermediate 2"", (IF((ISBETWEEN(((((BW50-BV50)/2))+CH50), BV"&amp;"50, BW50)), CI50, CI50+$H50)), CM50=""Intermediate 1"", (IF((ISBETWEEN((CH50-((BW50-BV50)/2)), BV50, BW50)), CI50+$H50, (FLOOR((CI50*0.9875), $H50)))), CM50=""Advanced 2"", (IF(AND(((CG50+((BU50-BT50)/2))&gt;BU50), ((CH50+((BW50-BV50)/2))&gt;BW50)), CI50+$H50, "&amp;"(CI50))), CM50=""Advanced 1"", (IFS(CP50&lt;CH50, CI50+$H50, CP50=CH50, (CI50), CP50&gt;CH50, (FLOOR((CI50*0.9875), $H50)))))), (AND(BW50=TRUE, BX50=""No"", CJ50=TRUE, CK50=""No"")), (FLOOR((CI50*0.9), $H50)), (NOT((AND(CJ50=TRUE, CK50=""Yes"")))), CI50)"),"---")</f>
        <v>---</v>
      </c>
      <c r="CR50" s="41" t="b">
        <v>0</v>
      </c>
      <c r="CS50" s="47"/>
      <c r="CT50" s="47"/>
      <c r="CU50" s="47" t="str">
        <f t="shared" si="470"/>
        <v/>
      </c>
      <c r="CV50" s="60"/>
      <c r="CW50" s="39" t="str">
        <f t="shared" si="471"/>
        <v>---</v>
      </c>
      <c r="CX50" s="46" t="str">
        <f t="shared" si="472"/>
        <v>---</v>
      </c>
      <c r="CY50" s="40" t="str">
        <f>IFERROR(__xludf.DUMMYFUNCTION("IFS((AND(CR50=TRUE, CS50=""Yes"")), (IFS(ISBLANK(CU50), CQ50, CU50=""Novice 1"", CEILING((CQ50*1.05), $H50), CU50=""Novice 2"", CEILING((CQ50*1.025), $H50), CU50=""Novice 3"", CQ50+$H50, CU50=""Intermediate 2"", (IF((ISBETWEEN(((((CJ50-CI50)/2))+CP50), CI"&amp;"50, CJ50)), CQ50, CQ50+$H50)), CU50=""Intermediate 1"", (IF((ISBETWEEN((CP50-((CJ50-CI50)/2)), CI50, CJ50)), CQ50+$H50, (FLOOR((CQ50*0.9875), $H50)))), CU50=""Advanced 2"", (IF(AND(((CO50+((CH50-CG50)/2))&gt;CH50), ((CP50+((CJ50-CI50)/2))&gt;CJ50)), CQ50+$H50, "&amp;"(CQ50))), CU50=""Advanced 1"", (IFS(CX50&lt;CP50, CQ50+$H50, CX50=CP50, (CQ50), CX50&gt;CP50, (FLOOR((CQ50*0.9875), $H50)))))), (AND(CJ50=TRUE, CK50=""No"", CR50=TRUE, CS50=""No"")), (FLOOR((CQ50*0.9), $H50)), (NOT((AND(CR50=TRUE, CS50=""Yes"")))), CQ50)"),"---")</f>
        <v>---</v>
      </c>
      <c r="CZ50" s="41" t="b">
        <v>0</v>
      </c>
      <c r="DA50" s="47"/>
      <c r="DB50" s="47"/>
      <c r="DC50" s="47" t="str">
        <f t="shared" si="473"/>
        <v/>
      </c>
      <c r="DD50" s="60"/>
      <c r="DE50" s="48" t="str">
        <f t="shared" si="474"/>
        <v>---</v>
      </c>
      <c r="DF50" s="49" t="str">
        <f t="shared" si="475"/>
        <v>---</v>
      </c>
      <c r="DG50" s="50" t="str">
        <f>IFERROR(__xludf.DUMMYFUNCTION("IFS((AND(CZ50=TRUE, DA50=""Yes"")), (IFS(ISBLANK(DC50), CY50, DC50=""Novice 1"", CEILING((CY50*1.05), $H50), DC50=""Novice 2"", CEILING((CY50*1.025), $H50), DC50=""Novice 3"", CY50+$H50, DC50=""Intermediate 2"", (IF((ISBETWEEN(((((CR50-CQ50)/2))+CX50), CQ"&amp;"50, CR50)), CY50, CY50+$H50)), DC50=""Intermediate 1"", (IF((ISBETWEEN((CX50-((CR50-CQ50)/2)), CQ50, CR50)), CY50+$H50, (FLOOR((CY50*0.9875), $H50)))), DC50=""Advanced 2"", (IF(AND(((CW50+((CP50-CO50)/2))&gt;CP50), ((CX50+((CR50-CQ50)/2))&gt;CR50)), CY50+$H50, "&amp;"(CY50))), DC50=""Advanced 1"", (IFS(DF50&lt;CX50, CY50+$H50, DF50=CX50, (CY50), DF50&gt;CX50, (FLOOR((CY50*0.9875), $H50)))))), (AND(CR50=TRUE, CS50=""No"", CZ50=TRUE, DA50=""No"")), (FLOOR((CY50*0.9), $H50)), (NOT((AND(CZ50=TRUE, DA50=""Yes"")))), CY50)"),"---")</f>
        <v>---</v>
      </c>
      <c r="DH50" s="51" t="b">
        <v>0</v>
      </c>
      <c r="DI50" s="52"/>
      <c r="DJ50" s="52"/>
      <c r="DK50" s="52" t="str">
        <f t="shared" si="476"/>
        <v/>
      </c>
      <c r="DL50" s="69"/>
      <c r="DM50" s="53" t="str">
        <f t="shared" ref="DM50:DN50" si="495">IFERROR(DE50/2,DE50)</f>
        <v>---</v>
      </c>
      <c r="DN50" s="53" t="str">
        <f t="shared" si="495"/>
        <v>---</v>
      </c>
      <c r="DO50" s="53" t="str">
        <f t="shared" si="478"/>
        <v>---</v>
      </c>
      <c r="DP50" s="67"/>
      <c r="DQ50" s="60"/>
      <c r="DR50" s="39" t="str">
        <f t="shared" si="479"/>
        <v>---</v>
      </c>
      <c r="DS50" s="46" t="str">
        <f t="shared" si="480"/>
        <v>---</v>
      </c>
      <c r="DT50" s="40" t="str">
        <f>IFERROR(__xludf.DUMMYFUNCTION("IFS((AND(DH50=TRUE, DI50=""Yes"")), (IFS(ISBLANK(DK50), DG50, DK50=""Novice 1"", CEILING((DG50*1.05), $H50), DK50=""Novice 2"", CEILING((DG50*1.025), $H50), DK50=""Novice 3"", DG50+$H50, DK50=""Intermediate 2"", (IF((ISBETWEEN(((((CZ50-CY50)/2))+DF50), CY"&amp;"50, CZ50)), DG50, DG50+$H50)), DK50=""Intermediate 1"", (IF((ISBETWEEN((DF50-((CZ50-CY50)/2)), CY50, CZ50)), DG50+$H50, (FLOOR((DG50*0.9875), $H50)))), DK50=""Advanced 2"", (IF(AND(((DE50+((CX50-CW50)/2))&gt;CX50), ((DF50+((CZ50-CY50)/2))&gt;CZ50)), DG50+$H50, "&amp;"(DG50))), DK50=""Advanced 1"", (IFS(DS50&lt;DF50, DG50+$H50, DS50=DF50, (DG50), DS50&gt;DF50, (FLOOR((DG50*0.9875), $H50)))))), (AND(CZ50=TRUE, DA50=""No"", DH50=TRUE, DI50=""No"")), (FLOOR((DG50*0.9), $H50)), (NOT((AND(DH50=TRUE, DI50=""Yes"")))), DG50)"),"---")</f>
        <v>---</v>
      </c>
      <c r="DU50" s="41" t="b">
        <v>0</v>
      </c>
      <c r="DV50" s="47"/>
      <c r="DW50" s="47"/>
      <c r="DX50" s="47" t="str">
        <f t="shared" si="481"/>
        <v/>
      </c>
      <c r="DY50" s="60"/>
      <c r="DZ50" s="39" t="str">
        <f t="shared" si="482"/>
        <v>---</v>
      </c>
      <c r="EA50" s="46" t="str">
        <f t="shared" si="483"/>
        <v>---</v>
      </c>
      <c r="EB50" s="40" t="str">
        <f>IFERROR(__xludf.DUMMYFUNCTION("IFS((AND(DU50=TRUE, DV50=""Yes"")), (IFS(ISBLANK(DX50), DT50, DX50=""Novice 1"", CEILING((DT50*1.05), $H50), DX50=""Novice 2"", CEILING((DT50*1.025), $H50), DX50=""Novice 3"", DT50+$H50, DX50=""Intermediate 2"", (IF((ISBETWEEN(((((DH50-DG50)/2))+DS50), DG"&amp;"50, DH50)), DT50, DT50+$H50)), DX50=""Intermediate 1"", (IF((ISBETWEEN((DS50-((DH50-DG50)/2)), DG50, DH50)), DT50+$H50, (FLOOR((DT50*0.9875), $H50)))), DX50=""Advanced 2"", (IF(AND(((DR50+((DF50-DE50)/2))&gt;DF50), ((DS50+((DH50-DG50)/2))&gt;DH50)), DT50+$H50, "&amp;"(DT50))), DX50=""Advanced 1"", (IFS(EA50&lt;DS50, DT50+$H50, EA50=DS50, (DT50), EA50&gt;DS50, (FLOOR((DT50*0.9875), $H50)))))), (AND(DH50=TRUE, DI50=""No"", DU50=TRUE, DV50=""No"")), (FLOOR((DT50*0.9), $H50)), (NOT((AND(DU50=TRUE, DV50=""Yes"")))), DT50)"),"---")</f>
        <v>---</v>
      </c>
      <c r="EC50" s="41" t="b">
        <v>0</v>
      </c>
      <c r="ED50" s="47"/>
      <c r="EE50" s="47"/>
      <c r="EF50" s="47" t="str">
        <f t="shared" si="484"/>
        <v/>
      </c>
      <c r="EG50" s="60"/>
      <c r="EH50" s="39" t="str">
        <f t="shared" si="485"/>
        <v>---</v>
      </c>
      <c r="EI50" s="46" t="str">
        <f t="shared" si="486"/>
        <v>---</v>
      </c>
      <c r="EJ50" s="40" t="str">
        <f>IFERROR(__xludf.DUMMYFUNCTION("IFS((AND(EC50=TRUE, ED50=""Yes"")), (IFS(ISBLANK(EF50), EB50, EF50=""Novice 1"", CEILING((EB50*1.05), $H50), EF50=""Novice 2"", CEILING((EB50*1.025), $H50), EF50=""Novice 3"", EB50+$H50, EF50=""Intermediate 2"", (IF((ISBETWEEN(((((DU50-DT50)/2))+EA50), DT"&amp;"50, DU50)), EB50, EB50+$H50)), EF50=""Intermediate 1"", (IF((ISBETWEEN((EA50-((DU50-DT50)/2)), DT50, DU50)), EB50+$H50, (FLOOR((EB50*0.9875), $H50)))), EF50=""Advanced 2"", (IF(AND(((DZ50+((DS50-DR50)/2))&gt;DS50), ((EA50+((DU50-DT50)/2))&gt;DU50)), EB50+$H50, "&amp;"(EB50))), EF50=""Advanced 1"", (IFS(EI50&lt;EA50, EB50+$H50, EI50=EA50, (EB50), EI50&gt;EA50, (FLOOR((EB50*0.9875), $H50)))))), (AND(DU50=TRUE, DV50=""No"", EC50=TRUE, ED50=""No"")), (FLOOR((EB50*0.9), $H50)), (NOT((AND(EC50=TRUE, ED50=""Yes"")))), EB50)"),"---")</f>
        <v>---</v>
      </c>
      <c r="EK50" s="41" t="b">
        <v>0</v>
      </c>
      <c r="EL50" s="47"/>
      <c r="EM50" s="47"/>
      <c r="EN50" s="47" t="str">
        <f t="shared" si="487"/>
        <v/>
      </c>
      <c r="EO50" s="60"/>
      <c r="EP50" s="48" t="str">
        <f t="shared" si="488"/>
        <v>---</v>
      </c>
      <c r="EQ50" s="49" t="str">
        <f t="shared" si="489"/>
        <v>---</v>
      </c>
      <c r="ER50" s="50" t="str">
        <f>IFERROR(__xludf.DUMMYFUNCTION("IFS((AND(EK50=TRUE, EL50=""Yes"")), (IFS(ISBLANK(EN50), EJ50, EN50=""Novice 1"", CEILING((EJ50*1.05), $H50), EN50=""Novice 2"", CEILING((EJ50*1.025), $H50), EN50=""Novice 3"", EJ50+$H50, EN50=""Intermediate 2"", (IF((ISBETWEEN(((((EC50-EB50)/2))+EI50), EB"&amp;"50, EC50)), EJ50, EJ50+$H50)), EN50=""Intermediate 1"", (IF((ISBETWEEN((EI50-((EC50-EB50)/2)), EB50, EC50)), EJ50+$H50, (FLOOR((EJ50*0.9875), $H50)))), EN50=""Advanced 2"", (IF(AND(((EH50+((EA50-DZ50)/2))&gt;EA50), ((EI50+((EC50-EB50)/2))&gt;EC50)), EJ50+$H50, "&amp;"(EJ50))), EN50=""Advanced 1"", (IFS(EQ50&lt;EI50, EJ50+$H50, EQ50=EI50, (EJ50), EQ50&gt;EI50, (FLOOR((EJ50*0.9875), $H50)))))), (AND(EC50=TRUE, ED50=""No"", EK50=TRUE, EL50=""No"")), (FLOOR((EJ50*0.9), $H50)), (NOT((AND(EK50=TRUE, EL50=""Yes"")))), EJ50)"),"---")</f>
        <v>---</v>
      </c>
      <c r="ES50" s="51" t="b">
        <v>0</v>
      </c>
      <c r="ET50" s="52"/>
      <c r="EU50" s="52"/>
      <c r="EV50" s="52" t="str">
        <f t="shared" si="490"/>
        <v/>
      </c>
      <c r="EW50" s="69"/>
      <c r="EX50" s="53" t="str">
        <f t="shared" ref="EX50:EY50" si="496">IFERROR(EP50/2,EP50)</f>
        <v>---</v>
      </c>
      <c r="EY50" s="53" t="str">
        <f t="shared" si="496"/>
        <v>---</v>
      </c>
      <c r="EZ50" s="53" t="str">
        <f t="shared" si="492"/>
        <v>---</v>
      </c>
      <c r="FA50" s="67"/>
      <c r="FB50" s="86"/>
      <c r="FC50" s="57"/>
    </row>
    <row r="51" outlineLevel="1">
      <c r="A51" s="32" t="s">
        <v>71</v>
      </c>
      <c r="B51" s="58"/>
      <c r="C51" s="82" t="s">
        <v>53</v>
      </c>
      <c r="D51" s="83" t="s">
        <v>53</v>
      </c>
      <c r="E51" s="82" t="s">
        <v>53</v>
      </c>
      <c r="F51" s="83" t="s">
        <v>53</v>
      </c>
      <c r="G51" s="83" t="s">
        <v>53</v>
      </c>
      <c r="H51" s="84"/>
      <c r="I51" s="85"/>
      <c r="J51" s="59"/>
      <c r="K51" s="39" t="str">
        <f t="shared" si="436"/>
        <v>---</v>
      </c>
      <c r="L51" s="40" t="str">
        <f t="shared" si="437"/>
        <v>---</v>
      </c>
      <c r="M51" s="40" t="str">
        <f t="shared" si="438"/>
        <v>---</v>
      </c>
      <c r="N51" s="41" t="b">
        <v>0</v>
      </c>
      <c r="O51" s="42"/>
      <c r="P51" s="42"/>
      <c r="Q51" s="42" t="str">
        <f t="shared" si="439"/>
        <v/>
      </c>
      <c r="R51" s="60"/>
      <c r="S51" s="39" t="str">
        <f t="shared" si="440"/>
        <v>---</v>
      </c>
      <c r="T51" s="46" t="str">
        <f t="shared" si="441"/>
        <v>---</v>
      </c>
      <c r="U51" s="40" t="str">
        <f>IFERROR(__xludf.DUMMYFUNCTION("IFS((AND(N51=TRUE, O51=""Yes"")), (IFS(ISBLANK(Q51), M51, Q51=""Novice 1"", CEILING((M51*1.05), $H51), Q51=""Novice 2"", CEILING((M51*1.025), $H51), Q51=""Novice 3"", M51+$H51, Q51=""Intermediate 2"", (IF((ISBETWEEN(((((F51-E51)/2))+L51), E51, F51)), M51,"&amp;" M51+$H51)), Q51=""Intermediate 1"", (IF((ISBETWEEN((L51-((F51-E51)/2)), E51, F51)), M51+$H51, (FLOOR((M51*0.9875), $H51)))), Q51=""Advanced 2"", (IF(AND(((K51+((D51-C51)/2))&gt;D51), ((L51+((F51-E51)/2))&gt;F51)), M51+$H51, (M51))), Q51=""Advanced 1"", (IFS(T5"&amp;"1&lt;L51, M51+$H51, T51=L51, (M51), T51&gt;L51, (FLOOR((M51*0.9875), $H51)))))), (AND(F51=TRUE, G51=""No"", N51=TRUE, O51=""No"")), (FLOOR((M51*0.9), $H51)), (NOT((AND(N51=TRUE, O51=""Yes"")))), M51)"),"---")</f>
        <v>---</v>
      </c>
      <c r="V51" s="41" t="b">
        <v>0</v>
      </c>
      <c r="W51" s="47"/>
      <c r="X51" s="47"/>
      <c r="Y51" s="47" t="str">
        <f t="shared" si="442"/>
        <v/>
      </c>
      <c r="Z51" s="60"/>
      <c r="AA51" s="39" t="str">
        <f t="shared" si="443"/>
        <v>---</v>
      </c>
      <c r="AB51" s="46" t="str">
        <f t="shared" si="444"/>
        <v>---</v>
      </c>
      <c r="AC51" s="40" t="str">
        <f>IFERROR(__xludf.DUMMYFUNCTION("IFS((AND(V51=TRUE, W51=""Yes"")), (IFS(ISBLANK(Y51), U51, Y51=""Novice 1"", CEILING((U51*1.05), $H51), Y51=""Novice 2"", CEILING((U51*1.025), $H51), Y51=""Novice 3"", U51+$H51, Y51=""Intermediate 2"", (IF((ISBETWEEN(((((N51-M51)/2))+T51), M51, N51)), U51,"&amp;" U51+$H51)), Y51=""Intermediate 1"", (IF((ISBETWEEN((T51-((N51-M51)/2)), M51, N51)), U51+$H51, (FLOOR((U51*0.9875), $H51)))), Y51=""Advanced 2"", (IF(AND(((S51+((L51-K51)/2))&gt;L51), ((T51+((N51-M51)/2))&gt;N51)), U51+$H51, (U51))), Y51=""Advanced 1"", (IFS(AB"&amp;"51&lt;T51, U51+$H51, AB51=T51, (U51), AB51&gt;T51, (FLOOR((U51*0.9875), $H51)))))), (AND(N51=TRUE, O51=""No"", V51=TRUE, W51=""No"")), (FLOOR((U51*0.9), $H51)), (NOT((AND(V51=TRUE, W51=""Yes"")))), U51)"),"---")</f>
        <v>---</v>
      </c>
      <c r="AD51" s="41" t="b">
        <v>0</v>
      </c>
      <c r="AE51" s="47"/>
      <c r="AF51" s="47"/>
      <c r="AG51" s="47" t="str">
        <f t="shared" si="445"/>
        <v/>
      </c>
      <c r="AH51" s="60"/>
      <c r="AI51" s="61" t="str">
        <f t="shared" si="446"/>
        <v>---</v>
      </c>
      <c r="AJ51" s="62" t="str">
        <f t="shared" si="447"/>
        <v>---</v>
      </c>
      <c r="AK51" s="63" t="str">
        <f>IFERROR(__xludf.DUMMYFUNCTION("IFS((AND(AD51=TRUE, AE51=""Yes"")), (IFS(ISBLANK(AG51), AC51, AG51=""Novice 1"", CEILING((AC51*1.05), $H51), AG51=""Novice 2"", CEILING((AC51*1.025), $H51), AG51=""Novice 3"", AC51+$H51, AG51=""Intermediate 2"", (IF((ISBETWEEN(((((V51-U51)/2))+AB51), U51,"&amp;" V51)), AC51, AC51+$H51)), AG51=""Intermediate 1"", (IF((ISBETWEEN((AB51-((V51-U51)/2)), U51, V51)), AC51+$H51, (FLOOR((AC51*0.9875), $H51)))), AG51=""Advanced 2"", (IF(AND(((AA51+((T51-S51)/2))&gt;T51), ((AB51+((V51-U51)/2))&gt;V51)), AC51+$H51, (AC51))), AG51"&amp;"=""Advanced 1"", (IFS(AJ51&lt;AB51, AC51+$H51, AJ51=AB51, (AC51), AJ51&gt;AB51, (FLOOR((AC51*0.9875), $H51)))))), (AND(V51=TRUE, W51=""No"", AD51=TRUE, AE51=""No"")), (FLOOR((AC51*0.9), $H51)), (NOT((AND(AD51=TRUE, AE51=""Yes"")))), AC51)"),"---")</f>
        <v>---</v>
      </c>
      <c r="AL51" s="64" t="b">
        <v>0</v>
      </c>
      <c r="AM51" s="65"/>
      <c r="AN51" s="65"/>
      <c r="AO51" s="65" t="str">
        <f t="shared" si="448"/>
        <v/>
      </c>
      <c r="AP51" s="66"/>
      <c r="AQ51" s="53" t="str">
        <f t="shared" ref="AQ51:AR51" si="497">IFERROR(AI51/2,AI51)</f>
        <v>---</v>
      </c>
      <c r="AR51" s="53" t="str">
        <f t="shared" si="497"/>
        <v>---</v>
      </c>
      <c r="AS51" s="53" t="str">
        <f t="shared" si="450"/>
        <v>---</v>
      </c>
      <c r="AT51" s="67"/>
      <c r="AU51" s="60"/>
      <c r="AV51" s="39" t="str">
        <f t="shared" si="451"/>
        <v>---</v>
      </c>
      <c r="AW51" s="46" t="str">
        <f t="shared" si="452"/>
        <v>---</v>
      </c>
      <c r="AX51" s="40" t="str">
        <f>IFERROR(__xludf.DUMMYFUNCTION("IFS((AND(AL51=TRUE, AM51=""Yes"")), (IFS(ISBLANK(AO51), AK51, AO51=""Novice 1"", CEILING((AK51*1.05), $H51), AO51=""Novice 2"", CEILING((AK51*1.025), $H51), AO51=""Novice 3"", AK51+$H51, AO51=""Intermediate 2"", (IF((ISBETWEEN(((((AD51-AC51)/2))+AJ51), AC"&amp;"51, AD51)), AK51, AK51+$H51)), AO51=""Intermediate 1"", (IF((ISBETWEEN((AJ51-((AD51-AC51)/2)), AC51, AD51)), AK51+$H51, (FLOOR((AK51*0.9875), $H51)))), AO51=""Advanced 2"", (IF(AND(((AI51+((AB51-AA51)/2))&gt;AB51), ((AJ51+((AD51-AC51)/2))&gt;AD51)), AK51+$H51, "&amp;"(AK51))), AO51=""Advanced 1"", (IFS(AW51&lt;AJ51, AK51+$H51, AW51=AJ51, (AK51), AW51&gt;AJ51, (FLOOR((AK51*0.9875), $H51)))))), (AND(AD51=TRUE, AE51=""No"", AL51=TRUE, AM51=""No"")), (FLOOR((AK51*0.9), $H51)), (NOT((AND(AL51=TRUE, AM51=""Yes"")))), AK51)"),"---")</f>
        <v>---</v>
      </c>
      <c r="AY51" s="41" t="b">
        <v>0</v>
      </c>
      <c r="AZ51" s="47"/>
      <c r="BA51" s="47"/>
      <c r="BB51" s="47" t="str">
        <f t="shared" si="453"/>
        <v/>
      </c>
      <c r="BC51" s="60"/>
      <c r="BD51" s="39" t="str">
        <f t="shared" si="454"/>
        <v>---</v>
      </c>
      <c r="BE51" s="46" t="str">
        <f t="shared" si="455"/>
        <v>---</v>
      </c>
      <c r="BF51" s="40" t="str">
        <f>IFERROR(__xludf.DUMMYFUNCTION("IFS((AND(AY51=TRUE, AZ51=""Yes"")), (IFS(ISBLANK(BB51), AX51, BB51=""Novice 1"", CEILING((AX51*1.05), $H51), BB51=""Novice 2"", CEILING((AX51*1.025), $H51), BB51=""Novice 3"", AX51+$H51, BB51=""Intermediate 2"", (IF((ISBETWEEN(((((AL51-AK51)/2))+AW51), AK"&amp;"51, AL51)), AX51, AX51+$H51)), BB51=""Intermediate 1"", (IF((ISBETWEEN((AW51-((AL51-AK51)/2)), AK51, AL51)), AX51+$H51, (FLOOR((AX51*0.9875), $H51)))), BB51=""Advanced 2"", (IF(AND(((AV51+((AJ51-AI51)/2))&gt;AJ51), ((AW51+((AL51-AK51)/2))&gt;AL51)), AX51+$H51, "&amp;"(AX51))), BB51=""Advanced 1"", (IFS(BE51&lt;AW51, AX51+$H51, BE51=AW51, (AX51), BE51&gt;AW51, (FLOOR((AX51*0.9875), $H51)))))), (AND(AL51=TRUE, AM51=""No"", AY51=TRUE, AZ51=""No"")), (FLOOR((AX51*0.9), $H51)), (NOT((AND(AY51=TRUE, AZ51=""Yes"")))), AX51)"),"---")</f>
        <v>---</v>
      </c>
      <c r="BG51" s="41" t="b">
        <v>0</v>
      </c>
      <c r="BH51" s="47"/>
      <c r="BI51" s="47"/>
      <c r="BJ51" s="47" t="str">
        <f t="shared" si="456"/>
        <v/>
      </c>
      <c r="BK51" s="60"/>
      <c r="BL51" s="39" t="str">
        <f t="shared" si="457"/>
        <v>---</v>
      </c>
      <c r="BM51" s="46" t="str">
        <f t="shared" si="458"/>
        <v>---</v>
      </c>
      <c r="BN51" s="40" t="str">
        <f>IFERROR(__xludf.DUMMYFUNCTION("IFS((AND(BG51=TRUE, BH51=""Yes"")), (IFS(ISBLANK(BJ51), BF51, BJ51=""Novice 1"", CEILING((BF51*1.05), $H51), BJ51=""Novice 2"", CEILING((BF51*1.025), $H51), BJ51=""Novice 3"", BF51+$H51, BJ51=""Intermediate 2"", (IF((ISBETWEEN(((((AY51-AX51)/2))+BE51), AX"&amp;"51, AY51)), BF51, BF51+$H51)), BJ51=""Intermediate 1"", (IF((ISBETWEEN((BE51-((AY51-AX51)/2)), AX51, AY51)), BF51+$H51, (FLOOR((BF51*0.9875), $H51)))), BJ51=""Advanced 2"", (IF(AND(((BD51+((AW51-AV51)/2))&gt;AW51), ((BE51+((AY51-AX51)/2))&gt;AY51)), BF51+$H51, "&amp;"(BF51))), BJ51=""Advanced 1"", (IFS(BM51&lt;BE51, BF51+$H51, BM51=BE51, (BF51), BM51&gt;BE51, (FLOOR((BF51*0.9875), $H51)))))), (AND(AY51=TRUE, AZ51=""No"", BG51=TRUE, BH51=""No"")), (FLOOR((BF51*0.9), $H51)), (NOT((AND(BG51=TRUE, BH51=""Yes"")))), BF51)"),"---")</f>
        <v>---</v>
      </c>
      <c r="BO51" s="41" t="b">
        <v>0</v>
      </c>
      <c r="BP51" s="47"/>
      <c r="BQ51" s="47"/>
      <c r="BR51" s="47" t="str">
        <f t="shared" si="459"/>
        <v/>
      </c>
      <c r="BS51" s="60"/>
      <c r="BT51" s="61" t="str">
        <f t="shared" si="460"/>
        <v>---</v>
      </c>
      <c r="BU51" s="62" t="str">
        <f t="shared" si="461"/>
        <v>---</v>
      </c>
      <c r="BV51" s="63" t="str">
        <f>IFERROR(__xludf.DUMMYFUNCTION("IFS((AND(BO51=TRUE, BP51=""Yes"")), (IFS(ISBLANK(BR51), BN51, BR51=""Novice 1"", CEILING((BN51*1.05), $H51), BR51=""Novice 2"", CEILING((BN51*1.025), $H51), BR51=""Novice 3"", BN51+$H51, BR51=""Intermediate 2"", (IF((ISBETWEEN(((((BG51-BF51)/2))+BM51), BF"&amp;"51, BG51)), BN51, BN51+$H51)), BR51=""Intermediate 1"", (IF((ISBETWEEN((BM51-((BG51-BF51)/2)), BF51, BG51)), BN51+$H51, (FLOOR((BN51*0.9875), $H51)))), BR51=""Advanced 2"", (IF(AND(((BL51+((BE51-BD51)/2))&gt;BE51), ((BM51+((BG51-BF51)/2))&gt;BG51)), BN51+$H51, "&amp;"(BN51))), BR51=""Advanced 1"", (IFS(BU51&lt;BM51, BN51+$H51, BU51=BM51, (BN51), BU51&gt;BM51, (FLOOR((BN51*0.9875), $H51)))))), (AND(BG51=TRUE, BH51=""No"", BO51=TRUE, BP51=""No"")), (FLOOR((BN51*0.9), $H51)), (NOT((AND(BO51=TRUE, BP51=""Yes"")))), BN51)"),"---")</f>
        <v>---</v>
      </c>
      <c r="BW51" s="64" t="b">
        <v>0</v>
      </c>
      <c r="BX51" s="65"/>
      <c r="BY51" s="65"/>
      <c r="BZ51" s="65" t="str">
        <f t="shared" si="462"/>
        <v/>
      </c>
      <c r="CA51" s="66"/>
      <c r="CB51" s="53" t="str">
        <f t="shared" ref="CB51:CC51" si="498">IFERROR(BT51/2,BT51)</f>
        <v>---</v>
      </c>
      <c r="CC51" s="53" t="str">
        <f t="shared" si="498"/>
        <v>---</v>
      </c>
      <c r="CD51" s="53" t="str">
        <f t="shared" si="464"/>
        <v>---</v>
      </c>
      <c r="CE51" s="67"/>
      <c r="CF51" s="60"/>
      <c r="CG51" s="39" t="str">
        <f t="shared" si="465"/>
        <v>---</v>
      </c>
      <c r="CH51" s="46" t="str">
        <f t="shared" si="466"/>
        <v>---</v>
      </c>
      <c r="CI51" s="40" t="str">
        <f>IFERROR(__xludf.DUMMYFUNCTION("IFS((AND(BW51=TRUE, BX51=""Yes"")), (IFS(ISBLANK(BZ51), BV51, BZ51=""Novice 1"", CEILING((BV51*1.05), $H51), BZ51=""Novice 2"", CEILING((BV51*1.025), $H51), BZ51=""Novice 3"", BV51+$H51, BZ51=""Intermediate 2"", (IF((ISBETWEEN(((((BO51-BN51)/2))+BU51), BN"&amp;"51, BO51)), BV51, BV51+$H51)), BZ51=""Intermediate 1"", (IF((ISBETWEEN((BU51-((BO51-BN51)/2)), BN51, BO51)), BV51+$H51, (FLOOR((BV51*0.9875), $H51)))), BZ51=""Advanced 2"", (IF(AND(((BT51+((BM51-BL51)/2))&gt;BM51), ((BU51+((BO51-BN51)/2))&gt;BO51)), BV51+$H51, "&amp;"(BV51))), BZ51=""Advanced 1"", (IFS(CH51&lt;BU51, BV51+$H51, CH51=BU51, (BV51), CH51&gt;BU51, (FLOOR((BV51*0.9875), $H51)))))), (AND(BO51=TRUE, BP51=""No"", BW51=TRUE, BX51=""No"")), (FLOOR((BV51*0.9), $H51)), (NOT((AND(BW51=TRUE, BX51=""Yes"")))), BV51)"),"---")</f>
        <v>---</v>
      </c>
      <c r="CJ51" s="41" t="b">
        <v>0</v>
      </c>
      <c r="CK51" s="47"/>
      <c r="CL51" s="47"/>
      <c r="CM51" s="47" t="str">
        <f t="shared" si="467"/>
        <v/>
      </c>
      <c r="CN51" s="60"/>
      <c r="CO51" s="39" t="str">
        <f t="shared" si="468"/>
        <v>---</v>
      </c>
      <c r="CP51" s="46" t="str">
        <f t="shared" si="469"/>
        <v>---</v>
      </c>
      <c r="CQ51" s="40" t="str">
        <f>IFERROR(__xludf.DUMMYFUNCTION("IFS((AND(CJ51=TRUE, CK51=""Yes"")), (IFS(ISBLANK(CM51), CI51, CM51=""Novice 1"", CEILING((CI51*1.05), $H51), CM51=""Novice 2"", CEILING((CI51*1.025), $H51), CM51=""Novice 3"", CI51+$H51, CM51=""Intermediate 2"", (IF((ISBETWEEN(((((BW51-BV51)/2))+CH51), BV"&amp;"51, BW51)), CI51, CI51+$H51)), CM51=""Intermediate 1"", (IF((ISBETWEEN((CH51-((BW51-BV51)/2)), BV51, BW51)), CI51+$H51, (FLOOR((CI51*0.9875), $H51)))), CM51=""Advanced 2"", (IF(AND(((CG51+((BU51-BT51)/2))&gt;BU51), ((CH51+((BW51-BV51)/2))&gt;BW51)), CI51+$H51, "&amp;"(CI51))), CM51=""Advanced 1"", (IFS(CP51&lt;CH51, CI51+$H51, CP51=CH51, (CI51), CP51&gt;CH51, (FLOOR((CI51*0.9875), $H51)))))), (AND(BW51=TRUE, BX51=""No"", CJ51=TRUE, CK51=""No"")), (FLOOR((CI51*0.9), $H51)), (NOT((AND(CJ51=TRUE, CK51=""Yes"")))), CI51)"),"---")</f>
        <v>---</v>
      </c>
      <c r="CR51" s="41" t="b">
        <v>0</v>
      </c>
      <c r="CS51" s="47"/>
      <c r="CT51" s="47"/>
      <c r="CU51" s="47" t="str">
        <f t="shared" si="470"/>
        <v/>
      </c>
      <c r="CV51" s="60"/>
      <c r="CW51" s="39" t="str">
        <f t="shared" si="471"/>
        <v>---</v>
      </c>
      <c r="CX51" s="46" t="str">
        <f t="shared" si="472"/>
        <v>---</v>
      </c>
      <c r="CY51" s="40" t="str">
        <f>IFERROR(__xludf.DUMMYFUNCTION("IFS((AND(CR51=TRUE, CS51=""Yes"")), (IFS(ISBLANK(CU51), CQ51, CU51=""Novice 1"", CEILING((CQ51*1.05), $H51), CU51=""Novice 2"", CEILING((CQ51*1.025), $H51), CU51=""Novice 3"", CQ51+$H51, CU51=""Intermediate 2"", (IF((ISBETWEEN(((((CJ51-CI51)/2))+CP51), CI"&amp;"51, CJ51)), CQ51, CQ51+$H51)), CU51=""Intermediate 1"", (IF((ISBETWEEN((CP51-((CJ51-CI51)/2)), CI51, CJ51)), CQ51+$H51, (FLOOR((CQ51*0.9875), $H51)))), CU51=""Advanced 2"", (IF(AND(((CO51+((CH51-CG51)/2))&gt;CH51), ((CP51+((CJ51-CI51)/2))&gt;CJ51)), CQ51+$H51, "&amp;"(CQ51))), CU51=""Advanced 1"", (IFS(CX51&lt;CP51, CQ51+$H51, CX51=CP51, (CQ51), CX51&gt;CP51, (FLOOR((CQ51*0.9875), $H51)))))), (AND(CJ51=TRUE, CK51=""No"", CR51=TRUE, CS51=""No"")), (FLOOR((CQ51*0.9), $H51)), (NOT((AND(CR51=TRUE, CS51=""Yes"")))), CQ51)"),"---")</f>
        <v>---</v>
      </c>
      <c r="CZ51" s="41" t="b">
        <v>0</v>
      </c>
      <c r="DA51" s="47"/>
      <c r="DB51" s="47"/>
      <c r="DC51" s="47" t="str">
        <f t="shared" si="473"/>
        <v/>
      </c>
      <c r="DD51" s="60"/>
      <c r="DE51" s="61" t="str">
        <f t="shared" si="474"/>
        <v>---</v>
      </c>
      <c r="DF51" s="62" t="str">
        <f t="shared" si="475"/>
        <v>---</v>
      </c>
      <c r="DG51" s="63" t="str">
        <f>IFERROR(__xludf.DUMMYFUNCTION("IFS((AND(CZ51=TRUE, DA51=""Yes"")), (IFS(ISBLANK(DC51), CY51, DC51=""Novice 1"", CEILING((CY51*1.05), $H51), DC51=""Novice 2"", CEILING((CY51*1.025), $H51), DC51=""Novice 3"", CY51+$H51, DC51=""Intermediate 2"", (IF((ISBETWEEN(((((CR51-CQ51)/2))+CX51), CQ"&amp;"51, CR51)), CY51, CY51+$H51)), DC51=""Intermediate 1"", (IF((ISBETWEEN((CX51-((CR51-CQ51)/2)), CQ51, CR51)), CY51+$H51, (FLOOR((CY51*0.9875), $H51)))), DC51=""Advanced 2"", (IF(AND(((CW51+((CP51-CO51)/2))&gt;CP51), ((CX51+((CR51-CQ51)/2))&gt;CR51)), CY51+$H51, "&amp;"(CY51))), DC51=""Advanced 1"", (IFS(DF51&lt;CX51, CY51+$H51, DF51=CX51, (CY51), DF51&gt;CX51, (FLOOR((CY51*0.9875), $H51)))))), (AND(CR51=TRUE, CS51=""No"", CZ51=TRUE, DA51=""No"")), (FLOOR((CY51*0.9), $H51)), (NOT((AND(CZ51=TRUE, DA51=""Yes"")))), CY51)"),"---")</f>
        <v>---</v>
      </c>
      <c r="DH51" s="64" t="b">
        <v>0</v>
      </c>
      <c r="DI51" s="65"/>
      <c r="DJ51" s="65"/>
      <c r="DK51" s="65" t="str">
        <f t="shared" si="476"/>
        <v/>
      </c>
      <c r="DL51" s="66"/>
      <c r="DM51" s="53" t="str">
        <f t="shared" ref="DM51:DN51" si="499">IFERROR(DE51/2,DE51)</f>
        <v>---</v>
      </c>
      <c r="DN51" s="53" t="str">
        <f t="shared" si="499"/>
        <v>---</v>
      </c>
      <c r="DO51" s="53" t="str">
        <f t="shared" si="478"/>
        <v>---</v>
      </c>
      <c r="DP51" s="67"/>
      <c r="DQ51" s="60"/>
      <c r="DR51" s="39" t="str">
        <f t="shared" si="479"/>
        <v>---</v>
      </c>
      <c r="DS51" s="46" t="str">
        <f t="shared" si="480"/>
        <v>---</v>
      </c>
      <c r="DT51" s="40" t="str">
        <f>IFERROR(__xludf.DUMMYFUNCTION("IFS((AND(DH51=TRUE, DI51=""Yes"")), (IFS(ISBLANK(DK51), DG51, DK51=""Novice 1"", CEILING((DG51*1.05), $H51), DK51=""Novice 2"", CEILING((DG51*1.025), $H51), DK51=""Novice 3"", DG51+$H51, DK51=""Intermediate 2"", (IF((ISBETWEEN(((((CZ51-CY51)/2))+DF51), CY"&amp;"51, CZ51)), DG51, DG51+$H51)), DK51=""Intermediate 1"", (IF((ISBETWEEN((DF51-((CZ51-CY51)/2)), CY51, CZ51)), DG51+$H51, (FLOOR((DG51*0.9875), $H51)))), DK51=""Advanced 2"", (IF(AND(((DE51+((CX51-CW51)/2))&gt;CX51), ((DF51+((CZ51-CY51)/2))&gt;CZ51)), DG51+$H51, "&amp;"(DG51))), DK51=""Advanced 1"", (IFS(DS51&lt;DF51, DG51+$H51, DS51=DF51, (DG51), DS51&gt;DF51, (FLOOR((DG51*0.9875), $H51)))))), (AND(CZ51=TRUE, DA51=""No"", DH51=TRUE, DI51=""No"")), (FLOOR((DG51*0.9), $H51)), (NOT((AND(DH51=TRUE, DI51=""Yes"")))), DG51)"),"---")</f>
        <v>---</v>
      </c>
      <c r="DU51" s="41" t="b">
        <v>0</v>
      </c>
      <c r="DV51" s="47"/>
      <c r="DW51" s="47"/>
      <c r="DX51" s="47" t="str">
        <f t="shared" si="481"/>
        <v/>
      </c>
      <c r="DY51" s="60"/>
      <c r="DZ51" s="39" t="str">
        <f t="shared" si="482"/>
        <v>---</v>
      </c>
      <c r="EA51" s="46" t="str">
        <f t="shared" si="483"/>
        <v>---</v>
      </c>
      <c r="EB51" s="40" t="str">
        <f>IFERROR(__xludf.DUMMYFUNCTION("IFS((AND(DU51=TRUE, DV51=""Yes"")), (IFS(ISBLANK(DX51), DT51, DX51=""Novice 1"", CEILING((DT51*1.05), $H51), DX51=""Novice 2"", CEILING((DT51*1.025), $H51), DX51=""Novice 3"", DT51+$H51, DX51=""Intermediate 2"", (IF((ISBETWEEN(((((DH51-DG51)/2))+DS51), DG"&amp;"51, DH51)), DT51, DT51+$H51)), DX51=""Intermediate 1"", (IF((ISBETWEEN((DS51-((DH51-DG51)/2)), DG51, DH51)), DT51+$H51, (FLOOR((DT51*0.9875), $H51)))), DX51=""Advanced 2"", (IF(AND(((DR51+((DF51-DE51)/2))&gt;DF51), ((DS51+((DH51-DG51)/2))&gt;DH51)), DT51+$H51, "&amp;"(DT51))), DX51=""Advanced 1"", (IFS(EA51&lt;DS51, DT51+$H51, EA51=DS51, (DT51), EA51&gt;DS51, (FLOOR((DT51*0.9875), $H51)))))), (AND(DH51=TRUE, DI51=""No"", DU51=TRUE, DV51=""No"")), (FLOOR((DT51*0.9), $H51)), (NOT((AND(DU51=TRUE, DV51=""Yes"")))), DT51)"),"---")</f>
        <v>---</v>
      </c>
      <c r="EC51" s="41" t="b">
        <v>0</v>
      </c>
      <c r="ED51" s="47"/>
      <c r="EE51" s="47"/>
      <c r="EF51" s="47" t="str">
        <f t="shared" si="484"/>
        <v/>
      </c>
      <c r="EG51" s="60"/>
      <c r="EH51" s="39" t="str">
        <f t="shared" si="485"/>
        <v>---</v>
      </c>
      <c r="EI51" s="46" t="str">
        <f t="shared" si="486"/>
        <v>---</v>
      </c>
      <c r="EJ51" s="40" t="str">
        <f>IFERROR(__xludf.DUMMYFUNCTION("IFS((AND(EC51=TRUE, ED51=""Yes"")), (IFS(ISBLANK(EF51), EB51, EF51=""Novice 1"", CEILING((EB51*1.05), $H51), EF51=""Novice 2"", CEILING((EB51*1.025), $H51), EF51=""Novice 3"", EB51+$H51, EF51=""Intermediate 2"", (IF((ISBETWEEN(((((DU51-DT51)/2))+EA51), DT"&amp;"51, DU51)), EB51, EB51+$H51)), EF51=""Intermediate 1"", (IF((ISBETWEEN((EA51-((DU51-DT51)/2)), DT51, DU51)), EB51+$H51, (FLOOR((EB51*0.9875), $H51)))), EF51=""Advanced 2"", (IF(AND(((DZ51+((DS51-DR51)/2))&gt;DS51), ((EA51+((DU51-DT51)/2))&gt;DU51)), EB51+$H51, "&amp;"(EB51))), EF51=""Advanced 1"", (IFS(EI51&lt;EA51, EB51+$H51, EI51=EA51, (EB51), EI51&gt;EA51, (FLOOR((EB51*0.9875), $H51)))))), (AND(DU51=TRUE, DV51=""No"", EC51=TRUE, ED51=""No"")), (FLOOR((EB51*0.9), $H51)), (NOT((AND(EC51=TRUE, ED51=""Yes"")))), EB51)"),"---")</f>
        <v>---</v>
      </c>
      <c r="EK51" s="41" t="b">
        <v>0</v>
      </c>
      <c r="EL51" s="47"/>
      <c r="EM51" s="47"/>
      <c r="EN51" s="47" t="str">
        <f t="shared" si="487"/>
        <v/>
      </c>
      <c r="EO51" s="60"/>
      <c r="EP51" s="61" t="str">
        <f t="shared" si="488"/>
        <v>---</v>
      </c>
      <c r="EQ51" s="62" t="str">
        <f t="shared" si="489"/>
        <v>---</v>
      </c>
      <c r="ER51" s="63" t="str">
        <f>IFERROR(__xludf.DUMMYFUNCTION("IFS((AND(EK51=TRUE, EL51=""Yes"")), (IFS(ISBLANK(EN51), EJ51, EN51=""Novice 1"", CEILING((EJ51*1.05), $H51), EN51=""Novice 2"", CEILING((EJ51*1.025), $H51), EN51=""Novice 3"", EJ51+$H51, EN51=""Intermediate 2"", (IF((ISBETWEEN(((((EC51-EB51)/2))+EI51), EB"&amp;"51, EC51)), EJ51, EJ51+$H51)), EN51=""Intermediate 1"", (IF((ISBETWEEN((EI51-((EC51-EB51)/2)), EB51, EC51)), EJ51+$H51, (FLOOR((EJ51*0.9875), $H51)))), EN51=""Advanced 2"", (IF(AND(((EH51+((EA51-DZ51)/2))&gt;EA51), ((EI51+((EC51-EB51)/2))&gt;EC51)), EJ51+$H51, "&amp;"(EJ51))), EN51=""Advanced 1"", (IFS(EQ51&lt;EI51, EJ51+$H51, EQ51=EI51, (EJ51), EQ51&gt;EI51, (FLOOR((EJ51*0.9875), $H51)))))), (AND(EC51=TRUE, ED51=""No"", EK51=TRUE, EL51=""No"")), (FLOOR((EJ51*0.9), $H51)), (NOT((AND(EK51=TRUE, EL51=""Yes"")))), EJ51)"),"---")</f>
        <v>---</v>
      </c>
      <c r="ES51" s="64" t="b">
        <v>0</v>
      </c>
      <c r="ET51" s="65"/>
      <c r="EU51" s="65"/>
      <c r="EV51" s="65" t="str">
        <f t="shared" si="490"/>
        <v/>
      </c>
      <c r="EW51" s="66"/>
      <c r="EX51" s="53" t="str">
        <f t="shared" ref="EX51:EY51" si="500">IFERROR(EP51/2,EP51)</f>
        <v>---</v>
      </c>
      <c r="EY51" s="53" t="str">
        <f t="shared" si="500"/>
        <v>---</v>
      </c>
      <c r="EZ51" s="53" t="str">
        <f t="shared" si="492"/>
        <v>---</v>
      </c>
      <c r="FA51" s="67"/>
      <c r="FB51" s="86"/>
      <c r="FC51" s="57"/>
    </row>
    <row r="52" outlineLevel="1">
      <c r="A52" s="32" t="s">
        <v>72</v>
      </c>
      <c r="B52" s="58"/>
      <c r="C52" s="82" t="s">
        <v>53</v>
      </c>
      <c r="D52" s="83" t="s">
        <v>53</v>
      </c>
      <c r="E52" s="82" t="s">
        <v>53</v>
      </c>
      <c r="F52" s="83" t="s">
        <v>53</v>
      </c>
      <c r="G52" s="83" t="s">
        <v>53</v>
      </c>
      <c r="H52" s="84"/>
      <c r="I52" s="85"/>
      <c r="J52" s="59"/>
      <c r="K52" s="39" t="str">
        <f t="shared" si="436"/>
        <v>---</v>
      </c>
      <c r="L52" s="40" t="str">
        <f t="shared" si="437"/>
        <v>---</v>
      </c>
      <c r="M52" s="40" t="str">
        <f t="shared" si="438"/>
        <v>---</v>
      </c>
      <c r="N52" s="41" t="b">
        <v>0</v>
      </c>
      <c r="O52" s="42"/>
      <c r="P52" s="43"/>
      <c r="Q52" s="42" t="str">
        <f t="shared" si="439"/>
        <v/>
      </c>
      <c r="R52" s="60"/>
      <c r="S52" s="39" t="str">
        <f t="shared" si="440"/>
        <v>---</v>
      </c>
      <c r="T52" s="46" t="str">
        <f t="shared" si="441"/>
        <v>---</v>
      </c>
      <c r="U52" s="40" t="str">
        <f>IFERROR(__xludf.DUMMYFUNCTION("IFS((AND(N52=TRUE, O52=""Yes"")), (IFS(ISBLANK(Q52), M52, Q52=""Novice 1"", CEILING((M52*1.05), $H52), Q52=""Novice 2"", CEILING((M52*1.025), $H52), Q52=""Novice 3"", M52+$H52, Q52=""Intermediate 2"", (IF((ISBETWEEN(((((F52-E52)/2))+L52), E52, F52)), M52,"&amp;" M52+$H52)), Q52=""Intermediate 1"", (IF((ISBETWEEN((L52-((F52-E52)/2)), E52, F52)), M52+$H52, (FLOOR((M52*0.9875), $H52)))), Q52=""Advanced 2"", (IF(AND(((K52+((D52-C52)/2))&gt;D52), ((L52+((F52-E52)/2))&gt;F52)), M52+$H52, (M52))), Q52=""Advanced 1"", (IFS(T5"&amp;"2&lt;L52, M52+$H52, T52=L52, (M52), T52&gt;L52, (FLOOR((M52*0.9875), $H52)))))), (AND(F52=TRUE, G52=""No"", N52=TRUE, O52=""No"")), (FLOOR((M52*0.9), $H52)), (NOT((AND(N52=TRUE, O52=""Yes"")))), M52)"),"---")</f>
        <v>---</v>
      </c>
      <c r="V52" s="41" t="b">
        <v>0</v>
      </c>
      <c r="W52" s="47"/>
      <c r="X52" s="47"/>
      <c r="Y52" s="47" t="str">
        <f t="shared" si="442"/>
        <v/>
      </c>
      <c r="Z52" s="60"/>
      <c r="AA52" s="39" t="str">
        <f t="shared" si="443"/>
        <v>---</v>
      </c>
      <c r="AB52" s="46" t="str">
        <f t="shared" si="444"/>
        <v>---</v>
      </c>
      <c r="AC52" s="40" t="str">
        <f>IFERROR(__xludf.DUMMYFUNCTION("IFS((AND(V52=TRUE, W52=""Yes"")), (IFS(ISBLANK(Y52), U52, Y52=""Novice 1"", CEILING((U52*1.05), $H52), Y52=""Novice 2"", CEILING((U52*1.025), $H52), Y52=""Novice 3"", U52+$H52, Y52=""Intermediate 2"", (IF((ISBETWEEN(((((N52-M52)/2))+T52), M52, N52)), U52,"&amp;" U52+$H52)), Y52=""Intermediate 1"", (IF((ISBETWEEN((T52-((N52-M52)/2)), M52, N52)), U52+$H52, (FLOOR((U52*0.9875), $H52)))), Y52=""Advanced 2"", (IF(AND(((S52+((L52-K52)/2))&gt;L52), ((T52+((N52-M52)/2))&gt;N52)), U52+$H52, (U52))), Y52=""Advanced 1"", (IFS(AB"&amp;"52&lt;T52, U52+$H52, AB52=T52, (U52), AB52&gt;T52, (FLOOR((U52*0.9875), $H52)))))), (AND(N52=TRUE, O52=""No"", V52=TRUE, W52=""No"")), (FLOOR((U52*0.9), $H52)), (NOT((AND(V52=TRUE, W52=""Yes"")))), U52)"),"---")</f>
        <v>---</v>
      </c>
      <c r="AD52" s="41" t="b">
        <v>0</v>
      </c>
      <c r="AE52" s="47"/>
      <c r="AF52" s="47"/>
      <c r="AG52" s="47" t="str">
        <f t="shared" si="445"/>
        <v/>
      </c>
      <c r="AH52" s="60"/>
      <c r="AI52" s="48" t="str">
        <f t="shared" si="446"/>
        <v>---</v>
      </c>
      <c r="AJ52" s="49" t="str">
        <f t="shared" si="447"/>
        <v>---</v>
      </c>
      <c r="AK52" s="50" t="str">
        <f>IFERROR(__xludf.DUMMYFUNCTION("IFS((AND(AD52=TRUE, AE52=""Yes"")), (IFS(ISBLANK(AG52), AC52, AG52=""Novice 1"", CEILING((AC52*1.05), $H52), AG52=""Novice 2"", CEILING((AC52*1.025), $H52), AG52=""Novice 3"", AC52+$H52, AG52=""Intermediate 2"", (IF((ISBETWEEN(((((V52-U52)/2))+AB52), U52,"&amp;" V52)), AC52, AC52+$H52)), AG52=""Intermediate 1"", (IF((ISBETWEEN((AB52-((V52-U52)/2)), U52, V52)), AC52+$H52, (FLOOR((AC52*0.9875), $H52)))), AG52=""Advanced 2"", (IF(AND(((AA52+((T52-S52)/2))&gt;T52), ((AB52+((V52-U52)/2))&gt;V52)), AC52+$H52, (AC52))), AG52"&amp;"=""Advanced 1"", (IFS(AJ52&lt;AB52, AC52+$H52, AJ52=AB52, (AC52), AJ52&gt;AB52, (FLOOR((AC52*0.9875), $H52)))))), (AND(V52=TRUE, W52=""No"", AD52=TRUE, AE52=""No"")), (FLOOR((AC52*0.9), $H52)), (NOT((AND(AD52=TRUE, AE52=""Yes"")))), AC52)"),"---")</f>
        <v>---</v>
      </c>
      <c r="AL52" s="51" t="b">
        <v>0</v>
      </c>
      <c r="AM52" s="52"/>
      <c r="AN52" s="52"/>
      <c r="AO52" s="52" t="str">
        <f t="shared" si="448"/>
        <v/>
      </c>
      <c r="AP52" s="69"/>
      <c r="AQ52" s="53" t="str">
        <f t="shared" ref="AQ52:AR52" si="501">IFERROR(AI52/2,AI52)</f>
        <v>---</v>
      </c>
      <c r="AR52" s="53" t="str">
        <f t="shared" si="501"/>
        <v>---</v>
      </c>
      <c r="AS52" s="53" t="str">
        <f t="shared" si="450"/>
        <v>---</v>
      </c>
      <c r="AT52" s="67"/>
      <c r="AU52" s="60"/>
      <c r="AV52" s="39" t="str">
        <f t="shared" si="451"/>
        <v>---</v>
      </c>
      <c r="AW52" s="46" t="str">
        <f t="shared" si="452"/>
        <v>---</v>
      </c>
      <c r="AX52" s="40" t="str">
        <f>IFERROR(__xludf.DUMMYFUNCTION("IFS((AND(AL52=TRUE, AM52=""Yes"")), (IFS(ISBLANK(AO52), AK52, AO52=""Novice 1"", CEILING((AK52*1.05), $H52), AO52=""Novice 2"", CEILING((AK52*1.025), $H52), AO52=""Novice 3"", AK52+$H52, AO52=""Intermediate 2"", (IF((ISBETWEEN(((((AD52-AC52)/2))+AJ52), AC"&amp;"52, AD52)), AK52, AK52+$H52)), AO52=""Intermediate 1"", (IF((ISBETWEEN((AJ52-((AD52-AC52)/2)), AC52, AD52)), AK52+$H52, (FLOOR((AK52*0.9875), $H52)))), AO52=""Advanced 2"", (IF(AND(((AI52+((AB52-AA52)/2))&gt;AB52), ((AJ52+((AD52-AC52)/2))&gt;AD52)), AK52+$H52, "&amp;"(AK52))), AO52=""Advanced 1"", (IFS(AW52&lt;AJ52, AK52+$H52, AW52=AJ52, (AK52), AW52&gt;AJ52, (FLOOR((AK52*0.9875), $H52)))))), (AND(AD52=TRUE, AE52=""No"", AL52=TRUE, AM52=""No"")), (FLOOR((AK52*0.9), $H52)), (NOT((AND(AL52=TRUE, AM52=""Yes"")))), AK52)"),"---")</f>
        <v>---</v>
      </c>
      <c r="AY52" s="41" t="b">
        <v>0</v>
      </c>
      <c r="AZ52" s="47"/>
      <c r="BA52" s="47"/>
      <c r="BB52" s="47" t="str">
        <f t="shared" si="453"/>
        <v/>
      </c>
      <c r="BC52" s="60"/>
      <c r="BD52" s="39" t="str">
        <f t="shared" si="454"/>
        <v>---</v>
      </c>
      <c r="BE52" s="46" t="str">
        <f t="shared" si="455"/>
        <v>---</v>
      </c>
      <c r="BF52" s="40" t="str">
        <f>IFERROR(__xludf.DUMMYFUNCTION("IFS((AND(AY52=TRUE, AZ52=""Yes"")), (IFS(ISBLANK(BB52), AX52, BB52=""Novice 1"", CEILING((AX52*1.05), $H52), BB52=""Novice 2"", CEILING((AX52*1.025), $H52), BB52=""Novice 3"", AX52+$H52, BB52=""Intermediate 2"", (IF((ISBETWEEN(((((AL52-AK52)/2))+AW52), AK"&amp;"52, AL52)), AX52, AX52+$H52)), BB52=""Intermediate 1"", (IF((ISBETWEEN((AW52-((AL52-AK52)/2)), AK52, AL52)), AX52+$H52, (FLOOR((AX52*0.9875), $H52)))), BB52=""Advanced 2"", (IF(AND(((AV52+((AJ52-AI52)/2))&gt;AJ52), ((AW52+((AL52-AK52)/2))&gt;AL52)), AX52+$H52, "&amp;"(AX52))), BB52=""Advanced 1"", (IFS(BE52&lt;AW52, AX52+$H52, BE52=AW52, (AX52), BE52&gt;AW52, (FLOOR((AX52*0.9875), $H52)))))), (AND(AL52=TRUE, AM52=""No"", AY52=TRUE, AZ52=""No"")), (FLOOR((AX52*0.9), $H52)), (NOT((AND(AY52=TRUE, AZ52=""Yes"")))), AX52)"),"---")</f>
        <v>---</v>
      </c>
      <c r="BG52" s="41" t="b">
        <v>0</v>
      </c>
      <c r="BH52" s="47"/>
      <c r="BI52" s="47"/>
      <c r="BJ52" s="47" t="str">
        <f t="shared" si="456"/>
        <v/>
      </c>
      <c r="BK52" s="60"/>
      <c r="BL52" s="39" t="str">
        <f t="shared" si="457"/>
        <v>---</v>
      </c>
      <c r="BM52" s="46" t="str">
        <f t="shared" si="458"/>
        <v>---</v>
      </c>
      <c r="BN52" s="40" t="str">
        <f>IFERROR(__xludf.DUMMYFUNCTION("IFS((AND(BG52=TRUE, BH52=""Yes"")), (IFS(ISBLANK(BJ52), BF52, BJ52=""Novice 1"", CEILING((BF52*1.05), $H52), BJ52=""Novice 2"", CEILING((BF52*1.025), $H52), BJ52=""Novice 3"", BF52+$H52, BJ52=""Intermediate 2"", (IF((ISBETWEEN(((((AY52-AX52)/2))+BE52), AX"&amp;"52, AY52)), BF52, BF52+$H52)), BJ52=""Intermediate 1"", (IF((ISBETWEEN((BE52-((AY52-AX52)/2)), AX52, AY52)), BF52+$H52, (FLOOR((BF52*0.9875), $H52)))), BJ52=""Advanced 2"", (IF(AND(((BD52+((AW52-AV52)/2))&gt;AW52), ((BE52+((AY52-AX52)/2))&gt;AY52)), BF52+$H52, "&amp;"(BF52))), BJ52=""Advanced 1"", (IFS(BM52&lt;BE52, BF52+$H52, BM52=BE52, (BF52), BM52&gt;BE52, (FLOOR((BF52*0.9875), $H52)))))), (AND(AY52=TRUE, AZ52=""No"", BG52=TRUE, BH52=""No"")), (FLOOR((BF52*0.9), $H52)), (NOT((AND(BG52=TRUE, BH52=""Yes"")))), BF52)"),"---")</f>
        <v>---</v>
      </c>
      <c r="BO52" s="41" t="b">
        <v>0</v>
      </c>
      <c r="BP52" s="47"/>
      <c r="BQ52" s="47"/>
      <c r="BR52" s="47" t="str">
        <f t="shared" si="459"/>
        <v/>
      </c>
      <c r="BS52" s="60"/>
      <c r="BT52" s="48" t="str">
        <f t="shared" si="460"/>
        <v>---</v>
      </c>
      <c r="BU52" s="49" t="str">
        <f t="shared" si="461"/>
        <v>---</v>
      </c>
      <c r="BV52" s="50" t="str">
        <f>IFERROR(__xludf.DUMMYFUNCTION("IFS((AND(BO52=TRUE, BP52=""Yes"")), (IFS(ISBLANK(BR52), BN52, BR52=""Novice 1"", CEILING((BN52*1.05), $H52), BR52=""Novice 2"", CEILING((BN52*1.025), $H52), BR52=""Novice 3"", BN52+$H52, BR52=""Intermediate 2"", (IF((ISBETWEEN(((((BG52-BF52)/2))+BM52), BF"&amp;"52, BG52)), BN52, BN52+$H52)), BR52=""Intermediate 1"", (IF((ISBETWEEN((BM52-((BG52-BF52)/2)), BF52, BG52)), BN52+$H52, (FLOOR((BN52*0.9875), $H52)))), BR52=""Advanced 2"", (IF(AND(((BL52+((BE52-BD52)/2))&gt;BE52), ((BM52+((BG52-BF52)/2))&gt;BG52)), BN52+$H52, "&amp;"(BN52))), BR52=""Advanced 1"", (IFS(BU52&lt;BM52, BN52+$H52, BU52=BM52, (BN52), BU52&gt;BM52, (FLOOR((BN52*0.9875), $H52)))))), (AND(BG52=TRUE, BH52=""No"", BO52=TRUE, BP52=""No"")), (FLOOR((BN52*0.9), $H52)), (NOT((AND(BO52=TRUE, BP52=""Yes"")))), BN52)"),"---")</f>
        <v>---</v>
      </c>
      <c r="BW52" s="51" t="b">
        <v>0</v>
      </c>
      <c r="BX52" s="52"/>
      <c r="BY52" s="52"/>
      <c r="BZ52" s="52" t="str">
        <f t="shared" si="462"/>
        <v/>
      </c>
      <c r="CA52" s="69"/>
      <c r="CB52" s="53" t="str">
        <f t="shared" ref="CB52:CC52" si="502">IFERROR(BT52/2,BT52)</f>
        <v>---</v>
      </c>
      <c r="CC52" s="53" t="str">
        <f t="shared" si="502"/>
        <v>---</v>
      </c>
      <c r="CD52" s="53" t="str">
        <f t="shared" si="464"/>
        <v>---</v>
      </c>
      <c r="CE52" s="67"/>
      <c r="CF52" s="60"/>
      <c r="CG52" s="39" t="str">
        <f t="shared" si="465"/>
        <v>---</v>
      </c>
      <c r="CH52" s="46" t="str">
        <f t="shared" si="466"/>
        <v>---</v>
      </c>
      <c r="CI52" s="40" t="str">
        <f>IFERROR(__xludf.DUMMYFUNCTION("IFS((AND(BW52=TRUE, BX52=""Yes"")), (IFS(ISBLANK(BZ52), BV52, BZ52=""Novice 1"", CEILING((BV52*1.05), $H52), BZ52=""Novice 2"", CEILING((BV52*1.025), $H52), BZ52=""Novice 3"", BV52+$H52, BZ52=""Intermediate 2"", (IF((ISBETWEEN(((((BO52-BN52)/2))+BU52), BN"&amp;"52, BO52)), BV52, BV52+$H52)), BZ52=""Intermediate 1"", (IF((ISBETWEEN((BU52-((BO52-BN52)/2)), BN52, BO52)), BV52+$H52, (FLOOR((BV52*0.9875), $H52)))), BZ52=""Advanced 2"", (IF(AND(((BT52+((BM52-BL52)/2))&gt;BM52), ((BU52+((BO52-BN52)/2))&gt;BO52)), BV52+$H52, "&amp;"(BV52))), BZ52=""Advanced 1"", (IFS(CH52&lt;BU52, BV52+$H52, CH52=BU52, (BV52), CH52&gt;BU52, (FLOOR((BV52*0.9875), $H52)))))), (AND(BO52=TRUE, BP52=""No"", BW52=TRUE, BX52=""No"")), (FLOOR((BV52*0.9), $H52)), (NOT((AND(BW52=TRUE, BX52=""Yes"")))), BV52)"),"---")</f>
        <v>---</v>
      </c>
      <c r="CJ52" s="41" t="b">
        <v>0</v>
      </c>
      <c r="CK52" s="47"/>
      <c r="CL52" s="47"/>
      <c r="CM52" s="47" t="str">
        <f t="shared" si="467"/>
        <v/>
      </c>
      <c r="CN52" s="60"/>
      <c r="CO52" s="39" t="str">
        <f t="shared" si="468"/>
        <v>---</v>
      </c>
      <c r="CP52" s="46" t="str">
        <f t="shared" si="469"/>
        <v>---</v>
      </c>
      <c r="CQ52" s="40" t="str">
        <f>IFERROR(__xludf.DUMMYFUNCTION("IFS((AND(CJ52=TRUE, CK52=""Yes"")), (IFS(ISBLANK(CM52), CI52, CM52=""Novice 1"", CEILING((CI52*1.05), $H52), CM52=""Novice 2"", CEILING((CI52*1.025), $H52), CM52=""Novice 3"", CI52+$H52, CM52=""Intermediate 2"", (IF((ISBETWEEN(((((BW52-BV52)/2))+CH52), BV"&amp;"52, BW52)), CI52, CI52+$H52)), CM52=""Intermediate 1"", (IF((ISBETWEEN((CH52-((BW52-BV52)/2)), BV52, BW52)), CI52+$H52, (FLOOR((CI52*0.9875), $H52)))), CM52=""Advanced 2"", (IF(AND(((CG52+((BU52-BT52)/2))&gt;BU52), ((CH52+((BW52-BV52)/2))&gt;BW52)), CI52+$H52, "&amp;"(CI52))), CM52=""Advanced 1"", (IFS(CP52&lt;CH52, CI52+$H52, CP52=CH52, (CI52), CP52&gt;CH52, (FLOOR((CI52*0.9875), $H52)))))), (AND(BW52=TRUE, BX52=""No"", CJ52=TRUE, CK52=""No"")), (FLOOR((CI52*0.9), $H52)), (NOT((AND(CJ52=TRUE, CK52=""Yes"")))), CI52)"),"---")</f>
        <v>---</v>
      </c>
      <c r="CR52" s="41" t="b">
        <v>0</v>
      </c>
      <c r="CS52" s="47"/>
      <c r="CT52" s="47"/>
      <c r="CU52" s="47" t="str">
        <f t="shared" si="470"/>
        <v/>
      </c>
      <c r="CV52" s="60"/>
      <c r="CW52" s="39" t="str">
        <f t="shared" si="471"/>
        <v>---</v>
      </c>
      <c r="CX52" s="46" t="str">
        <f t="shared" si="472"/>
        <v>---</v>
      </c>
      <c r="CY52" s="40" t="str">
        <f>IFERROR(__xludf.DUMMYFUNCTION("IFS((AND(CR52=TRUE, CS52=""Yes"")), (IFS(ISBLANK(CU52), CQ52, CU52=""Novice 1"", CEILING((CQ52*1.05), $H52), CU52=""Novice 2"", CEILING((CQ52*1.025), $H52), CU52=""Novice 3"", CQ52+$H52, CU52=""Intermediate 2"", (IF((ISBETWEEN(((((CJ52-CI52)/2))+CP52), CI"&amp;"52, CJ52)), CQ52, CQ52+$H52)), CU52=""Intermediate 1"", (IF((ISBETWEEN((CP52-((CJ52-CI52)/2)), CI52, CJ52)), CQ52+$H52, (FLOOR((CQ52*0.9875), $H52)))), CU52=""Advanced 2"", (IF(AND(((CO52+((CH52-CG52)/2))&gt;CH52), ((CP52+((CJ52-CI52)/2))&gt;CJ52)), CQ52+$H52, "&amp;"(CQ52))), CU52=""Advanced 1"", (IFS(CX52&lt;CP52, CQ52+$H52, CX52=CP52, (CQ52), CX52&gt;CP52, (FLOOR((CQ52*0.9875), $H52)))))), (AND(CJ52=TRUE, CK52=""No"", CR52=TRUE, CS52=""No"")), (FLOOR((CQ52*0.9), $H52)), (NOT((AND(CR52=TRUE, CS52=""Yes"")))), CQ52)"),"---")</f>
        <v>---</v>
      </c>
      <c r="CZ52" s="41" t="b">
        <v>0</v>
      </c>
      <c r="DA52" s="47"/>
      <c r="DB52" s="47"/>
      <c r="DC52" s="47" t="str">
        <f t="shared" si="473"/>
        <v/>
      </c>
      <c r="DD52" s="60"/>
      <c r="DE52" s="48" t="str">
        <f t="shared" si="474"/>
        <v>---</v>
      </c>
      <c r="DF52" s="49" t="str">
        <f t="shared" si="475"/>
        <v>---</v>
      </c>
      <c r="DG52" s="50" t="str">
        <f>IFERROR(__xludf.DUMMYFUNCTION("IFS((AND(CZ52=TRUE, DA52=""Yes"")), (IFS(ISBLANK(DC52), CY52, DC52=""Novice 1"", CEILING((CY52*1.05), $H52), DC52=""Novice 2"", CEILING((CY52*1.025), $H52), DC52=""Novice 3"", CY52+$H52, DC52=""Intermediate 2"", (IF((ISBETWEEN(((((CR52-CQ52)/2))+CX52), CQ"&amp;"52, CR52)), CY52, CY52+$H52)), DC52=""Intermediate 1"", (IF((ISBETWEEN((CX52-((CR52-CQ52)/2)), CQ52, CR52)), CY52+$H52, (FLOOR((CY52*0.9875), $H52)))), DC52=""Advanced 2"", (IF(AND(((CW52+((CP52-CO52)/2))&gt;CP52), ((CX52+((CR52-CQ52)/2))&gt;CR52)), CY52+$H52, "&amp;"(CY52))), DC52=""Advanced 1"", (IFS(DF52&lt;CX52, CY52+$H52, DF52=CX52, (CY52), DF52&gt;CX52, (FLOOR((CY52*0.9875), $H52)))))), (AND(CR52=TRUE, CS52=""No"", CZ52=TRUE, DA52=""No"")), (FLOOR((CY52*0.9), $H52)), (NOT((AND(CZ52=TRUE, DA52=""Yes"")))), CY52)"),"---")</f>
        <v>---</v>
      </c>
      <c r="DH52" s="51" t="b">
        <v>0</v>
      </c>
      <c r="DI52" s="52"/>
      <c r="DJ52" s="52"/>
      <c r="DK52" s="52" t="str">
        <f t="shared" si="476"/>
        <v/>
      </c>
      <c r="DL52" s="69"/>
      <c r="DM52" s="53" t="str">
        <f t="shared" ref="DM52:DN52" si="503">IFERROR(DE52/2,DE52)</f>
        <v>---</v>
      </c>
      <c r="DN52" s="53" t="str">
        <f t="shared" si="503"/>
        <v>---</v>
      </c>
      <c r="DO52" s="53" t="str">
        <f t="shared" si="478"/>
        <v>---</v>
      </c>
      <c r="DP52" s="67"/>
      <c r="DQ52" s="60"/>
      <c r="DR52" s="39" t="str">
        <f t="shared" si="479"/>
        <v>---</v>
      </c>
      <c r="DS52" s="46" t="str">
        <f t="shared" si="480"/>
        <v>---</v>
      </c>
      <c r="DT52" s="40" t="str">
        <f>IFERROR(__xludf.DUMMYFUNCTION("IFS((AND(DH52=TRUE, DI52=""Yes"")), (IFS(ISBLANK(DK52), DG52, DK52=""Novice 1"", CEILING((DG52*1.05), $H52), DK52=""Novice 2"", CEILING((DG52*1.025), $H52), DK52=""Novice 3"", DG52+$H52, DK52=""Intermediate 2"", (IF((ISBETWEEN(((((CZ52-CY52)/2))+DF52), CY"&amp;"52, CZ52)), DG52, DG52+$H52)), DK52=""Intermediate 1"", (IF((ISBETWEEN((DF52-((CZ52-CY52)/2)), CY52, CZ52)), DG52+$H52, (FLOOR((DG52*0.9875), $H52)))), DK52=""Advanced 2"", (IF(AND(((DE52+((CX52-CW52)/2))&gt;CX52), ((DF52+((CZ52-CY52)/2))&gt;CZ52)), DG52+$H52, "&amp;"(DG52))), DK52=""Advanced 1"", (IFS(DS52&lt;DF52, DG52+$H52, DS52=DF52, (DG52), DS52&gt;DF52, (FLOOR((DG52*0.9875), $H52)))))), (AND(CZ52=TRUE, DA52=""No"", DH52=TRUE, DI52=""No"")), (FLOOR((DG52*0.9), $H52)), (NOT((AND(DH52=TRUE, DI52=""Yes"")))), DG52)"),"---")</f>
        <v>---</v>
      </c>
      <c r="DU52" s="41" t="b">
        <v>0</v>
      </c>
      <c r="DV52" s="47"/>
      <c r="DW52" s="47"/>
      <c r="DX52" s="47" t="str">
        <f t="shared" si="481"/>
        <v/>
      </c>
      <c r="DY52" s="60"/>
      <c r="DZ52" s="39" t="str">
        <f t="shared" si="482"/>
        <v>---</v>
      </c>
      <c r="EA52" s="46" t="str">
        <f t="shared" si="483"/>
        <v>---</v>
      </c>
      <c r="EB52" s="40" t="str">
        <f>IFERROR(__xludf.DUMMYFUNCTION("IFS((AND(DU52=TRUE, DV52=""Yes"")), (IFS(ISBLANK(DX52), DT52, DX52=""Novice 1"", CEILING((DT52*1.05), $H52), DX52=""Novice 2"", CEILING((DT52*1.025), $H52), DX52=""Novice 3"", DT52+$H52, DX52=""Intermediate 2"", (IF((ISBETWEEN(((((DH52-DG52)/2))+DS52), DG"&amp;"52, DH52)), DT52, DT52+$H52)), DX52=""Intermediate 1"", (IF((ISBETWEEN((DS52-((DH52-DG52)/2)), DG52, DH52)), DT52+$H52, (FLOOR((DT52*0.9875), $H52)))), DX52=""Advanced 2"", (IF(AND(((DR52+((DF52-DE52)/2))&gt;DF52), ((DS52+((DH52-DG52)/2))&gt;DH52)), DT52+$H52, "&amp;"(DT52))), DX52=""Advanced 1"", (IFS(EA52&lt;DS52, DT52+$H52, EA52=DS52, (DT52), EA52&gt;DS52, (FLOOR((DT52*0.9875), $H52)))))), (AND(DH52=TRUE, DI52=""No"", DU52=TRUE, DV52=""No"")), (FLOOR((DT52*0.9), $H52)), (NOT((AND(DU52=TRUE, DV52=""Yes"")))), DT52)"),"---")</f>
        <v>---</v>
      </c>
      <c r="EC52" s="41" t="b">
        <v>0</v>
      </c>
      <c r="ED52" s="47"/>
      <c r="EE52" s="47"/>
      <c r="EF52" s="47" t="str">
        <f t="shared" si="484"/>
        <v/>
      </c>
      <c r="EG52" s="60"/>
      <c r="EH52" s="39" t="str">
        <f t="shared" si="485"/>
        <v>---</v>
      </c>
      <c r="EI52" s="46" t="str">
        <f t="shared" si="486"/>
        <v>---</v>
      </c>
      <c r="EJ52" s="40" t="str">
        <f>IFERROR(__xludf.DUMMYFUNCTION("IFS((AND(EC52=TRUE, ED52=""Yes"")), (IFS(ISBLANK(EF52), EB52, EF52=""Novice 1"", CEILING((EB52*1.05), $H52), EF52=""Novice 2"", CEILING((EB52*1.025), $H52), EF52=""Novice 3"", EB52+$H52, EF52=""Intermediate 2"", (IF((ISBETWEEN(((((DU52-DT52)/2))+EA52), DT"&amp;"52, DU52)), EB52, EB52+$H52)), EF52=""Intermediate 1"", (IF((ISBETWEEN((EA52-((DU52-DT52)/2)), DT52, DU52)), EB52+$H52, (FLOOR((EB52*0.9875), $H52)))), EF52=""Advanced 2"", (IF(AND(((DZ52+((DS52-DR52)/2))&gt;DS52), ((EA52+((DU52-DT52)/2))&gt;DU52)), EB52+$H52, "&amp;"(EB52))), EF52=""Advanced 1"", (IFS(EI52&lt;EA52, EB52+$H52, EI52=EA52, (EB52), EI52&gt;EA52, (FLOOR((EB52*0.9875), $H52)))))), (AND(DU52=TRUE, DV52=""No"", EC52=TRUE, ED52=""No"")), (FLOOR((EB52*0.9), $H52)), (NOT((AND(EC52=TRUE, ED52=""Yes"")))), EB52)"),"---")</f>
        <v>---</v>
      </c>
      <c r="EK52" s="41" t="b">
        <v>0</v>
      </c>
      <c r="EL52" s="47"/>
      <c r="EM52" s="47"/>
      <c r="EN52" s="47" t="str">
        <f t="shared" si="487"/>
        <v/>
      </c>
      <c r="EO52" s="60"/>
      <c r="EP52" s="48" t="str">
        <f t="shared" si="488"/>
        <v>---</v>
      </c>
      <c r="EQ52" s="49" t="str">
        <f t="shared" si="489"/>
        <v>---</v>
      </c>
      <c r="ER52" s="50" t="str">
        <f>IFERROR(__xludf.DUMMYFUNCTION("IFS((AND(EK52=TRUE, EL52=""Yes"")), (IFS(ISBLANK(EN52), EJ52, EN52=""Novice 1"", CEILING((EJ52*1.05), $H52), EN52=""Novice 2"", CEILING((EJ52*1.025), $H52), EN52=""Novice 3"", EJ52+$H52, EN52=""Intermediate 2"", (IF((ISBETWEEN(((((EC52-EB52)/2))+EI52), EB"&amp;"52, EC52)), EJ52, EJ52+$H52)), EN52=""Intermediate 1"", (IF((ISBETWEEN((EI52-((EC52-EB52)/2)), EB52, EC52)), EJ52+$H52, (FLOOR((EJ52*0.9875), $H52)))), EN52=""Advanced 2"", (IF(AND(((EH52+((EA52-DZ52)/2))&gt;EA52), ((EI52+((EC52-EB52)/2))&gt;EC52)), EJ52+$H52, "&amp;"(EJ52))), EN52=""Advanced 1"", (IFS(EQ52&lt;EI52, EJ52+$H52, EQ52=EI52, (EJ52), EQ52&gt;EI52, (FLOOR((EJ52*0.9875), $H52)))))), (AND(EC52=TRUE, ED52=""No"", EK52=TRUE, EL52=""No"")), (FLOOR((EJ52*0.9), $H52)), (NOT((AND(EK52=TRUE, EL52=""Yes"")))), EJ52)"),"---")</f>
        <v>---</v>
      </c>
      <c r="ES52" s="51" t="b">
        <v>0</v>
      </c>
      <c r="ET52" s="52"/>
      <c r="EU52" s="52"/>
      <c r="EV52" s="52" t="str">
        <f t="shared" si="490"/>
        <v/>
      </c>
      <c r="EW52" s="69"/>
      <c r="EX52" s="53" t="str">
        <f t="shared" ref="EX52:EY52" si="504">IFERROR(EP52/2,EP52)</f>
        <v>---</v>
      </c>
      <c r="EY52" s="53" t="str">
        <f t="shared" si="504"/>
        <v>---</v>
      </c>
      <c r="EZ52" s="53" t="str">
        <f t="shared" si="492"/>
        <v>---</v>
      </c>
      <c r="FA52" s="67"/>
      <c r="FB52" s="86"/>
      <c r="FC52" s="57"/>
    </row>
    <row r="53" outlineLevel="1">
      <c r="A53" s="32" t="s">
        <v>50</v>
      </c>
      <c r="B53" s="14"/>
      <c r="C53" s="82" t="s">
        <v>53</v>
      </c>
      <c r="D53" s="83" t="s">
        <v>53</v>
      </c>
      <c r="E53" s="82" t="s">
        <v>53</v>
      </c>
      <c r="F53" s="83" t="s">
        <v>53</v>
      </c>
      <c r="G53" s="83" t="s">
        <v>53</v>
      </c>
      <c r="H53" s="84"/>
      <c r="I53" s="85"/>
      <c r="J53" s="70"/>
      <c r="K53" s="39" t="str">
        <f t="shared" si="436"/>
        <v>---</v>
      </c>
      <c r="L53" s="40" t="str">
        <f t="shared" si="437"/>
        <v>---</v>
      </c>
      <c r="M53" s="40" t="str">
        <f t="shared" si="438"/>
        <v>---</v>
      </c>
      <c r="N53" s="41" t="b">
        <v>0</v>
      </c>
      <c r="O53" s="42"/>
      <c r="P53" s="43"/>
      <c r="Q53" s="42" t="str">
        <f t="shared" si="439"/>
        <v/>
      </c>
      <c r="R53" s="71"/>
      <c r="S53" s="39" t="str">
        <f t="shared" si="440"/>
        <v>---</v>
      </c>
      <c r="T53" s="46" t="str">
        <f t="shared" si="441"/>
        <v>---</v>
      </c>
      <c r="U53" s="40" t="str">
        <f>IFERROR(__xludf.DUMMYFUNCTION("IFS((AND(N53=TRUE, O53=""Yes"")), (IFS(ISBLANK(Q53), M53, Q53=""Novice 1"", CEILING((M53*1.05), $H53), Q53=""Novice 2"", CEILING((M53*1.025), $H53), Q53=""Novice 3"", M53+$H53, Q53=""Intermediate 2"", (IF((ISBETWEEN(((((F53-E53)/2))+L53), E53, F53)), M53,"&amp;" M53+$H53)), Q53=""Intermediate 1"", (IF((ISBETWEEN((L53-((F53-E53)/2)), E53, F53)), M53+$H53, (FLOOR((M53*0.9875), $H53)))), Q53=""Advanced 2"", (IF(AND(((K53+((D53-C53)/2))&gt;D53), ((L53+((F53-E53)/2))&gt;F53)), M53+$H53, (M53))), Q53=""Advanced 1"", (IFS(T5"&amp;"3&lt;L53, M53+$H53, T53=L53, (M53), T53&gt;L53, (FLOOR((M53*0.9875), $H53)))))), (AND(F53=TRUE, G53=""No"", N53=TRUE, O53=""No"")), (FLOOR((M53*0.9), $H53)), (NOT((AND(N53=TRUE, O53=""Yes"")))), M53)"),"---")</f>
        <v>---</v>
      </c>
      <c r="V53" s="41" t="b">
        <v>0</v>
      </c>
      <c r="W53" s="47"/>
      <c r="X53" s="47"/>
      <c r="Y53" s="47" t="str">
        <f t="shared" si="442"/>
        <v/>
      </c>
      <c r="Z53" s="71"/>
      <c r="AA53" s="39" t="str">
        <f t="shared" si="443"/>
        <v>---</v>
      </c>
      <c r="AB53" s="46" t="str">
        <f t="shared" si="444"/>
        <v>---</v>
      </c>
      <c r="AC53" s="40" t="str">
        <f>IFERROR(__xludf.DUMMYFUNCTION("IFS((AND(V53=TRUE, W53=""Yes"")), (IFS(ISBLANK(Y53), U53, Y53=""Novice 1"", CEILING((U53*1.05), $H53), Y53=""Novice 2"", CEILING((U53*1.025), $H53), Y53=""Novice 3"", U53+$H53, Y53=""Intermediate 2"", (IF((ISBETWEEN(((((N53-M53)/2))+T53), M53, N53)), U53,"&amp;" U53+$H53)), Y53=""Intermediate 1"", (IF((ISBETWEEN((T53-((N53-M53)/2)), M53, N53)), U53+$H53, (FLOOR((U53*0.9875), $H53)))), Y53=""Advanced 2"", (IF(AND(((S53+((L53-K53)/2))&gt;L53), ((T53+((N53-M53)/2))&gt;N53)), U53+$H53, (U53))), Y53=""Advanced 1"", (IFS(AB"&amp;"53&lt;T53, U53+$H53, AB53=T53, (U53), AB53&gt;T53, (FLOOR((U53*0.9875), $H53)))))), (AND(N53=TRUE, O53=""No"", V53=TRUE, W53=""No"")), (FLOOR((U53*0.9), $H53)), (NOT((AND(V53=TRUE, W53=""Yes"")))), U53)"),"---")</f>
        <v>---</v>
      </c>
      <c r="AD53" s="41" t="b">
        <v>0</v>
      </c>
      <c r="AE53" s="47"/>
      <c r="AF53" s="47"/>
      <c r="AG53" s="47" t="str">
        <f t="shared" si="445"/>
        <v/>
      </c>
      <c r="AH53" s="71"/>
      <c r="AI53" s="61" t="str">
        <f t="shared" si="446"/>
        <v>---</v>
      </c>
      <c r="AJ53" s="62" t="str">
        <f t="shared" si="447"/>
        <v>---</v>
      </c>
      <c r="AK53" s="63" t="str">
        <f>IFERROR(__xludf.DUMMYFUNCTION("IFS((AND(AD53=TRUE, AE53=""Yes"")), (IFS(ISBLANK(AG53), AC53, AG53=""Novice 1"", CEILING((AC53*1.05), $H53), AG53=""Novice 2"", CEILING((AC53*1.025), $H53), AG53=""Novice 3"", AC53+$H53, AG53=""Intermediate 2"", (IF((ISBETWEEN(((((V53-U53)/2))+AB53), U53,"&amp;" V53)), AC53, AC53+$H53)), AG53=""Intermediate 1"", (IF((ISBETWEEN((AB53-((V53-U53)/2)), U53, V53)), AC53+$H53, (FLOOR((AC53*0.9875), $H53)))), AG53=""Advanced 2"", (IF(AND(((AA53+((T53-S53)/2))&gt;T53), ((AB53+((V53-U53)/2))&gt;V53)), AC53+$H53, (AC53))), AG53"&amp;"=""Advanced 1"", (IFS(AJ53&lt;AB53, AC53+$H53, AJ53=AB53, (AC53), AJ53&gt;AB53, (FLOOR((AC53*0.9875), $H53)))))), (AND(V53=TRUE, W53=""No"", AD53=TRUE, AE53=""No"")), (FLOOR((AC53*0.9), $H53)), (NOT((AND(AD53=TRUE, AE53=""Yes"")))), AC53)"),"---")</f>
        <v>---</v>
      </c>
      <c r="AL53" s="64" t="b">
        <v>0</v>
      </c>
      <c r="AM53" s="65"/>
      <c r="AN53" s="65"/>
      <c r="AO53" s="65" t="str">
        <f t="shared" si="448"/>
        <v/>
      </c>
      <c r="AP53" s="72"/>
      <c r="AQ53" s="53" t="str">
        <f t="shared" ref="AQ53:AR53" si="505">IFERROR(AI53/2,AI53)</f>
        <v>---</v>
      </c>
      <c r="AR53" s="53" t="str">
        <f t="shared" si="505"/>
        <v>---</v>
      </c>
      <c r="AS53" s="53" t="str">
        <f t="shared" si="450"/>
        <v>---</v>
      </c>
      <c r="AT53" s="67"/>
      <c r="AU53" s="71"/>
      <c r="AV53" s="39" t="str">
        <f t="shared" si="451"/>
        <v>---</v>
      </c>
      <c r="AW53" s="46" t="str">
        <f t="shared" si="452"/>
        <v>---</v>
      </c>
      <c r="AX53" s="40" t="str">
        <f>IFERROR(__xludf.DUMMYFUNCTION("IFS((AND(AL53=TRUE, AM53=""Yes"")), (IFS(ISBLANK(AO53), AK53, AO53=""Novice 1"", CEILING((AK53*1.05), $H53), AO53=""Novice 2"", CEILING((AK53*1.025), $H53), AO53=""Novice 3"", AK53+$H53, AO53=""Intermediate 2"", (IF((ISBETWEEN(((((AD53-AC53)/2))+AJ53), AC"&amp;"53, AD53)), AK53, AK53+$H53)), AO53=""Intermediate 1"", (IF((ISBETWEEN((AJ53-((AD53-AC53)/2)), AC53, AD53)), AK53+$H53, (FLOOR((AK53*0.9875), $H53)))), AO53=""Advanced 2"", (IF(AND(((AI53+((AB53-AA53)/2))&gt;AB53), ((AJ53+((AD53-AC53)/2))&gt;AD53)), AK53+$H53, "&amp;"(AK53))), AO53=""Advanced 1"", (IFS(AW53&lt;AJ53, AK53+$H53, AW53=AJ53, (AK53), AW53&gt;AJ53, (FLOOR((AK53*0.9875), $H53)))))), (AND(AD53=TRUE, AE53=""No"", AL53=TRUE, AM53=""No"")), (FLOOR((AK53*0.9), $H53)), (NOT((AND(AL53=TRUE, AM53=""Yes"")))), AK53)"),"---")</f>
        <v>---</v>
      </c>
      <c r="AY53" s="41" t="b">
        <v>0</v>
      </c>
      <c r="AZ53" s="47"/>
      <c r="BA53" s="47"/>
      <c r="BB53" s="47" t="str">
        <f t="shared" si="453"/>
        <v/>
      </c>
      <c r="BC53" s="71"/>
      <c r="BD53" s="39" t="str">
        <f t="shared" si="454"/>
        <v>---</v>
      </c>
      <c r="BE53" s="46" t="str">
        <f t="shared" si="455"/>
        <v>---</v>
      </c>
      <c r="BF53" s="40" t="str">
        <f>IFERROR(__xludf.DUMMYFUNCTION("IFS((AND(AY53=TRUE, AZ53=""Yes"")), (IFS(ISBLANK(BB53), AX53, BB53=""Novice 1"", CEILING((AX53*1.05), $H53), BB53=""Novice 2"", CEILING((AX53*1.025), $H53), BB53=""Novice 3"", AX53+$H53, BB53=""Intermediate 2"", (IF((ISBETWEEN(((((AL53-AK53)/2))+AW53), AK"&amp;"53, AL53)), AX53, AX53+$H53)), BB53=""Intermediate 1"", (IF((ISBETWEEN((AW53-((AL53-AK53)/2)), AK53, AL53)), AX53+$H53, (FLOOR((AX53*0.9875), $H53)))), BB53=""Advanced 2"", (IF(AND(((AV53+((AJ53-AI53)/2))&gt;AJ53), ((AW53+((AL53-AK53)/2))&gt;AL53)), AX53+$H53, "&amp;"(AX53))), BB53=""Advanced 1"", (IFS(BE53&lt;AW53, AX53+$H53, BE53=AW53, (AX53), BE53&gt;AW53, (FLOOR((AX53*0.9875), $H53)))))), (AND(AL53=TRUE, AM53=""No"", AY53=TRUE, AZ53=""No"")), (FLOOR((AX53*0.9), $H53)), (NOT((AND(AY53=TRUE, AZ53=""Yes"")))), AX53)"),"---")</f>
        <v>---</v>
      </c>
      <c r="BG53" s="41" t="b">
        <v>0</v>
      </c>
      <c r="BH53" s="47"/>
      <c r="BI53" s="47"/>
      <c r="BJ53" s="47" t="str">
        <f t="shared" si="456"/>
        <v/>
      </c>
      <c r="BK53" s="71"/>
      <c r="BL53" s="39" t="str">
        <f t="shared" si="457"/>
        <v>---</v>
      </c>
      <c r="BM53" s="46" t="str">
        <f t="shared" si="458"/>
        <v>---</v>
      </c>
      <c r="BN53" s="40" t="str">
        <f>IFERROR(__xludf.DUMMYFUNCTION("IFS((AND(BG53=TRUE, BH53=""Yes"")), (IFS(ISBLANK(BJ53), BF53, BJ53=""Novice 1"", CEILING((BF53*1.05), $H53), BJ53=""Novice 2"", CEILING((BF53*1.025), $H53), BJ53=""Novice 3"", BF53+$H53, BJ53=""Intermediate 2"", (IF((ISBETWEEN(((((AY53-AX53)/2))+BE53), AX"&amp;"53, AY53)), BF53, BF53+$H53)), BJ53=""Intermediate 1"", (IF((ISBETWEEN((BE53-((AY53-AX53)/2)), AX53, AY53)), BF53+$H53, (FLOOR((BF53*0.9875), $H53)))), BJ53=""Advanced 2"", (IF(AND(((BD53+((AW53-AV53)/2))&gt;AW53), ((BE53+((AY53-AX53)/2))&gt;AY53)), BF53+$H53, "&amp;"(BF53))), BJ53=""Advanced 1"", (IFS(BM53&lt;BE53, BF53+$H53, BM53=BE53, (BF53), BM53&gt;BE53, (FLOOR((BF53*0.9875), $H53)))))), (AND(AY53=TRUE, AZ53=""No"", BG53=TRUE, BH53=""No"")), (FLOOR((BF53*0.9), $H53)), (NOT((AND(BG53=TRUE, BH53=""Yes"")))), BF53)"),"---")</f>
        <v>---</v>
      </c>
      <c r="BO53" s="41" t="b">
        <v>0</v>
      </c>
      <c r="BP53" s="47"/>
      <c r="BQ53" s="47"/>
      <c r="BR53" s="47" t="str">
        <f t="shared" si="459"/>
        <v/>
      </c>
      <c r="BS53" s="71"/>
      <c r="BT53" s="61" t="str">
        <f t="shared" si="460"/>
        <v>---</v>
      </c>
      <c r="BU53" s="62" t="str">
        <f t="shared" si="461"/>
        <v>---</v>
      </c>
      <c r="BV53" s="63" t="str">
        <f>IFERROR(__xludf.DUMMYFUNCTION("IFS((AND(BO53=TRUE, BP53=""Yes"")), (IFS(ISBLANK(BR53), BN53, BR53=""Novice 1"", CEILING((BN53*1.05), $H53), BR53=""Novice 2"", CEILING((BN53*1.025), $H53), BR53=""Novice 3"", BN53+$H53, BR53=""Intermediate 2"", (IF((ISBETWEEN(((((BG53-BF53)/2))+BM53), BF"&amp;"53, BG53)), BN53, BN53+$H53)), BR53=""Intermediate 1"", (IF((ISBETWEEN((BM53-((BG53-BF53)/2)), BF53, BG53)), BN53+$H53, (FLOOR((BN53*0.9875), $H53)))), BR53=""Advanced 2"", (IF(AND(((BL53+((BE53-BD53)/2))&gt;BE53), ((BM53+((BG53-BF53)/2))&gt;BG53)), BN53+$H53, "&amp;"(BN53))), BR53=""Advanced 1"", (IFS(BU53&lt;BM53, BN53+$H53, BU53=BM53, (BN53), BU53&gt;BM53, (FLOOR((BN53*0.9875), $H53)))))), (AND(BG53=TRUE, BH53=""No"", BO53=TRUE, BP53=""No"")), (FLOOR((BN53*0.9), $H53)), (NOT((AND(BO53=TRUE, BP53=""Yes"")))), BN53)"),"---")</f>
        <v>---</v>
      </c>
      <c r="BW53" s="64" t="b">
        <v>0</v>
      </c>
      <c r="BX53" s="65"/>
      <c r="BY53" s="65"/>
      <c r="BZ53" s="65" t="str">
        <f t="shared" si="462"/>
        <v/>
      </c>
      <c r="CA53" s="72"/>
      <c r="CB53" s="53" t="str">
        <f t="shared" ref="CB53:CC53" si="506">IFERROR(BT53/2,BT53)</f>
        <v>---</v>
      </c>
      <c r="CC53" s="53" t="str">
        <f t="shared" si="506"/>
        <v>---</v>
      </c>
      <c r="CD53" s="53" t="str">
        <f t="shared" si="464"/>
        <v>---</v>
      </c>
      <c r="CE53" s="67"/>
      <c r="CF53" s="71"/>
      <c r="CG53" s="39" t="str">
        <f t="shared" si="465"/>
        <v>---</v>
      </c>
      <c r="CH53" s="46" t="str">
        <f t="shared" si="466"/>
        <v>---</v>
      </c>
      <c r="CI53" s="40" t="str">
        <f>IFERROR(__xludf.DUMMYFUNCTION("IFS((AND(BW53=TRUE, BX53=""Yes"")), (IFS(ISBLANK(BZ53), BV53, BZ53=""Novice 1"", CEILING((BV53*1.05), $H53), BZ53=""Novice 2"", CEILING((BV53*1.025), $H53), BZ53=""Novice 3"", BV53+$H53, BZ53=""Intermediate 2"", (IF((ISBETWEEN(((((BO53-BN53)/2))+BU53), BN"&amp;"53, BO53)), BV53, BV53+$H53)), BZ53=""Intermediate 1"", (IF((ISBETWEEN((BU53-((BO53-BN53)/2)), BN53, BO53)), BV53+$H53, (FLOOR((BV53*0.9875), $H53)))), BZ53=""Advanced 2"", (IF(AND(((BT53+((BM53-BL53)/2))&gt;BM53), ((BU53+((BO53-BN53)/2))&gt;BO53)), BV53+$H53, "&amp;"(BV53))), BZ53=""Advanced 1"", (IFS(CH53&lt;BU53, BV53+$H53, CH53=BU53, (BV53), CH53&gt;BU53, (FLOOR((BV53*0.9875), $H53)))))), (AND(BO53=TRUE, BP53=""No"", BW53=TRUE, BX53=""No"")), (FLOOR((BV53*0.9), $H53)), (NOT((AND(BW53=TRUE, BX53=""Yes"")))), BV53)"),"---")</f>
        <v>---</v>
      </c>
      <c r="CJ53" s="41" t="b">
        <v>0</v>
      </c>
      <c r="CK53" s="47"/>
      <c r="CL53" s="47"/>
      <c r="CM53" s="47" t="str">
        <f t="shared" si="467"/>
        <v/>
      </c>
      <c r="CN53" s="71"/>
      <c r="CO53" s="39" t="str">
        <f t="shared" si="468"/>
        <v>---</v>
      </c>
      <c r="CP53" s="46" t="str">
        <f t="shared" si="469"/>
        <v>---</v>
      </c>
      <c r="CQ53" s="40" t="str">
        <f>IFERROR(__xludf.DUMMYFUNCTION("IFS((AND(CJ53=TRUE, CK53=""Yes"")), (IFS(ISBLANK(CM53), CI53, CM53=""Novice 1"", CEILING((CI53*1.05), $H53), CM53=""Novice 2"", CEILING((CI53*1.025), $H53), CM53=""Novice 3"", CI53+$H53, CM53=""Intermediate 2"", (IF((ISBETWEEN(((((BW53-BV53)/2))+CH53), BV"&amp;"53, BW53)), CI53, CI53+$H53)), CM53=""Intermediate 1"", (IF((ISBETWEEN((CH53-((BW53-BV53)/2)), BV53, BW53)), CI53+$H53, (FLOOR((CI53*0.9875), $H53)))), CM53=""Advanced 2"", (IF(AND(((CG53+((BU53-BT53)/2))&gt;BU53), ((CH53+((BW53-BV53)/2))&gt;BW53)), CI53+$H53, "&amp;"(CI53))), CM53=""Advanced 1"", (IFS(CP53&lt;CH53, CI53+$H53, CP53=CH53, (CI53), CP53&gt;CH53, (FLOOR((CI53*0.9875), $H53)))))), (AND(BW53=TRUE, BX53=""No"", CJ53=TRUE, CK53=""No"")), (FLOOR((CI53*0.9), $H53)), (NOT((AND(CJ53=TRUE, CK53=""Yes"")))), CI53)"),"---")</f>
        <v>---</v>
      </c>
      <c r="CR53" s="41" t="b">
        <v>0</v>
      </c>
      <c r="CS53" s="47"/>
      <c r="CT53" s="47"/>
      <c r="CU53" s="47" t="str">
        <f t="shared" si="470"/>
        <v/>
      </c>
      <c r="CV53" s="71"/>
      <c r="CW53" s="39" t="str">
        <f t="shared" si="471"/>
        <v>---</v>
      </c>
      <c r="CX53" s="46" t="str">
        <f t="shared" si="472"/>
        <v>---</v>
      </c>
      <c r="CY53" s="40" t="str">
        <f>IFERROR(__xludf.DUMMYFUNCTION("IFS((AND(CR53=TRUE, CS53=""Yes"")), (IFS(ISBLANK(CU53), CQ53, CU53=""Novice 1"", CEILING((CQ53*1.05), $H53), CU53=""Novice 2"", CEILING((CQ53*1.025), $H53), CU53=""Novice 3"", CQ53+$H53, CU53=""Intermediate 2"", (IF((ISBETWEEN(((((CJ53-CI53)/2))+CP53), CI"&amp;"53, CJ53)), CQ53, CQ53+$H53)), CU53=""Intermediate 1"", (IF((ISBETWEEN((CP53-((CJ53-CI53)/2)), CI53, CJ53)), CQ53+$H53, (FLOOR((CQ53*0.9875), $H53)))), CU53=""Advanced 2"", (IF(AND(((CO53+((CH53-CG53)/2))&gt;CH53), ((CP53+((CJ53-CI53)/2))&gt;CJ53)), CQ53+$H53, "&amp;"(CQ53))), CU53=""Advanced 1"", (IFS(CX53&lt;CP53, CQ53+$H53, CX53=CP53, (CQ53), CX53&gt;CP53, (FLOOR((CQ53*0.9875), $H53)))))), (AND(CJ53=TRUE, CK53=""No"", CR53=TRUE, CS53=""No"")), (FLOOR((CQ53*0.9), $H53)), (NOT((AND(CR53=TRUE, CS53=""Yes"")))), CQ53)"),"---")</f>
        <v>---</v>
      </c>
      <c r="CZ53" s="41" t="b">
        <v>0</v>
      </c>
      <c r="DA53" s="47"/>
      <c r="DB53" s="47"/>
      <c r="DC53" s="47" t="str">
        <f t="shared" si="473"/>
        <v/>
      </c>
      <c r="DD53" s="71"/>
      <c r="DE53" s="61" t="str">
        <f t="shared" si="474"/>
        <v>---</v>
      </c>
      <c r="DF53" s="62" t="str">
        <f t="shared" si="475"/>
        <v>---</v>
      </c>
      <c r="DG53" s="63" t="str">
        <f>IFERROR(__xludf.DUMMYFUNCTION("IFS((AND(CZ53=TRUE, DA53=""Yes"")), (IFS(ISBLANK(DC53), CY53, DC53=""Novice 1"", CEILING((CY53*1.05), $H53), DC53=""Novice 2"", CEILING((CY53*1.025), $H53), DC53=""Novice 3"", CY53+$H53, DC53=""Intermediate 2"", (IF((ISBETWEEN(((((CR53-CQ53)/2))+CX53), CQ"&amp;"53, CR53)), CY53, CY53+$H53)), DC53=""Intermediate 1"", (IF((ISBETWEEN((CX53-((CR53-CQ53)/2)), CQ53, CR53)), CY53+$H53, (FLOOR((CY53*0.9875), $H53)))), DC53=""Advanced 2"", (IF(AND(((CW53+((CP53-CO53)/2))&gt;CP53), ((CX53+((CR53-CQ53)/2))&gt;CR53)), CY53+$H53, "&amp;"(CY53))), DC53=""Advanced 1"", (IFS(DF53&lt;CX53, CY53+$H53, DF53=CX53, (CY53), DF53&gt;CX53, (FLOOR((CY53*0.9875), $H53)))))), (AND(CR53=TRUE, CS53=""No"", CZ53=TRUE, DA53=""No"")), (FLOOR((CY53*0.9), $H53)), (NOT((AND(CZ53=TRUE, DA53=""Yes"")))), CY53)"),"---")</f>
        <v>---</v>
      </c>
      <c r="DH53" s="64" t="b">
        <v>0</v>
      </c>
      <c r="DI53" s="65"/>
      <c r="DJ53" s="65"/>
      <c r="DK53" s="65" t="str">
        <f t="shared" si="476"/>
        <v/>
      </c>
      <c r="DL53" s="72"/>
      <c r="DM53" s="53" t="str">
        <f t="shared" ref="DM53:DN53" si="507">IFERROR(DE53/2,DE53)</f>
        <v>---</v>
      </c>
      <c r="DN53" s="53" t="str">
        <f t="shared" si="507"/>
        <v>---</v>
      </c>
      <c r="DO53" s="53" t="str">
        <f t="shared" si="478"/>
        <v>---</v>
      </c>
      <c r="DP53" s="67"/>
      <c r="DQ53" s="71"/>
      <c r="DR53" s="39" t="str">
        <f t="shared" si="479"/>
        <v>---</v>
      </c>
      <c r="DS53" s="46" t="str">
        <f t="shared" si="480"/>
        <v>---</v>
      </c>
      <c r="DT53" s="40" t="str">
        <f>IFERROR(__xludf.DUMMYFUNCTION("IFS((AND(DH53=TRUE, DI53=""Yes"")), (IFS(ISBLANK(DK53), DG53, DK53=""Novice 1"", CEILING((DG53*1.05), $H53), DK53=""Novice 2"", CEILING((DG53*1.025), $H53), DK53=""Novice 3"", DG53+$H53, DK53=""Intermediate 2"", (IF((ISBETWEEN(((((CZ53-CY53)/2))+DF53), CY"&amp;"53, CZ53)), DG53, DG53+$H53)), DK53=""Intermediate 1"", (IF((ISBETWEEN((DF53-((CZ53-CY53)/2)), CY53, CZ53)), DG53+$H53, (FLOOR((DG53*0.9875), $H53)))), DK53=""Advanced 2"", (IF(AND(((DE53+((CX53-CW53)/2))&gt;CX53), ((DF53+((CZ53-CY53)/2))&gt;CZ53)), DG53+$H53, "&amp;"(DG53))), DK53=""Advanced 1"", (IFS(DS53&lt;DF53, DG53+$H53, DS53=DF53, (DG53), DS53&gt;DF53, (FLOOR((DG53*0.9875), $H53)))))), (AND(CZ53=TRUE, DA53=""No"", DH53=TRUE, DI53=""No"")), (FLOOR((DG53*0.9), $H53)), (NOT((AND(DH53=TRUE, DI53=""Yes"")))), DG53)"),"---")</f>
        <v>---</v>
      </c>
      <c r="DU53" s="41" t="b">
        <v>0</v>
      </c>
      <c r="DV53" s="47"/>
      <c r="DW53" s="47"/>
      <c r="DX53" s="47" t="str">
        <f t="shared" si="481"/>
        <v/>
      </c>
      <c r="DY53" s="71"/>
      <c r="DZ53" s="39" t="str">
        <f t="shared" si="482"/>
        <v>---</v>
      </c>
      <c r="EA53" s="46" t="str">
        <f t="shared" si="483"/>
        <v>---</v>
      </c>
      <c r="EB53" s="40" t="str">
        <f>IFERROR(__xludf.DUMMYFUNCTION("IFS((AND(DU53=TRUE, DV53=""Yes"")), (IFS(ISBLANK(DX53), DT53, DX53=""Novice 1"", CEILING((DT53*1.05), $H53), DX53=""Novice 2"", CEILING((DT53*1.025), $H53), DX53=""Novice 3"", DT53+$H53, DX53=""Intermediate 2"", (IF((ISBETWEEN(((((DH53-DG53)/2))+DS53), DG"&amp;"53, DH53)), DT53, DT53+$H53)), DX53=""Intermediate 1"", (IF((ISBETWEEN((DS53-((DH53-DG53)/2)), DG53, DH53)), DT53+$H53, (FLOOR((DT53*0.9875), $H53)))), DX53=""Advanced 2"", (IF(AND(((DR53+((DF53-DE53)/2))&gt;DF53), ((DS53+((DH53-DG53)/2))&gt;DH53)), DT53+$H53, "&amp;"(DT53))), DX53=""Advanced 1"", (IFS(EA53&lt;DS53, DT53+$H53, EA53=DS53, (DT53), EA53&gt;DS53, (FLOOR((DT53*0.9875), $H53)))))), (AND(DH53=TRUE, DI53=""No"", DU53=TRUE, DV53=""No"")), (FLOOR((DT53*0.9), $H53)), (NOT((AND(DU53=TRUE, DV53=""Yes"")))), DT53)"),"---")</f>
        <v>---</v>
      </c>
      <c r="EC53" s="41" t="b">
        <v>0</v>
      </c>
      <c r="ED53" s="47"/>
      <c r="EE53" s="47"/>
      <c r="EF53" s="47" t="str">
        <f t="shared" si="484"/>
        <v/>
      </c>
      <c r="EG53" s="71"/>
      <c r="EH53" s="39" t="str">
        <f t="shared" si="485"/>
        <v>---</v>
      </c>
      <c r="EI53" s="46" t="str">
        <f t="shared" si="486"/>
        <v>---</v>
      </c>
      <c r="EJ53" s="40" t="str">
        <f>IFERROR(__xludf.DUMMYFUNCTION("IFS((AND(EC53=TRUE, ED53=""Yes"")), (IFS(ISBLANK(EF53), EB53, EF53=""Novice 1"", CEILING((EB53*1.05), $H53), EF53=""Novice 2"", CEILING((EB53*1.025), $H53), EF53=""Novice 3"", EB53+$H53, EF53=""Intermediate 2"", (IF((ISBETWEEN(((((DU53-DT53)/2))+EA53), DT"&amp;"53, DU53)), EB53, EB53+$H53)), EF53=""Intermediate 1"", (IF((ISBETWEEN((EA53-((DU53-DT53)/2)), DT53, DU53)), EB53+$H53, (FLOOR((EB53*0.9875), $H53)))), EF53=""Advanced 2"", (IF(AND(((DZ53+((DS53-DR53)/2))&gt;DS53), ((EA53+((DU53-DT53)/2))&gt;DU53)), EB53+$H53, "&amp;"(EB53))), EF53=""Advanced 1"", (IFS(EI53&lt;EA53, EB53+$H53, EI53=EA53, (EB53), EI53&gt;EA53, (FLOOR((EB53*0.9875), $H53)))))), (AND(DU53=TRUE, DV53=""No"", EC53=TRUE, ED53=""No"")), (FLOOR((EB53*0.9), $H53)), (NOT((AND(EC53=TRUE, ED53=""Yes"")))), EB53)"),"---")</f>
        <v>---</v>
      </c>
      <c r="EK53" s="41" t="b">
        <v>0</v>
      </c>
      <c r="EL53" s="47"/>
      <c r="EM53" s="47"/>
      <c r="EN53" s="47" t="str">
        <f t="shared" si="487"/>
        <v/>
      </c>
      <c r="EO53" s="71"/>
      <c r="EP53" s="61" t="str">
        <f t="shared" si="488"/>
        <v>---</v>
      </c>
      <c r="EQ53" s="62" t="str">
        <f t="shared" si="489"/>
        <v>---</v>
      </c>
      <c r="ER53" s="63" t="str">
        <f>IFERROR(__xludf.DUMMYFUNCTION("IFS((AND(EK53=TRUE, EL53=""Yes"")), (IFS(ISBLANK(EN53), EJ53, EN53=""Novice 1"", CEILING((EJ53*1.05), $H53), EN53=""Novice 2"", CEILING((EJ53*1.025), $H53), EN53=""Novice 3"", EJ53+$H53, EN53=""Intermediate 2"", (IF((ISBETWEEN(((((EC53-EB53)/2))+EI53), EB"&amp;"53, EC53)), EJ53, EJ53+$H53)), EN53=""Intermediate 1"", (IF((ISBETWEEN((EI53-((EC53-EB53)/2)), EB53, EC53)), EJ53+$H53, (FLOOR((EJ53*0.9875), $H53)))), EN53=""Advanced 2"", (IF(AND(((EH53+((EA53-DZ53)/2))&gt;EA53), ((EI53+((EC53-EB53)/2))&gt;EC53)), EJ53+$H53, "&amp;"(EJ53))), EN53=""Advanced 1"", (IFS(EQ53&lt;EI53, EJ53+$H53, EQ53=EI53, (EJ53), EQ53&gt;EI53, (FLOOR((EJ53*0.9875), $H53)))))), (AND(EC53=TRUE, ED53=""No"", EK53=TRUE, EL53=""No"")), (FLOOR((EJ53*0.9), $H53)), (NOT((AND(EK53=TRUE, EL53=""Yes"")))), EJ53)"),"---")</f>
        <v>---</v>
      </c>
      <c r="ES53" s="64" t="b">
        <v>0</v>
      </c>
      <c r="ET53" s="65"/>
      <c r="EU53" s="65"/>
      <c r="EV53" s="65" t="str">
        <f t="shared" si="490"/>
        <v/>
      </c>
      <c r="EW53" s="72"/>
      <c r="EX53" s="53" t="str">
        <f t="shared" ref="EX53:EY53" si="508">IFERROR(EP53/2,EP53)</f>
        <v>---</v>
      </c>
      <c r="EY53" s="53" t="str">
        <f t="shared" si="508"/>
        <v>---</v>
      </c>
      <c r="EZ53" s="53" t="str">
        <f t="shared" si="492"/>
        <v>---</v>
      </c>
      <c r="FA53" s="67"/>
      <c r="FB53" s="86"/>
      <c r="FC53" s="57"/>
    </row>
    <row r="54" outlineLevel="1">
      <c r="A54" s="32" t="s">
        <v>73</v>
      </c>
      <c r="B54" s="87"/>
      <c r="C54" s="82" t="s">
        <v>53</v>
      </c>
      <c r="D54" s="83" t="s">
        <v>53</v>
      </c>
      <c r="E54" s="82" t="s">
        <v>53</v>
      </c>
      <c r="F54" s="83" t="s">
        <v>53</v>
      </c>
      <c r="G54" s="83" t="s">
        <v>53</v>
      </c>
      <c r="H54" s="88"/>
      <c r="I54" s="85"/>
      <c r="J54" s="73"/>
      <c r="K54" s="39" t="str">
        <f t="shared" si="436"/>
        <v>---</v>
      </c>
      <c r="L54" s="40" t="str">
        <f t="shared" si="437"/>
        <v>---</v>
      </c>
      <c r="M54" s="40" t="str">
        <f t="shared" si="438"/>
        <v>---</v>
      </c>
      <c r="N54" s="41" t="b">
        <v>0</v>
      </c>
      <c r="O54" s="42"/>
      <c r="P54" s="43"/>
      <c r="Q54" s="42"/>
      <c r="R54" s="73"/>
      <c r="S54" s="46"/>
      <c r="T54" s="46"/>
      <c r="U54" s="40"/>
      <c r="V54" s="41" t="b">
        <v>0</v>
      </c>
      <c r="W54" s="47"/>
      <c r="X54" s="47"/>
      <c r="Y54" s="47"/>
      <c r="Z54" s="73"/>
      <c r="AA54" s="46"/>
      <c r="AB54" s="46"/>
      <c r="AC54" s="40"/>
      <c r="AD54" s="41" t="b">
        <v>0</v>
      </c>
      <c r="AE54" s="47"/>
      <c r="AF54" s="47"/>
      <c r="AG54" s="47"/>
      <c r="AH54" s="73"/>
      <c r="AI54" s="49"/>
      <c r="AJ54" s="49"/>
      <c r="AK54" s="50"/>
      <c r="AL54" s="51" t="b">
        <v>0</v>
      </c>
      <c r="AM54" s="52"/>
      <c r="AN54" s="52"/>
      <c r="AO54" s="52"/>
      <c r="AP54" s="73"/>
      <c r="AQ54" s="75"/>
      <c r="AR54" s="75"/>
      <c r="AS54" s="75"/>
      <c r="AT54" s="76"/>
      <c r="AU54" s="73"/>
      <c r="AV54" s="46"/>
      <c r="AW54" s="46"/>
      <c r="AX54" s="40"/>
      <c r="AY54" s="41" t="b">
        <v>0</v>
      </c>
      <c r="AZ54" s="47"/>
      <c r="BA54" s="47"/>
      <c r="BB54" s="47"/>
      <c r="BC54" s="73"/>
      <c r="BD54" s="46"/>
      <c r="BE54" s="46"/>
      <c r="BF54" s="40"/>
      <c r="BG54" s="41" t="b">
        <v>0</v>
      </c>
      <c r="BH54" s="47"/>
      <c r="BI54" s="47"/>
      <c r="BJ54" s="47"/>
      <c r="BK54" s="73"/>
      <c r="BL54" s="46"/>
      <c r="BM54" s="46"/>
      <c r="BN54" s="40"/>
      <c r="BO54" s="41" t="b">
        <v>0</v>
      </c>
      <c r="BP54" s="47"/>
      <c r="BQ54" s="47"/>
      <c r="BR54" s="47"/>
      <c r="BS54" s="73"/>
      <c r="BT54" s="49"/>
      <c r="BU54" s="49"/>
      <c r="BV54" s="50"/>
      <c r="BW54" s="51" t="b">
        <v>0</v>
      </c>
      <c r="BX54" s="52"/>
      <c r="BY54" s="52"/>
      <c r="BZ54" s="52"/>
      <c r="CA54" s="73"/>
      <c r="CB54" s="75"/>
      <c r="CC54" s="75"/>
      <c r="CD54" s="75"/>
      <c r="CE54" s="76"/>
      <c r="CF54" s="73"/>
      <c r="CG54" s="46"/>
      <c r="CH54" s="46"/>
      <c r="CI54" s="40"/>
      <c r="CJ54" s="41" t="b">
        <v>0</v>
      </c>
      <c r="CK54" s="47"/>
      <c r="CL54" s="47"/>
      <c r="CM54" s="47"/>
      <c r="CN54" s="73"/>
      <c r="CO54" s="46"/>
      <c r="CP54" s="46"/>
      <c r="CQ54" s="40"/>
      <c r="CR54" s="41" t="b">
        <v>0</v>
      </c>
      <c r="CS54" s="47"/>
      <c r="CT54" s="47"/>
      <c r="CU54" s="47"/>
      <c r="CV54" s="73"/>
      <c r="CW54" s="46"/>
      <c r="CX54" s="46"/>
      <c r="CY54" s="40"/>
      <c r="CZ54" s="41" t="b">
        <v>0</v>
      </c>
      <c r="DA54" s="47"/>
      <c r="DB54" s="47"/>
      <c r="DC54" s="47"/>
      <c r="DD54" s="73"/>
      <c r="DE54" s="49"/>
      <c r="DF54" s="49"/>
      <c r="DG54" s="50"/>
      <c r="DH54" s="51" t="b">
        <v>0</v>
      </c>
      <c r="DI54" s="52"/>
      <c r="DJ54" s="52"/>
      <c r="DK54" s="52"/>
      <c r="DL54" s="73"/>
      <c r="DM54" s="75"/>
      <c r="DN54" s="75"/>
      <c r="DO54" s="75"/>
      <c r="DP54" s="76"/>
      <c r="DQ54" s="73"/>
      <c r="DR54" s="46"/>
      <c r="DS54" s="46"/>
      <c r="DT54" s="40"/>
      <c r="DU54" s="41" t="b">
        <v>0</v>
      </c>
      <c r="DV54" s="47"/>
      <c r="DW54" s="47"/>
      <c r="DX54" s="47"/>
      <c r="DY54" s="73"/>
      <c r="DZ54" s="46"/>
      <c r="EA54" s="46"/>
      <c r="EB54" s="40"/>
      <c r="EC54" s="41" t="b">
        <v>0</v>
      </c>
      <c r="ED54" s="47"/>
      <c r="EE54" s="47"/>
      <c r="EF54" s="47"/>
      <c r="EG54" s="73"/>
      <c r="EH54" s="46"/>
      <c r="EI54" s="46"/>
      <c r="EJ54" s="40"/>
      <c r="EK54" s="41" t="b">
        <v>0</v>
      </c>
      <c r="EL54" s="47"/>
      <c r="EM54" s="47"/>
      <c r="EN54" s="47"/>
      <c r="EO54" s="73"/>
      <c r="EP54" s="49"/>
      <c r="EQ54" s="49"/>
      <c r="ER54" s="50"/>
      <c r="ES54" s="51" t="b">
        <v>0</v>
      </c>
      <c r="ET54" s="52"/>
      <c r="EU54" s="52"/>
      <c r="EV54" s="52"/>
      <c r="EW54" s="73"/>
      <c r="EX54" s="75"/>
      <c r="EY54" s="75"/>
      <c r="EZ54" s="75"/>
      <c r="FA54" s="76"/>
      <c r="FB54" s="86"/>
      <c r="FC54" s="57"/>
    </row>
    <row r="55" outlineLevel="1">
      <c r="A55" s="32" t="s">
        <v>37</v>
      </c>
      <c r="B55" s="87"/>
      <c r="C55" s="82" t="s">
        <v>53</v>
      </c>
      <c r="D55" s="83" t="s">
        <v>53</v>
      </c>
      <c r="E55" s="82" t="s">
        <v>53</v>
      </c>
      <c r="F55" s="83" t="s">
        <v>53</v>
      </c>
      <c r="G55" s="83" t="s">
        <v>53</v>
      </c>
      <c r="H55" s="88"/>
      <c r="I55" s="85"/>
      <c r="J55" s="73"/>
      <c r="K55" s="39" t="str">
        <f t="shared" si="436"/>
        <v>---</v>
      </c>
      <c r="L55" s="40" t="str">
        <f t="shared" si="437"/>
        <v>---</v>
      </c>
      <c r="M55" s="40" t="str">
        <f t="shared" si="438"/>
        <v>---</v>
      </c>
      <c r="N55" s="41" t="b">
        <v>0</v>
      </c>
      <c r="O55" s="42"/>
      <c r="P55" s="43"/>
      <c r="Q55" s="42"/>
      <c r="R55" s="73"/>
      <c r="S55" s="46"/>
      <c r="T55" s="46"/>
      <c r="U55" s="40"/>
      <c r="V55" s="41" t="b">
        <v>0</v>
      </c>
      <c r="W55" s="47"/>
      <c r="X55" s="47"/>
      <c r="Y55" s="47"/>
      <c r="Z55" s="73"/>
      <c r="AA55" s="46"/>
      <c r="AB55" s="46"/>
      <c r="AC55" s="40"/>
      <c r="AD55" s="41" t="b">
        <v>0</v>
      </c>
      <c r="AE55" s="47"/>
      <c r="AF55" s="47"/>
      <c r="AG55" s="47"/>
      <c r="AH55" s="73"/>
      <c r="AI55" s="62"/>
      <c r="AJ55" s="62"/>
      <c r="AK55" s="63"/>
      <c r="AL55" s="64" t="b">
        <v>0</v>
      </c>
      <c r="AM55" s="65"/>
      <c r="AN55" s="65"/>
      <c r="AO55" s="65"/>
      <c r="AP55" s="73"/>
      <c r="AQ55" s="75"/>
      <c r="AR55" s="75"/>
      <c r="AS55" s="75"/>
      <c r="AT55" s="76"/>
      <c r="AU55" s="73"/>
      <c r="AV55" s="46"/>
      <c r="AW55" s="46"/>
      <c r="AX55" s="40"/>
      <c r="AY55" s="41" t="b">
        <v>0</v>
      </c>
      <c r="AZ55" s="47"/>
      <c r="BA55" s="47"/>
      <c r="BB55" s="47"/>
      <c r="BC55" s="73"/>
      <c r="BD55" s="46"/>
      <c r="BE55" s="46"/>
      <c r="BF55" s="40"/>
      <c r="BG55" s="41" t="b">
        <v>0</v>
      </c>
      <c r="BH55" s="47"/>
      <c r="BI55" s="47"/>
      <c r="BJ55" s="47"/>
      <c r="BK55" s="73"/>
      <c r="BL55" s="46"/>
      <c r="BM55" s="46"/>
      <c r="BN55" s="40"/>
      <c r="BO55" s="41" t="b">
        <v>0</v>
      </c>
      <c r="BP55" s="47"/>
      <c r="BQ55" s="47"/>
      <c r="BR55" s="47"/>
      <c r="BS55" s="73"/>
      <c r="BT55" s="62"/>
      <c r="BU55" s="62"/>
      <c r="BV55" s="63"/>
      <c r="BW55" s="64" t="b">
        <v>0</v>
      </c>
      <c r="BX55" s="65"/>
      <c r="BY55" s="65"/>
      <c r="BZ55" s="65"/>
      <c r="CA55" s="73"/>
      <c r="CB55" s="75"/>
      <c r="CC55" s="75"/>
      <c r="CD55" s="75"/>
      <c r="CE55" s="76"/>
      <c r="CF55" s="73"/>
      <c r="CG55" s="46"/>
      <c r="CH55" s="46"/>
      <c r="CI55" s="40"/>
      <c r="CJ55" s="41" t="b">
        <v>0</v>
      </c>
      <c r="CK55" s="47"/>
      <c r="CL55" s="47"/>
      <c r="CM55" s="47"/>
      <c r="CN55" s="73"/>
      <c r="CO55" s="46"/>
      <c r="CP55" s="46"/>
      <c r="CQ55" s="40"/>
      <c r="CR55" s="41" t="b">
        <v>0</v>
      </c>
      <c r="CS55" s="47"/>
      <c r="CT55" s="47"/>
      <c r="CU55" s="47"/>
      <c r="CV55" s="73"/>
      <c r="CW55" s="46"/>
      <c r="CX55" s="46"/>
      <c r="CY55" s="40"/>
      <c r="CZ55" s="41" t="b">
        <v>0</v>
      </c>
      <c r="DA55" s="47"/>
      <c r="DB55" s="47"/>
      <c r="DC55" s="47"/>
      <c r="DD55" s="73"/>
      <c r="DE55" s="62"/>
      <c r="DF55" s="62"/>
      <c r="DG55" s="63"/>
      <c r="DH55" s="64" t="b">
        <v>0</v>
      </c>
      <c r="DI55" s="65"/>
      <c r="DJ55" s="65"/>
      <c r="DK55" s="65"/>
      <c r="DL55" s="73"/>
      <c r="DM55" s="75"/>
      <c r="DN55" s="75"/>
      <c r="DO55" s="75"/>
      <c r="DP55" s="76"/>
      <c r="DQ55" s="73"/>
      <c r="DR55" s="46"/>
      <c r="DS55" s="46"/>
      <c r="DT55" s="40"/>
      <c r="DU55" s="41" t="b">
        <v>0</v>
      </c>
      <c r="DV55" s="47"/>
      <c r="DW55" s="47"/>
      <c r="DX55" s="47"/>
      <c r="DY55" s="73"/>
      <c r="DZ55" s="46"/>
      <c r="EA55" s="46"/>
      <c r="EB55" s="40"/>
      <c r="EC55" s="41" t="b">
        <v>0</v>
      </c>
      <c r="ED55" s="47"/>
      <c r="EE55" s="47"/>
      <c r="EF55" s="47"/>
      <c r="EG55" s="73"/>
      <c r="EH55" s="46"/>
      <c r="EI55" s="46"/>
      <c r="EJ55" s="40"/>
      <c r="EK55" s="41" t="b">
        <v>0</v>
      </c>
      <c r="EL55" s="47"/>
      <c r="EM55" s="47"/>
      <c r="EN55" s="47"/>
      <c r="EO55" s="73"/>
      <c r="EP55" s="62"/>
      <c r="EQ55" s="62"/>
      <c r="ER55" s="63"/>
      <c r="ES55" s="64" t="b">
        <v>0</v>
      </c>
      <c r="ET55" s="65"/>
      <c r="EU55" s="65"/>
      <c r="EV55" s="65"/>
      <c r="EW55" s="73"/>
      <c r="EX55" s="75"/>
      <c r="EY55" s="75"/>
      <c r="EZ55" s="75"/>
      <c r="FA55" s="76"/>
      <c r="FB55" s="86"/>
      <c r="FC55" s="57"/>
    </row>
    <row r="56" outlineLevel="1">
      <c r="A56" s="32" t="s">
        <v>39</v>
      </c>
      <c r="B56" s="87"/>
      <c r="C56" s="82" t="s">
        <v>53</v>
      </c>
      <c r="D56" s="83" t="s">
        <v>53</v>
      </c>
      <c r="E56" s="82" t="s">
        <v>53</v>
      </c>
      <c r="F56" s="83" t="s">
        <v>53</v>
      </c>
      <c r="G56" s="83" t="s">
        <v>53</v>
      </c>
      <c r="H56" s="88"/>
      <c r="I56" s="85"/>
      <c r="J56" s="73"/>
      <c r="K56" s="39" t="str">
        <f t="shared" si="436"/>
        <v>---</v>
      </c>
      <c r="L56" s="40" t="str">
        <f t="shared" si="437"/>
        <v>---</v>
      </c>
      <c r="M56" s="40" t="str">
        <f t="shared" si="438"/>
        <v>---</v>
      </c>
      <c r="N56" s="41" t="b">
        <v>0</v>
      </c>
      <c r="O56" s="42"/>
      <c r="P56" s="43"/>
      <c r="Q56" s="42"/>
      <c r="R56" s="73"/>
      <c r="S56" s="46"/>
      <c r="T56" s="46"/>
      <c r="U56" s="40"/>
      <c r="V56" s="41" t="b">
        <v>0</v>
      </c>
      <c r="W56" s="47"/>
      <c r="X56" s="47"/>
      <c r="Y56" s="47"/>
      <c r="Z56" s="73"/>
      <c r="AA56" s="46"/>
      <c r="AB56" s="46"/>
      <c r="AC56" s="40"/>
      <c r="AD56" s="41" t="b">
        <v>0</v>
      </c>
      <c r="AE56" s="47"/>
      <c r="AF56" s="47"/>
      <c r="AG56" s="47"/>
      <c r="AH56" s="73"/>
      <c r="AI56" s="49"/>
      <c r="AJ56" s="49"/>
      <c r="AK56" s="50"/>
      <c r="AL56" s="51" t="b">
        <v>0</v>
      </c>
      <c r="AM56" s="52"/>
      <c r="AN56" s="52"/>
      <c r="AO56" s="52"/>
      <c r="AP56" s="73"/>
      <c r="AQ56" s="75"/>
      <c r="AR56" s="75"/>
      <c r="AS56" s="75"/>
      <c r="AT56" s="76"/>
      <c r="AU56" s="73"/>
      <c r="AV56" s="46"/>
      <c r="AW56" s="46"/>
      <c r="AX56" s="40"/>
      <c r="AY56" s="41" t="b">
        <v>0</v>
      </c>
      <c r="AZ56" s="47"/>
      <c r="BA56" s="47"/>
      <c r="BB56" s="47"/>
      <c r="BC56" s="73"/>
      <c r="BD56" s="46"/>
      <c r="BE56" s="46"/>
      <c r="BF56" s="40"/>
      <c r="BG56" s="41" t="b">
        <v>0</v>
      </c>
      <c r="BH56" s="47"/>
      <c r="BI56" s="47"/>
      <c r="BJ56" s="47"/>
      <c r="BK56" s="73"/>
      <c r="BL56" s="46"/>
      <c r="BM56" s="46"/>
      <c r="BN56" s="40"/>
      <c r="BO56" s="41" t="b">
        <v>0</v>
      </c>
      <c r="BP56" s="47"/>
      <c r="BQ56" s="47"/>
      <c r="BR56" s="47"/>
      <c r="BS56" s="73"/>
      <c r="BT56" s="49"/>
      <c r="BU56" s="49"/>
      <c r="BV56" s="50"/>
      <c r="BW56" s="51" t="b">
        <v>0</v>
      </c>
      <c r="BX56" s="52"/>
      <c r="BY56" s="52"/>
      <c r="BZ56" s="52"/>
      <c r="CA56" s="73"/>
      <c r="CB56" s="75"/>
      <c r="CC56" s="75"/>
      <c r="CD56" s="75"/>
      <c r="CE56" s="76"/>
      <c r="CF56" s="73"/>
      <c r="CG56" s="46"/>
      <c r="CH56" s="46"/>
      <c r="CI56" s="40"/>
      <c r="CJ56" s="41" t="b">
        <v>0</v>
      </c>
      <c r="CK56" s="47"/>
      <c r="CL56" s="47"/>
      <c r="CM56" s="47"/>
      <c r="CN56" s="73"/>
      <c r="CO56" s="46"/>
      <c r="CP56" s="46"/>
      <c r="CQ56" s="40"/>
      <c r="CR56" s="41" t="b">
        <v>0</v>
      </c>
      <c r="CS56" s="47"/>
      <c r="CT56" s="47"/>
      <c r="CU56" s="47"/>
      <c r="CV56" s="73"/>
      <c r="CW56" s="46"/>
      <c r="CX56" s="46"/>
      <c r="CY56" s="40"/>
      <c r="CZ56" s="41" t="b">
        <v>0</v>
      </c>
      <c r="DA56" s="47"/>
      <c r="DB56" s="47"/>
      <c r="DC56" s="47"/>
      <c r="DD56" s="73"/>
      <c r="DE56" s="49"/>
      <c r="DF56" s="49"/>
      <c r="DG56" s="50"/>
      <c r="DH56" s="51" t="b">
        <v>0</v>
      </c>
      <c r="DI56" s="52"/>
      <c r="DJ56" s="52"/>
      <c r="DK56" s="52"/>
      <c r="DL56" s="73"/>
      <c r="DM56" s="75"/>
      <c r="DN56" s="75"/>
      <c r="DO56" s="75"/>
      <c r="DP56" s="76"/>
      <c r="DQ56" s="73"/>
      <c r="DR56" s="46"/>
      <c r="DS56" s="46"/>
      <c r="DT56" s="40"/>
      <c r="DU56" s="41" t="b">
        <v>0</v>
      </c>
      <c r="DV56" s="47"/>
      <c r="DW56" s="47"/>
      <c r="DX56" s="47"/>
      <c r="DY56" s="73"/>
      <c r="DZ56" s="46"/>
      <c r="EA56" s="46"/>
      <c r="EB56" s="40"/>
      <c r="EC56" s="41" t="b">
        <v>0</v>
      </c>
      <c r="ED56" s="47"/>
      <c r="EE56" s="47"/>
      <c r="EF56" s="47"/>
      <c r="EG56" s="73"/>
      <c r="EH56" s="46"/>
      <c r="EI56" s="46"/>
      <c r="EJ56" s="40"/>
      <c r="EK56" s="41" t="b">
        <v>0</v>
      </c>
      <c r="EL56" s="47"/>
      <c r="EM56" s="47"/>
      <c r="EN56" s="47"/>
      <c r="EO56" s="73"/>
      <c r="EP56" s="49"/>
      <c r="EQ56" s="49"/>
      <c r="ER56" s="50"/>
      <c r="ES56" s="51" t="b">
        <v>0</v>
      </c>
      <c r="ET56" s="52"/>
      <c r="EU56" s="52"/>
      <c r="EV56" s="52"/>
      <c r="EW56" s="73"/>
      <c r="EX56" s="75"/>
      <c r="EY56" s="75"/>
      <c r="EZ56" s="75"/>
      <c r="FA56" s="76"/>
      <c r="FB56" s="86"/>
      <c r="FC56" s="57"/>
    </row>
    <row r="57" outlineLevel="1">
      <c r="A57" s="32" t="s">
        <v>40</v>
      </c>
      <c r="B57" s="87"/>
      <c r="C57" s="82" t="s">
        <v>53</v>
      </c>
      <c r="D57" s="83" t="s">
        <v>53</v>
      </c>
      <c r="E57" s="82" t="s">
        <v>53</v>
      </c>
      <c r="F57" s="83" t="s">
        <v>53</v>
      </c>
      <c r="G57" s="83" t="s">
        <v>53</v>
      </c>
      <c r="H57" s="88"/>
      <c r="I57" s="85"/>
      <c r="J57" s="73"/>
      <c r="K57" s="39" t="str">
        <f t="shared" si="436"/>
        <v>---</v>
      </c>
      <c r="L57" s="40" t="str">
        <f t="shared" si="437"/>
        <v>---</v>
      </c>
      <c r="M57" s="40" t="str">
        <f t="shared" si="438"/>
        <v>---</v>
      </c>
      <c r="N57" s="41" t="b">
        <v>0</v>
      </c>
      <c r="O57" s="42"/>
      <c r="P57" s="43"/>
      <c r="Q57" s="42"/>
      <c r="R57" s="73"/>
      <c r="S57" s="46"/>
      <c r="T57" s="46"/>
      <c r="U57" s="40"/>
      <c r="V57" s="41" t="b">
        <v>0</v>
      </c>
      <c r="W57" s="47"/>
      <c r="X57" s="47"/>
      <c r="Y57" s="47"/>
      <c r="Z57" s="73"/>
      <c r="AA57" s="46"/>
      <c r="AB57" s="46"/>
      <c r="AC57" s="40"/>
      <c r="AD57" s="41" t="b">
        <v>0</v>
      </c>
      <c r="AE57" s="47"/>
      <c r="AF57" s="47"/>
      <c r="AG57" s="47"/>
      <c r="AH57" s="73"/>
      <c r="AI57" s="62"/>
      <c r="AJ57" s="62"/>
      <c r="AK57" s="63"/>
      <c r="AL57" s="64" t="b">
        <v>0</v>
      </c>
      <c r="AM57" s="65"/>
      <c r="AN57" s="65"/>
      <c r="AO57" s="65"/>
      <c r="AP57" s="73"/>
      <c r="AQ57" s="75"/>
      <c r="AR57" s="75"/>
      <c r="AS57" s="75"/>
      <c r="AT57" s="76"/>
      <c r="AU57" s="73"/>
      <c r="AV57" s="46"/>
      <c r="AW57" s="46"/>
      <c r="AX57" s="40"/>
      <c r="AY57" s="41" t="b">
        <v>0</v>
      </c>
      <c r="AZ57" s="47"/>
      <c r="BA57" s="47"/>
      <c r="BB57" s="47"/>
      <c r="BC57" s="73"/>
      <c r="BD57" s="46"/>
      <c r="BE57" s="46"/>
      <c r="BF57" s="40"/>
      <c r="BG57" s="41" t="b">
        <v>0</v>
      </c>
      <c r="BH57" s="47"/>
      <c r="BI57" s="47"/>
      <c r="BJ57" s="47"/>
      <c r="BK57" s="73"/>
      <c r="BL57" s="46"/>
      <c r="BM57" s="46"/>
      <c r="BN57" s="40"/>
      <c r="BO57" s="41" t="b">
        <v>0</v>
      </c>
      <c r="BP57" s="47"/>
      <c r="BQ57" s="47"/>
      <c r="BR57" s="47"/>
      <c r="BS57" s="73"/>
      <c r="BT57" s="62"/>
      <c r="BU57" s="62"/>
      <c r="BV57" s="63"/>
      <c r="BW57" s="64" t="b">
        <v>0</v>
      </c>
      <c r="BX57" s="65"/>
      <c r="BY57" s="65"/>
      <c r="BZ57" s="65"/>
      <c r="CA57" s="73"/>
      <c r="CB57" s="75"/>
      <c r="CC57" s="75"/>
      <c r="CD57" s="75"/>
      <c r="CE57" s="76"/>
      <c r="CF57" s="73"/>
      <c r="CG57" s="46"/>
      <c r="CH57" s="46"/>
      <c r="CI57" s="40"/>
      <c r="CJ57" s="41" t="b">
        <v>0</v>
      </c>
      <c r="CK57" s="47"/>
      <c r="CL57" s="47"/>
      <c r="CM57" s="47"/>
      <c r="CN57" s="73"/>
      <c r="CO57" s="46"/>
      <c r="CP57" s="46"/>
      <c r="CQ57" s="40"/>
      <c r="CR57" s="41" t="b">
        <v>0</v>
      </c>
      <c r="CS57" s="47"/>
      <c r="CT57" s="47"/>
      <c r="CU57" s="47"/>
      <c r="CV57" s="73"/>
      <c r="CW57" s="46"/>
      <c r="CX57" s="46"/>
      <c r="CY57" s="40"/>
      <c r="CZ57" s="41" t="b">
        <v>0</v>
      </c>
      <c r="DA57" s="47"/>
      <c r="DB57" s="47"/>
      <c r="DC57" s="47"/>
      <c r="DD57" s="73"/>
      <c r="DE57" s="62"/>
      <c r="DF57" s="62"/>
      <c r="DG57" s="63"/>
      <c r="DH57" s="64" t="b">
        <v>0</v>
      </c>
      <c r="DI57" s="65"/>
      <c r="DJ57" s="65"/>
      <c r="DK57" s="65"/>
      <c r="DL57" s="73"/>
      <c r="DM57" s="75"/>
      <c r="DN57" s="75"/>
      <c r="DO57" s="75"/>
      <c r="DP57" s="76"/>
      <c r="DQ57" s="73"/>
      <c r="DR57" s="46"/>
      <c r="DS57" s="46"/>
      <c r="DT57" s="40"/>
      <c r="DU57" s="41" t="b">
        <v>0</v>
      </c>
      <c r="DV57" s="47"/>
      <c r="DW57" s="47"/>
      <c r="DX57" s="47"/>
      <c r="DY57" s="73"/>
      <c r="DZ57" s="46"/>
      <c r="EA57" s="46"/>
      <c r="EB57" s="40"/>
      <c r="EC57" s="41" t="b">
        <v>0</v>
      </c>
      <c r="ED57" s="47"/>
      <c r="EE57" s="47"/>
      <c r="EF57" s="47"/>
      <c r="EG57" s="73"/>
      <c r="EH57" s="46"/>
      <c r="EI57" s="46"/>
      <c r="EJ57" s="40"/>
      <c r="EK57" s="41" t="b">
        <v>0</v>
      </c>
      <c r="EL57" s="47"/>
      <c r="EM57" s="47"/>
      <c r="EN57" s="47"/>
      <c r="EO57" s="73"/>
      <c r="EP57" s="62"/>
      <c r="EQ57" s="62"/>
      <c r="ER57" s="63"/>
      <c r="ES57" s="64" t="b">
        <v>0</v>
      </c>
      <c r="ET57" s="65"/>
      <c r="EU57" s="65"/>
      <c r="EV57" s="65"/>
      <c r="EW57" s="73"/>
      <c r="EX57" s="75"/>
      <c r="EY57" s="75"/>
      <c r="EZ57" s="75"/>
      <c r="FA57" s="76"/>
      <c r="FB57" s="86"/>
      <c r="FC57" s="57"/>
    </row>
    <row r="58" ht="3.75" customHeight="1">
      <c r="A58" s="12"/>
      <c r="B58" s="95"/>
      <c r="C58" s="96"/>
      <c r="D58" s="96"/>
      <c r="E58" s="96"/>
      <c r="F58" s="96"/>
      <c r="G58" s="96"/>
      <c r="H58" s="96"/>
      <c r="I58" s="96"/>
      <c r="J58" s="97"/>
      <c r="K58" s="98"/>
      <c r="L58" s="98"/>
      <c r="M58" s="98"/>
      <c r="N58" s="98"/>
      <c r="O58" s="98"/>
      <c r="P58" s="98"/>
      <c r="Q58" s="98"/>
      <c r="R58" s="97"/>
      <c r="S58" s="98"/>
      <c r="T58" s="98"/>
      <c r="U58" s="98"/>
      <c r="V58" s="98"/>
      <c r="W58" s="98"/>
      <c r="X58" s="98"/>
      <c r="Y58" s="98"/>
      <c r="Z58" s="97"/>
      <c r="AA58" s="98"/>
      <c r="AB58" s="98"/>
      <c r="AC58" s="98"/>
      <c r="AD58" s="98"/>
      <c r="AE58" s="98"/>
      <c r="AF58" s="98"/>
      <c r="AG58" s="98"/>
      <c r="AH58" s="97"/>
      <c r="AI58" s="98"/>
      <c r="AJ58" s="98"/>
      <c r="AK58" s="98"/>
      <c r="AL58" s="98"/>
      <c r="AM58" s="98"/>
      <c r="AN58" s="98"/>
      <c r="AO58" s="98"/>
      <c r="AP58" s="97"/>
      <c r="AQ58" s="97"/>
      <c r="AR58" s="97"/>
      <c r="AS58" s="97"/>
      <c r="AT58" s="97"/>
      <c r="AU58" s="97"/>
      <c r="AV58" s="98"/>
      <c r="AW58" s="98"/>
      <c r="AX58" s="98"/>
      <c r="AY58" s="98"/>
      <c r="AZ58" s="98"/>
      <c r="BA58" s="98"/>
      <c r="BB58" s="98"/>
      <c r="BC58" s="97"/>
      <c r="BD58" s="98"/>
      <c r="BE58" s="98"/>
      <c r="BF58" s="98"/>
      <c r="BG58" s="98"/>
      <c r="BH58" s="98"/>
      <c r="BI58" s="98"/>
      <c r="BJ58" s="98"/>
      <c r="BK58" s="97"/>
      <c r="BL58" s="98"/>
      <c r="BM58" s="98"/>
      <c r="BN58" s="98"/>
      <c r="BO58" s="98"/>
      <c r="BP58" s="98"/>
      <c r="BQ58" s="98"/>
      <c r="BR58" s="98"/>
      <c r="BS58" s="97"/>
      <c r="BT58" s="98"/>
      <c r="BU58" s="98"/>
      <c r="BV58" s="98"/>
      <c r="BW58" s="98"/>
      <c r="BX58" s="98"/>
      <c r="BY58" s="98"/>
      <c r="BZ58" s="98"/>
      <c r="CA58" s="97"/>
      <c r="CB58" s="97"/>
      <c r="CC58" s="97"/>
      <c r="CD58" s="97"/>
      <c r="CE58" s="97"/>
      <c r="CF58" s="97"/>
      <c r="CG58" s="98"/>
      <c r="CH58" s="98"/>
      <c r="CI58" s="98"/>
      <c r="CJ58" s="98"/>
      <c r="CK58" s="98"/>
      <c r="CL58" s="98"/>
      <c r="CM58" s="98"/>
      <c r="CN58" s="97"/>
      <c r="CO58" s="98"/>
      <c r="CP58" s="98"/>
      <c r="CQ58" s="98"/>
      <c r="CR58" s="98"/>
      <c r="CS58" s="98"/>
      <c r="CT58" s="98"/>
      <c r="CU58" s="98"/>
      <c r="CV58" s="97"/>
      <c r="CW58" s="98"/>
      <c r="CX58" s="98"/>
      <c r="CY58" s="98"/>
      <c r="CZ58" s="98"/>
      <c r="DA58" s="98"/>
      <c r="DB58" s="98"/>
      <c r="DC58" s="98"/>
      <c r="DD58" s="97"/>
      <c r="DE58" s="98"/>
      <c r="DF58" s="98"/>
      <c r="DG58" s="98"/>
      <c r="DH58" s="98"/>
      <c r="DI58" s="98"/>
      <c r="DJ58" s="98"/>
      <c r="DK58" s="98"/>
      <c r="DL58" s="97"/>
      <c r="DM58" s="97"/>
      <c r="DN58" s="97"/>
      <c r="DO58" s="97"/>
      <c r="DP58" s="97"/>
      <c r="DQ58" s="97"/>
      <c r="DR58" s="98"/>
      <c r="DS58" s="98"/>
      <c r="DT58" s="98"/>
      <c r="DU58" s="98"/>
      <c r="DV58" s="98"/>
      <c r="DW58" s="98"/>
      <c r="DX58" s="98"/>
      <c r="DY58" s="97"/>
      <c r="DZ58" s="98"/>
      <c r="EA58" s="98"/>
      <c r="EB58" s="98"/>
      <c r="EC58" s="98"/>
      <c r="ED58" s="98"/>
      <c r="EE58" s="98"/>
      <c r="EF58" s="98"/>
      <c r="EG58" s="97"/>
      <c r="EH58" s="98"/>
      <c r="EI58" s="98"/>
      <c r="EJ58" s="98"/>
      <c r="EK58" s="98"/>
      <c r="EL58" s="98"/>
      <c r="EM58" s="98"/>
      <c r="EN58" s="98"/>
      <c r="EO58" s="97"/>
      <c r="EP58" s="98"/>
      <c r="EQ58" s="98"/>
      <c r="ER58" s="98"/>
      <c r="ES58" s="98"/>
      <c r="ET58" s="98"/>
      <c r="EU58" s="98"/>
      <c r="EV58" s="98"/>
      <c r="EW58" s="97"/>
      <c r="EX58" s="97"/>
      <c r="EY58" s="97"/>
      <c r="EZ58" s="97"/>
      <c r="FA58" s="97"/>
      <c r="FB58" s="98"/>
      <c r="FC58" s="22"/>
    </row>
    <row r="59">
      <c r="A59" s="22"/>
      <c r="B59" s="99"/>
      <c r="C59" s="22"/>
      <c r="D59" s="22"/>
      <c r="E59" s="22"/>
      <c r="F59" s="22"/>
      <c r="G59" s="22"/>
      <c r="H59" s="22"/>
      <c r="I59" s="22"/>
      <c r="J59" s="99"/>
      <c r="K59" s="22"/>
      <c r="L59" s="22"/>
      <c r="M59" s="22"/>
      <c r="N59" s="22"/>
      <c r="O59" s="22"/>
      <c r="P59" s="22"/>
      <c r="Q59" s="22"/>
      <c r="R59" s="99"/>
      <c r="S59" s="22"/>
      <c r="T59" s="22"/>
      <c r="U59" s="22"/>
      <c r="V59" s="22"/>
      <c r="W59" s="22"/>
      <c r="X59" s="22"/>
      <c r="Y59" s="22"/>
      <c r="Z59" s="99"/>
      <c r="AA59" s="22"/>
      <c r="AB59" s="22"/>
      <c r="AC59" s="22"/>
      <c r="AD59" s="22"/>
      <c r="AE59" s="22"/>
      <c r="AF59" s="22"/>
      <c r="AG59" s="22"/>
      <c r="AH59" s="99"/>
      <c r="AI59" s="22"/>
      <c r="AJ59" s="22"/>
      <c r="AK59" s="22"/>
      <c r="AL59" s="22"/>
      <c r="AM59" s="22"/>
      <c r="AN59" s="22"/>
      <c r="AO59" s="22"/>
      <c r="AP59" s="99"/>
      <c r="AQ59" s="99"/>
      <c r="AR59" s="99"/>
      <c r="AS59" s="99"/>
      <c r="AT59" s="99"/>
      <c r="AU59" s="99"/>
      <c r="AV59" s="22"/>
      <c r="AW59" s="22"/>
      <c r="AX59" s="22"/>
      <c r="AY59" s="22"/>
      <c r="AZ59" s="22"/>
      <c r="BA59" s="22"/>
      <c r="BB59" s="22"/>
      <c r="BC59" s="99"/>
      <c r="BD59" s="22"/>
      <c r="BE59" s="22"/>
      <c r="BF59" s="22"/>
      <c r="BG59" s="22"/>
      <c r="BH59" s="22"/>
      <c r="BI59" s="22"/>
      <c r="BJ59" s="22"/>
      <c r="BK59" s="99"/>
      <c r="BL59" s="22"/>
      <c r="BM59" s="22"/>
      <c r="BN59" s="22"/>
      <c r="BO59" s="22"/>
      <c r="BP59" s="22"/>
      <c r="BQ59" s="22"/>
      <c r="BR59" s="22"/>
      <c r="BS59" s="99"/>
      <c r="BT59" s="22"/>
      <c r="BU59" s="22"/>
      <c r="BV59" s="22"/>
      <c r="BW59" s="22"/>
      <c r="BX59" s="22"/>
      <c r="BY59" s="22"/>
      <c r="BZ59" s="22"/>
      <c r="CA59" s="99"/>
      <c r="CB59" s="99"/>
      <c r="CC59" s="99"/>
      <c r="CD59" s="99"/>
      <c r="CE59" s="99"/>
      <c r="CF59" s="99"/>
      <c r="CG59" s="22"/>
      <c r="CH59" s="22"/>
      <c r="CI59" s="22"/>
      <c r="CJ59" s="22"/>
      <c r="CK59" s="22"/>
      <c r="CL59" s="22"/>
      <c r="CM59" s="22"/>
      <c r="CN59" s="99"/>
      <c r="CO59" s="22"/>
      <c r="CP59" s="22"/>
      <c r="CQ59" s="22"/>
      <c r="CR59" s="22"/>
      <c r="CS59" s="22"/>
      <c r="CT59" s="22"/>
      <c r="CU59" s="22"/>
      <c r="CV59" s="99"/>
      <c r="CW59" s="22"/>
      <c r="CX59" s="22"/>
      <c r="CY59" s="22"/>
      <c r="CZ59" s="22"/>
      <c r="DA59" s="22"/>
      <c r="DB59" s="22"/>
      <c r="DC59" s="22"/>
      <c r="DD59" s="99"/>
      <c r="DE59" s="22"/>
      <c r="DF59" s="22"/>
      <c r="DG59" s="22"/>
      <c r="DH59" s="22"/>
      <c r="DI59" s="22"/>
      <c r="DJ59" s="22"/>
      <c r="DK59" s="22"/>
      <c r="DL59" s="99"/>
      <c r="DM59" s="99"/>
      <c r="DN59" s="99"/>
      <c r="DO59" s="99"/>
      <c r="DP59" s="99"/>
      <c r="DQ59" s="99"/>
      <c r="DR59" s="22"/>
      <c r="DS59" s="22"/>
      <c r="DT59" s="22"/>
      <c r="DU59" s="22"/>
      <c r="DV59" s="22"/>
      <c r="DW59" s="22"/>
      <c r="DX59" s="22"/>
      <c r="DY59" s="99"/>
      <c r="DZ59" s="22"/>
      <c r="EA59" s="22"/>
      <c r="EB59" s="22"/>
      <c r="EC59" s="22"/>
      <c r="ED59" s="22"/>
      <c r="EE59" s="22"/>
      <c r="EF59" s="22"/>
      <c r="EG59" s="99"/>
      <c r="EH59" s="22"/>
      <c r="EI59" s="22"/>
      <c r="EJ59" s="22"/>
      <c r="EK59" s="22"/>
      <c r="EL59" s="22"/>
      <c r="EM59" s="22"/>
      <c r="EN59" s="22"/>
      <c r="EO59" s="99"/>
      <c r="EP59" s="22"/>
      <c r="EQ59" s="22"/>
      <c r="ER59" s="22"/>
      <c r="ES59" s="22"/>
      <c r="ET59" s="22"/>
      <c r="EU59" s="22"/>
      <c r="EV59" s="22"/>
      <c r="EW59" s="99"/>
      <c r="EX59" s="99"/>
      <c r="EY59" s="99"/>
      <c r="EZ59" s="99"/>
      <c r="FA59" s="99"/>
      <c r="FB59" s="22"/>
      <c r="FC59" s="22"/>
    </row>
  </sheetData>
  <mergeCells count="148">
    <mergeCell ref="CA4:CA9"/>
    <mergeCell ref="CA13:CA18"/>
    <mergeCell ref="CN4:CN9"/>
    <mergeCell ref="CN13:CN18"/>
    <mergeCell ref="BC4:BC9"/>
    <mergeCell ref="BS4:BS9"/>
    <mergeCell ref="CF4:CF9"/>
    <mergeCell ref="CV4:CV9"/>
    <mergeCell ref="BC13:BC18"/>
    <mergeCell ref="BS13:BS18"/>
    <mergeCell ref="CF13:CF18"/>
    <mergeCell ref="CV13:CV18"/>
    <mergeCell ref="DY4:DY9"/>
    <mergeCell ref="DY13:DY18"/>
    <mergeCell ref="EO4:EO9"/>
    <mergeCell ref="EO13:EO18"/>
    <mergeCell ref="DD4:DD9"/>
    <mergeCell ref="DQ4:DQ9"/>
    <mergeCell ref="EG4:EG9"/>
    <mergeCell ref="EW4:EW9"/>
    <mergeCell ref="DD13:DD18"/>
    <mergeCell ref="DQ13:DQ18"/>
    <mergeCell ref="EG13:EG18"/>
    <mergeCell ref="EW13:EW18"/>
    <mergeCell ref="CW1:DC1"/>
    <mergeCell ref="DE1:DK1"/>
    <mergeCell ref="DM1:DP1"/>
    <mergeCell ref="DR1:DX1"/>
    <mergeCell ref="DZ1:EF1"/>
    <mergeCell ref="EH1:EN1"/>
    <mergeCell ref="EP1:EV1"/>
    <mergeCell ref="EX1:FA1"/>
    <mergeCell ref="AV1:BB1"/>
    <mergeCell ref="BD1:BJ1"/>
    <mergeCell ref="BL1:BR1"/>
    <mergeCell ref="BT1:BZ1"/>
    <mergeCell ref="CB1:CE1"/>
    <mergeCell ref="CG1:CM1"/>
    <mergeCell ref="CO1:CU1"/>
    <mergeCell ref="A1:A2"/>
    <mergeCell ref="C1:I1"/>
    <mergeCell ref="K1:Q1"/>
    <mergeCell ref="S1:Y1"/>
    <mergeCell ref="AA1:AG1"/>
    <mergeCell ref="AI1:AO1"/>
    <mergeCell ref="AQ1:AT1"/>
    <mergeCell ref="J4:J9"/>
    <mergeCell ref="J13:J18"/>
    <mergeCell ref="Z4:Z9"/>
    <mergeCell ref="Z13:Z18"/>
    <mergeCell ref="BK4:BK9"/>
    <mergeCell ref="BK13:BK18"/>
    <mergeCell ref="DL4:DL9"/>
    <mergeCell ref="DL13:DL18"/>
    <mergeCell ref="DY29:DY34"/>
    <mergeCell ref="EG29:EG34"/>
    <mergeCell ref="CA29:CA34"/>
    <mergeCell ref="CF29:CF34"/>
    <mergeCell ref="CN29:CN34"/>
    <mergeCell ref="CV29:CV34"/>
    <mergeCell ref="DD29:DD34"/>
    <mergeCell ref="DL29:DL34"/>
    <mergeCell ref="DQ29:DQ34"/>
    <mergeCell ref="J22:J27"/>
    <mergeCell ref="J48:J53"/>
    <mergeCell ref="Z22:Z27"/>
    <mergeCell ref="Z48:Z53"/>
    <mergeCell ref="B13:B18"/>
    <mergeCell ref="B22:B27"/>
    <mergeCell ref="B29:B34"/>
    <mergeCell ref="B37:B46"/>
    <mergeCell ref="R37:R46"/>
    <mergeCell ref="B48:B53"/>
    <mergeCell ref="R48:R53"/>
    <mergeCell ref="Z29:Z34"/>
    <mergeCell ref="Z37:Z46"/>
    <mergeCell ref="AH48:AH53"/>
    <mergeCell ref="AP48:AP53"/>
    <mergeCell ref="AU48:AU53"/>
    <mergeCell ref="BC48:BC53"/>
    <mergeCell ref="BK48:BK53"/>
    <mergeCell ref="DQ48:DQ53"/>
    <mergeCell ref="DY48:DY53"/>
    <mergeCell ref="EG48:EG53"/>
    <mergeCell ref="EO48:EO53"/>
    <mergeCell ref="EW48:EW53"/>
    <mergeCell ref="BS48:BS53"/>
    <mergeCell ref="CA48:CA53"/>
    <mergeCell ref="CF48:CF53"/>
    <mergeCell ref="CN48:CN53"/>
    <mergeCell ref="CV48:CV53"/>
    <mergeCell ref="DD48:DD53"/>
    <mergeCell ref="DL48:DL53"/>
    <mergeCell ref="DQ37:DQ46"/>
    <mergeCell ref="DY37:DY46"/>
    <mergeCell ref="BS37:BS46"/>
    <mergeCell ref="CA37:CA46"/>
    <mergeCell ref="CF37:CF46"/>
    <mergeCell ref="CN37:CN46"/>
    <mergeCell ref="CV37:CV46"/>
    <mergeCell ref="DD37:DD46"/>
    <mergeCell ref="DL37:DL46"/>
    <mergeCell ref="B4:B9"/>
    <mergeCell ref="R4:R9"/>
    <mergeCell ref="AH4:AH9"/>
    <mergeCell ref="AU4:AU9"/>
    <mergeCell ref="R13:R18"/>
    <mergeCell ref="AH13:AH18"/>
    <mergeCell ref="AU13:AU18"/>
    <mergeCell ref="AP4:AP9"/>
    <mergeCell ref="AP13:AP18"/>
    <mergeCell ref="AP22:AP27"/>
    <mergeCell ref="AU22:AU27"/>
    <mergeCell ref="BC22:BC27"/>
    <mergeCell ref="BK22:BK27"/>
    <mergeCell ref="BS22:BS27"/>
    <mergeCell ref="CA22:CA27"/>
    <mergeCell ref="CF22:CF27"/>
    <mergeCell ref="CN22:CN27"/>
    <mergeCell ref="CV22:CV27"/>
    <mergeCell ref="DD22:DD27"/>
    <mergeCell ref="DL22:DL27"/>
    <mergeCell ref="DQ22:DQ27"/>
    <mergeCell ref="AH22:AH27"/>
    <mergeCell ref="AH29:AH34"/>
    <mergeCell ref="AP29:AP34"/>
    <mergeCell ref="AU29:AU34"/>
    <mergeCell ref="BC29:BC34"/>
    <mergeCell ref="BK29:BK34"/>
    <mergeCell ref="BS29:BS34"/>
    <mergeCell ref="J29:J34"/>
    <mergeCell ref="J37:J46"/>
    <mergeCell ref="R22:R27"/>
    <mergeCell ref="R29:R34"/>
    <mergeCell ref="AH37:AH46"/>
    <mergeCell ref="AP37:AP46"/>
    <mergeCell ref="AU37:AU46"/>
    <mergeCell ref="BC37:BC46"/>
    <mergeCell ref="BK37:BK46"/>
    <mergeCell ref="EW29:EW34"/>
    <mergeCell ref="EW37:EW46"/>
    <mergeCell ref="DY22:DY27"/>
    <mergeCell ref="EG22:EG27"/>
    <mergeCell ref="EO22:EO27"/>
    <mergeCell ref="EW22:EW27"/>
    <mergeCell ref="EO29:EO34"/>
    <mergeCell ref="EG37:EG46"/>
    <mergeCell ref="EO37:EO46"/>
  </mergeCells>
  <dataValidations>
    <dataValidation type="list" allowBlank="1" showInputMessage="1" prompt="Select a progression level from the list for next week." sqref="Q4:Q11 Y4:Y11 AG4:AG11 AO4:AO11 BB4:BB11 BJ4:BJ11 BR4:BR11 BZ4:BZ11 CM4:CM11 CU4:CU11 DC4:DC11 DK4:DK11 DX4:DX11 EF4:EF11 EN4:EN11 EV4:EV11 Q13:Q20 Y13:Y20 AG13:AG20 AO13:AO20 BB13:BB20 BJ13:BJ20 BR13:BR20 BZ13:BZ20 CM13:CM20 CU13:CU20 DC13:DC20 DK13:DK20 DX13:DX20 EF13:EF20 EN13:EN20 EV13:EV20 Q22:Q27 Y22:Y27 AG22:AG27 AO22:AO27 BB22:BB27 BJ22:BJ27 BR22:BR27 BZ22:BZ27 CM22:CM27 CU22:CU27 DC22:DC27 DK22:DK27 DX22:DX27 EF22:EF27 EN22:EN27 EV22:EV27 Q29:Q35 Y29:Y35 AG29:AG35 AO29:AO35 BB29:BB35 BJ29:BJ35 BR29:BR35 BZ29:BZ35 CM29:CM35 CU29:CU35 DC29:DC35 DK29:DK35 DX29:DX35 EF29:EF35 EN29:EN35 EV29:EV35 Q37:Q46 Y37:Y46 AG37:AG46 AO37:AO46 BB37:BB46 BJ37:BJ46 BR37:BR46 BZ37:BZ46 CM37:CM46 CU37:CU46 DC37:DC46 DK37:DK46 DX37:DX46 EF37:EF46 EN37:EN46 EV37:EV46 Q48:Q57 Y48:Y57 AG48:AG57 AO48:AO57 BB48:BB57 BJ48:BJ57 BR48:BR57 BZ48:BZ57 CM48:CM57 CU48:CU57 DC48:DC57 DK48:DK57 DX48:DX57 EF48:EF57 EN48:EN57 EV48:EV57">
      <formula1>"Novice 1,Novice 2,Novice 3,Intermediate 1,Intermediate 2,Advanced 1,Advanced 2"</formula1>
    </dataValidation>
    <dataValidation type="list" allowBlank="1" showInputMessage="1" showErrorMessage="1" prompt="Were you able to complete all sets/reps? &quot;Yes&quot; or &quot;No&quot;" sqref="O4:O11 W4:W11 AE4:AE11 AM4:AM11 AZ4:AZ11 BH4:BH11 BP4:BP11 BX4:BX11 CK4:CK11 CS4:CS11 DA4:DA11 DI4:DI11 DV4:DV11 ED4:ED11 EL4:EL11 ET4:ET11 O13:O20 W13:W20 AE13:AE20 AM13:AM20 AZ13:AZ20 BH13:BH20 BP13:BP20 BX13:BX20 CK13:CK20 CS13:CS20 DA13:DA20 DI13:DI20 DV13:DV20 ED13:ED20 EL13:EL20 ET13:ET20 O22:O27 W22:W27 AE22:AE27 AM22:AM27 AZ22:AZ27 BH22:BH27 BP22:BP27 BX22:BX27 CK22:CK27 CS22:CS27 DA22:DA27 DI22:DI27 DV22:DV27 ED22:ED27 EL22:EL27 ET22:ET27 O29:O35 W29:W35 AE29:AE35 AM29:AM35 AZ29:AZ35 BH29:BH35 BP29:BP35 BX29:BX35 CK29:CK35 CS29:CS35 DA29:DA35 DI29:DI35 DV29:DV35 ED29:ED35 EL29:EL35 ET29:ET35 O37:O46 W37:W46 AE37:AE46 AM37:AM46 AZ37:AZ46 BH37:BH46 BP37:BP46 BX37:BX46 CK37:CK46 CS37:CS46 DA37:DA46 DI37:DI46 DV37:DV46 ED37:ED46 EL37:EL46 ET37:ET46 O48:O57 W48:W57 AE48:AE57 AM48:AM57 AZ48:AZ57 BH48:BH57 BP48:BP57 BX48:BX57 CK48:CK57 CS48:CS57 DA48:DA57 DI48:DI57 DV48:DV57 ED48:ED57 EL48:EL57 ET48:ET57">
      <formula1>"Yes,No"</formula1>
    </dataValidation>
    <dataValidation type="list" allowBlank="1" showInputMessage="1" prompt="This number should represent the smallest increments that you can increase weight for this particular lift." sqref="H4:H11 H13:H20 H22:H27 H29:H35 H37:H46 H48:H57">
      <formula1>"2.5,5,10"</formula1>
    </dataValidation>
    <dataValidation type="list" allowBlank="1" showInputMessage="1" showErrorMessage="1" prompt="Select a progression level from the list." sqref="I4:I11 I13:I20 I22:I27 I29:I35 I37:I46 I48:I57">
      <formula1>"Novice 1,Novice 2,Novice 3,Intermediate 1,Intermediate 2,Advanced 1,Advanced 2"</formula1>
    </dataValidation>
  </dataValidations>
  <drawing r:id="rId1"/>
  <tableParts count="92">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 r:id="rId142"/>
    <tablePart r:id="rId143"/>
    <tablePart r:id="rId144"/>
    <tablePart r:id="rId145"/>
    <tablePart r:id="rId146"/>
    <tablePart r:id="rId147"/>
    <tablePart r:id="rId148"/>
    <tablePart r:id="rId149"/>
    <tablePart r:id="rId150"/>
    <tablePart r:id="rId151"/>
    <tablePart r:id="rId152"/>
    <tablePart r:id="rId153"/>
    <tablePart r:id="rId154"/>
    <tablePart r:id="rId155"/>
    <tablePart r:id="rId156"/>
    <tablePart r:id="rId157"/>
    <tablePart r:id="rId158"/>
    <tablePart r:id="rId159"/>
    <tablePart r:id="rId160"/>
    <tablePart r:id="rId161"/>
    <tablePart r:id="rId162"/>
    <tablePart r:id="rId163"/>
    <tablePart r:id="rId164"/>
    <tablePart r:id="rId165"/>
    <tablePart r:id="rId166"/>
    <tablePart r:id="rId167"/>
    <tablePart r:id="rId168"/>
    <tablePart r:id="rId169"/>
    <tablePart r:id="rId170"/>
    <tablePart r:id="rId171"/>
    <tablePart r:id="rId172"/>
    <tablePart r:id="rId173"/>
    <tablePart r:id="rId174"/>
    <tablePart r:id="rId175"/>
    <tablePart r:id="rId176"/>
    <tablePart r:id="rId177"/>
    <tablePart r:id="rId178"/>
    <tablePart r:id="rId179"/>
    <tablePart r:id="rId180"/>
    <tablePart r:id="rId181"/>
    <tablePart r:id="rId182"/>
    <tablePart r:id="rId183"/>
    <tablePart r:id="rId184"/>
    <tablePart r:id="rId18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3.0"/>
    <col customWidth="1" hidden="1" min="3" max="3" width="17.29"/>
    <col customWidth="1" hidden="1" min="4" max="4" width="11.86"/>
    <col customWidth="1" hidden="1" min="5" max="5" width="11.14"/>
    <col customWidth="1" hidden="1" min="6" max="8" width="13.43"/>
    <col customWidth="1" min="9" max="9" width="8.71"/>
    <col customWidth="1" min="10" max="10" width="10.14"/>
    <col customWidth="1" min="11" max="11" width="14.43"/>
    <col customWidth="1" min="12" max="12" width="10.14"/>
    <col customWidth="1" min="13" max="13" width="8.71"/>
    <col customWidth="1" min="14" max="16" width="11.57"/>
    <col customWidth="1" min="17" max="17" width="8.71"/>
    <col customWidth="1" min="18" max="19" width="17.29"/>
    <col customWidth="1" min="20" max="21" width="8.71"/>
    <col customWidth="1" min="22" max="22" width="4.43"/>
  </cols>
  <sheetData>
    <row r="1" ht="45.0" customHeight="1">
      <c r="A1" s="100" t="s">
        <v>74</v>
      </c>
      <c r="B1" s="101"/>
      <c r="C1" s="102"/>
      <c r="D1" s="102"/>
      <c r="E1" s="102"/>
      <c r="F1" s="102"/>
      <c r="G1" s="102"/>
      <c r="H1" s="103"/>
      <c r="I1" s="104"/>
      <c r="J1" s="105" t="s">
        <v>75</v>
      </c>
      <c r="K1" s="106"/>
      <c r="L1" s="107"/>
      <c r="M1" s="104"/>
      <c r="N1" s="108" t="s">
        <v>76</v>
      </c>
      <c r="O1" s="101"/>
      <c r="P1" s="109"/>
      <c r="Q1" s="110"/>
      <c r="R1" s="111" t="s">
        <v>77</v>
      </c>
      <c r="S1" s="109"/>
      <c r="T1" s="112"/>
      <c r="U1" s="112"/>
      <c r="V1" s="112"/>
    </row>
    <row r="2" ht="30.0" customHeight="1">
      <c r="A2" s="113" t="s">
        <v>78</v>
      </c>
      <c r="B2" s="114" t="s">
        <v>79</v>
      </c>
      <c r="C2" s="115" t="s">
        <v>80</v>
      </c>
      <c r="D2" s="116" t="s">
        <v>81</v>
      </c>
      <c r="E2" s="116" t="s">
        <v>82</v>
      </c>
      <c r="F2" s="117" t="s">
        <v>83</v>
      </c>
      <c r="G2" s="118" t="s">
        <v>84</v>
      </c>
      <c r="H2" s="119"/>
      <c r="I2" s="120"/>
      <c r="J2" s="121" t="s">
        <v>85</v>
      </c>
      <c r="K2" s="122" t="s">
        <v>79</v>
      </c>
      <c r="L2" s="123" t="s">
        <v>86</v>
      </c>
      <c r="M2" s="112"/>
      <c r="N2" s="124" t="s">
        <v>87</v>
      </c>
      <c r="O2" s="125" t="s">
        <v>88</v>
      </c>
      <c r="P2" s="126" t="s">
        <v>89</v>
      </c>
      <c r="Q2" s="112"/>
      <c r="R2" s="127"/>
      <c r="S2" s="127" t="s">
        <v>90</v>
      </c>
      <c r="T2" s="112"/>
      <c r="U2" s="112"/>
      <c r="V2" s="112"/>
    </row>
    <row r="3">
      <c r="A3" s="128">
        <v>45688.0</v>
      </c>
      <c r="B3" s="129">
        <v>81.0</v>
      </c>
      <c r="C3" s="130">
        <v>45284.0</v>
      </c>
      <c r="D3" s="131">
        <f>IFERROR(__xludf.DUMMYFUNCTION("IF(ISNA(VLOOKUP(C3,A3:B$380,2,FALSE)), IFERROR((SORTN(D4:D374,1)),150), VLOOKUP(C3,A3:B$380,2,FALSE))"),81.0)</f>
        <v>81</v>
      </c>
      <c r="E3" s="131">
        <f t="shared" ref="E3:H3" si="1">D3</f>
        <v>81</v>
      </c>
      <c r="F3" s="132">
        <f t="shared" si="1"/>
        <v>81</v>
      </c>
      <c r="G3" s="132">
        <f t="shared" si="1"/>
        <v>81</v>
      </c>
      <c r="H3" s="133">
        <f t="shared" si="1"/>
        <v>81</v>
      </c>
      <c r="I3" s="112"/>
      <c r="J3" s="134" t="s">
        <v>91</v>
      </c>
      <c r="K3" s="135">
        <v>81.0</v>
      </c>
      <c r="L3" s="136" t="s">
        <v>92</v>
      </c>
      <c r="M3" s="112"/>
      <c r="N3" s="137" t="s">
        <v>93</v>
      </c>
      <c r="O3" s="138">
        <v>80.0</v>
      </c>
      <c r="P3" s="139" t="s">
        <v>94</v>
      </c>
      <c r="Q3" s="112"/>
      <c r="R3" s="140" t="s">
        <v>95</v>
      </c>
      <c r="S3" s="141">
        <v>81.0</v>
      </c>
      <c r="T3" s="112"/>
      <c r="U3" s="112"/>
      <c r="V3" s="142" t="s">
        <v>96</v>
      </c>
    </row>
    <row r="4">
      <c r="A4" s="143">
        <v>45336.0</v>
      </c>
      <c r="B4" s="144">
        <v>81.0</v>
      </c>
      <c r="C4" s="145">
        <v>45285.0</v>
      </c>
      <c r="D4" s="146" t="str">
        <f>VLOOKUP(C4,A2:B373,2,FALSE)</f>
        <v>#N/A</v>
      </c>
      <c r="E4" s="146">
        <f t="shared" ref="E4:E380" si="3">IFERROR(D4,E3)</f>
        <v>81</v>
      </c>
      <c r="F4" s="146">
        <f t="shared" ref="F4:H4" si="2">AVERAGE(E3:E4)</f>
        <v>81</v>
      </c>
      <c r="G4" s="146">
        <f t="shared" si="2"/>
        <v>81</v>
      </c>
      <c r="H4" s="146">
        <f t="shared" si="2"/>
        <v>81</v>
      </c>
      <c r="I4" s="120"/>
      <c r="J4" s="147" t="s">
        <v>97</v>
      </c>
      <c r="K4" s="148">
        <v>81.0</v>
      </c>
      <c r="L4" s="149">
        <f>(IFS(S2="Weight/kCal
Imperial", (K4-K3)*3500, S2="Weight/kCal
Metric", (K4-K3)*7717.5)/7)</f>
        <v>0</v>
      </c>
      <c r="M4" s="112"/>
      <c r="N4" s="150" t="s">
        <v>98</v>
      </c>
      <c r="O4" s="151">
        <v>81.0</v>
      </c>
      <c r="P4" s="139" t="s">
        <v>94</v>
      </c>
      <c r="Q4" s="112"/>
      <c r="R4" s="140" t="s">
        <v>99</v>
      </c>
      <c r="S4" s="141">
        <v>153.0</v>
      </c>
      <c r="T4" s="112"/>
      <c r="U4" s="112"/>
      <c r="V4" s="152"/>
    </row>
    <row r="5">
      <c r="A5" s="153" t="s">
        <v>100</v>
      </c>
      <c r="B5" s="154"/>
      <c r="C5" s="130">
        <v>45286.0</v>
      </c>
      <c r="D5" s="131" t="str">
        <f>VLOOKUP(C5,A3:B$380,2,FALSE)</f>
        <v>#N/A</v>
      </c>
      <c r="E5" s="131">
        <f t="shared" si="3"/>
        <v>81</v>
      </c>
      <c r="F5" s="131">
        <f t="shared" ref="F5:H5" si="4">AVERAGE(E3:E5)</f>
        <v>81</v>
      </c>
      <c r="G5" s="131">
        <f t="shared" si="4"/>
        <v>81</v>
      </c>
      <c r="H5" s="131">
        <f t="shared" si="4"/>
        <v>81</v>
      </c>
      <c r="I5" s="120"/>
      <c r="J5" s="155"/>
      <c r="K5" s="156"/>
      <c r="L5" s="149">
        <f>(IFS(S2="Weight/kCal
Imperial", (K5-K4)*3500, S2="Weight/kCal
Metric", (K5-K4)*7717.5)/7)</f>
        <v>-89302.5</v>
      </c>
      <c r="M5" s="112"/>
      <c r="N5" s="137" t="s">
        <v>101</v>
      </c>
      <c r="O5" s="151"/>
      <c r="P5" s="139" t="s">
        <v>94</v>
      </c>
      <c r="Q5" s="112"/>
      <c r="R5" s="140" t="s">
        <v>102</v>
      </c>
      <c r="S5" s="157" t="s">
        <v>103</v>
      </c>
      <c r="T5" s="112"/>
      <c r="U5" s="112"/>
      <c r="V5" s="152"/>
    </row>
    <row r="6">
      <c r="A6" s="158" t="s">
        <v>100</v>
      </c>
      <c r="B6" s="144"/>
      <c r="C6" s="145">
        <v>45287.0</v>
      </c>
      <c r="D6" s="146" t="str">
        <f>VLOOKUP(C6,A3:B$380,2,FALSE)</f>
        <v>#N/A</v>
      </c>
      <c r="E6" s="146">
        <f t="shared" si="3"/>
        <v>81</v>
      </c>
      <c r="F6" s="146">
        <f t="shared" ref="F6:F380" si="6">AVERAGE(E4:E6)</f>
        <v>81</v>
      </c>
      <c r="G6" s="146">
        <f t="shared" ref="G6:H6" si="5">AVERAGE(F3:F6)</f>
        <v>81</v>
      </c>
      <c r="H6" s="146">
        <f t="shared" si="5"/>
        <v>81</v>
      </c>
      <c r="I6" s="120"/>
      <c r="J6" s="155"/>
      <c r="K6" s="159"/>
      <c r="L6" s="149">
        <f>(IFS(S2="Weight/kCal
Imperial", (K6-K5)*3500, S2="Weight/kCal
Metric", (K6-K5)*7717.5)/7)</f>
        <v>0</v>
      </c>
      <c r="M6" s="112"/>
      <c r="N6" s="150" t="s">
        <v>104</v>
      </c>
      <c r="O6" s="151"/>
      <c r="P6" s="139" t="s">
        <v>105</v>
      </c>
      <c r="Q6" s="160"/>
      <c r="R6" s="161" t="s">
        <v>106</v>
      </c>
      <c r="S6" s="162"/>
      <c r="T6" s="112"/>
      <c r="U6" s="112"/>
      <c r="V6" s="152"/>
    </row>
    <row r="7">
      <c r="A7" s="153" t="s">
        <v>100</v>
      </c>
      <c r="B7" s="154"/>
      <c r="C7" s="130">
        <v>45288.0</v>
      </c>
      <c r="D7" s="131" t="str">
        <f>VLOOKUP(C7,A3:B$380,2,FALSE)</f>
        <v>#N/A</v>
      </c>
      <c r="E7" s="131">
        <f t="shared" si="3"/>
        <v>81</v>
      </c>
      <c r="F7" s="131">
        <f t="shared" si="6"/>
        <v>81</v>
      </c>
      <c r="G7" s="131">
        <f t="shared" ref="G7:H7" si="7">AVERAGE(F3:F7)</f>
        <v>81</v>
      </c>
      <c r="H7" s="131">
        <f t="shared" si="7"/>
        <v>81</v>
      </c>
      <c r="I7" s="120"/>
      <c r="J7" s="163"/>
      <c r="K7" s="164"/>
      <c r="L7" s="165">
        <f>(IFS(S2="Weight/kCal
Imperial", (K7-K6)*3500, S2="Weight/kCal
Metric", (K7-K6)*7717.5)/7)</f>
        <v>0</v>
      </c>
      <c r="M7" s="110"/>
      <c r="N7" s="137" t="s">
        <v>107</v>
      </c>
      <c r="O7" s="151"/>
      <c r="P7" s="139" t="s">
        <v>108</v>
      </c>
      <c r="Q7" s="160"/>
      <c r="T7" s="112"/>
      <c r="U7" s="112"/>
      <c r="V7" s="152"/>
    </row>
    <row r="8">
      <c r="A8" s="158" t="s">
        <v>100</v>
      </c>
      <c r="B8" s="144"/>
      <c r="C8" s="145">
        <v>45289.0</v>
      </c>
      <c r="D8" s="146" t="str">
        <f>VLOOKUP(C8,A3:B$380,2,FALSE)</f>
        <v>#N/A</v>
      </c>
      <c r="E8" s="146">
        <f t="shared" si="3"/>
        <v>81</v>
      </c>
      <c r="F8" s="146">
        <f t="shared" si="6"/>
        <v>81</v>
      </c>
      <c r="G8" s="146">
        <f t="shared" ref="G8:H8" si="8">AVERAGE(F3:F8)</f>
        <v>81</v>
      </c>
      <c r="H8" s="146">
        <f t="shared" si="8"/>
        <v>81</v>
      </c>
      <c r="I8" s="120"/>
      <c r="J8" s="155"/>
      <c r="K8" s="159"/>
      <c r="L8" s="149">
        <f>(IFS(S2="Weight/kCal
Imperial", (K8-K7)*3500, S2="Weight/kCal
Metric", (K8-K7)*7717.5)/7)</f>
        <v>0</v>
      </c>
      <c r="M8" s="112"/>
      <c r="N8" s="150" t="s">
        <v>109</v>
      </c>
      <c r="O8" s="151"/>
      <c r="P8" s="139" t="s">
        <v>110</v>
      </c>
      <c r="Q8" s="160"/>
      <c r="R8" s="166"/>
      <c r="S8" s="167" t="s">
        <v>111</v>
      </c>
      <c r="T8" s="112"/>
      <c r="U8" s="112"/>
      <c r="V8" s="152"/>
    </row>
    <row r="9">
      <c r="A9" s="153" t="s">
        <v>100</v>
      </c>
      <c r="B9" s="154"/>
      <c r="C9" s="168">
        <v>45290.0</v>
      </c>
      <c r="D9" s="169" t="str">
        <f>VLOOKUP(C9,A3:B$380,2,FALSE)</f>
        <v>#N/A</v>
      </c>
      <c r="E9" s="169">
        <f t="shared" si="3"/>
        <v>81</v>
      </c>
      <c r="F9" s="169">
        <f t="shared" si="6"/>
        <v>81</v>
      </c>
      <c r="G9" s="169">
        <f t="shared" ref="G9:H9" si="9">((AVERAGE(F3:F9))+(MEDIAN(F3:F9))+E9)/3</f>
        <v>81</v>
      </c>
      <c r="H9" s="169">
        <f t="shared" si="9"/>
        <v>81</v>
      </c>
      <c r="I9" s="120"/>
      <c r="J9" s="155"/>
      <c r="K9" s="156"/>
      <c r="L9" s="149">
        <f>(IFS(S2="Weight/kCal
Imperial", (K9-K8)*3500, S2="Weight/kCal
Metric", (K9-K8)*7717.5)/7)</f>
        <v>0</v>
      </c>
      <c r="M9" s="112"/>
      <c r="N9" s="137" t="s">
        <v>112</v>
      </c>
      <c r="O9" s="151"/>
      <c r="P9" s="139" t="s">
        <v>113</v>
      </c>
      <c r="Q9" s="112"/>
      <c r="R9" s="167" t="s">
        <v>114</v>
      </c>
      <c r="S9" s="170">
        <v>82.0</v>
      </c>
      <c r="T9" s="112"/>
      <c r="U9" s="112"/>
      <c r="V9" s="152"/>
    </row>
    <row r="10">
      <c r="A10" s="158" t="s">
        <v>100</v>
      </c>
      <c r="B10" s="144"/>
      <c r="C10" s="145">
        <v>45291.0</v>
      </c>
      <c r="D10" s="146" t="str">
        <f>VLOOKUP(C10,A3:B$380,2,FALSE)</f>
        <v>#N/A</v>
      </c>
      <c r="E10" s="146">
        <f t="shared" si="3"/>
        <v>81</v>
      </c>
      <c r="F10" s="146">
        <f t="shared" si="6"/>
        <v>81</v>
      </c>
      <c r="G10" s="146">
        <f t="shared" ref="G10:H10" si="10">((AVERAGE(F4:F10))+(MEDIAN(F4:F10))+E10)/3</f>
        <v>81</v>
      </c>
      <c r="H10" s="146">
        <f t="shared" si="10"/>
        <v>81</v>
      </c>
      <c r="I10" s="120"/>
      <c r="J10" s="155"/>
      <c r="K10" s="159"/>
      <c r="L10" s="149">
        <f>(IFS(S2="Weight/kCal
Imperial", (K10-K9)*3500, S2="Weight/kCal
Metric", (K10-K9)*7717.5)/7)</f>
        <v>0</v>
      </c>
      <c r="M10" s="112"/>
      <c r="N10" s="150" t="s">
        <v>115</v>
      </c>
      <c r="O10" s="151"/>
      <c r="P10" s="139" t="s">
        <v>113</v>
      </c>
      <c r="Q10" s="112"/>
      <c r="R10" s="167" t="s">
        <v>116</v>
      </c>
      <c r="S10" s="171">
        <v>79.0</v>
      </c>
      <c r="T10" s="112"/>
      <c r="U10" s="112"/>
      <c r="V10" s="172"/>
    </row>
    <row r="11">
      <c r="A11" s="153" t="s">
        <v>100</v>
      </c>
      <c r="B11" s="154"/>
      <c r="C11" s="130">
        <v>45292.0</v>
      </c>
      <c r="D11" s="131" t="str">
        <f>VLOOKUP(C11,A3:B$380,2,FALSE)</f>
        <v>#N/A</v>
      </c>
      <c r="E11" s="131">
        <f t="shared" si="3"/>
        <v>81</v>
      </c>
      <c r="F11" s="131">
        <f t="shared" si="6"/>
        <v>81</v>
      </c>
      <c r="G11" s="131">
        <f t="shared" ref="G11:H11" si="11">((AVERAGE(F5:F11))+(MEDIAN(F5:F11))+E11)/3</f>
        <v>81</v>
      </c>
      <c r="H11" s="131">
        <f t="shared" si="11"/>
        <v>81</v>
      </c>
      <c r="I11" s="120"/>
      <c r="J11" s="163"/>
      <c r="K11" s="164"/>
      <c r="L11" s="165">
        <f>(IFS(S2="Weight/kCal
Imperial", (K11-K10)*3500, S2="Weight/kCal
Metric", (K11-K10)*7717.5)/7)</f>
        <v>0</v>
      </c>
      <c r="M11" s="112"/>
      <c r="N11" s="137" t="s">
        <v>117</v>
      </c>
      <c r="O11" s="151"/>
      <c r="P11" s="139" t="s">
        <v>94</v>
      </c>
      <c r="Q11" s="112"/>
      <c r="R11" s="167" t="s">
        <v>118</v>
      </c>
      <c r="S11" s="171">
        <v>77.0</v>
      </c>
      <c r="T11" s="112"/>
      <c r="U11" s="112"/>
      <c r="V11" s="112"/>
    </row>
    <row r="12">
      <c r="A12" s="158" t="s">
        <v>100</v>
      </c>
      <c r="B12" s="144"/>
      <c r="C12" s="145">
        <v>45293.0</v>
      </c>
      <c r="D12" s="146" t="str">
        <f>VLOOKUP(C12,A3:B$380,2,FALSE)</f>
        <v>#N/A</v>
      </c>
      <c r="E12" s="146">
        <f t="shared" si="3"/>
        <v>81</v>
      </c>
      <c r="F12" s="146">
        <f t="shared" si="6"/>
        <v>81</v>
      </c>
      <c r="G12" s="146">
        <f t="shared" ref="G12:H12" si="12">((AVERAGE(F6:F12))+(MEDIAN(F6:F12))+E12)/3</f>
        <v>81</v>
      </c>
      <c r="H12" s="146">
        <f t="shared" si="12"/>
        <v>81</v>
      </c>
      <c r="I12" s="120"/>
      <c r="J12" s="155"/>
      <c r="K12" s="159"/>
      <c r="L12" s="149">
        <f>(IFS(S2="Weight/kCal
Imperial", (K12-K11)*3500, S2="Weight/kCal
Metric", (K12-K11)*7717.5)/7)</f>
        <v>0</v>
      </c>
      <c r="M12" s="112"/>
      <c r="N12" s="150" t="s">
        <v>119</v>
      </c>
      <c r="O12" s="151"/>
      <c r="P12" s="139" t="s">
        <v>120</v>
      </c>
      <c r="Q12" s="112"/>
      <c r="R12" s="167" t="s">
        <v>121</v>
      </c>
      <c r="S12" s="171">
        <v>75.0</v>
      </c>
      <c r="T12" s="112"/>
      <c r="U12" s="112"/>
      <c r="V12" s="112"/>
    </row>
    <row r="13">
      <c r="A13" s="153" t="s">
        <v>100</v>
      </c>
      <c r="B13" s="154"/>
      <c r="C13" s="130">
        <v>45294.0</v>
      </c>
      <c r="D13" s="131" t="str">
        <f>VLOOKUP(C13,A3:B$380,2,FALSE)</f>
        <v>#N/A</v>
      </c>
      <c r="E13" s="131">
        <f t="shared" si="3"/>
        <v>81</v>
      </c>
      <c r="F13" s="131">
        <f t="shared" si="6"/>
        <v>81</v>
      </c>
      <c r="G13" s="131">
        <f t="shared" ref="G13:H13" si="13">((AVERAGE(F7:F13))+(MEDIAN(F7:F13))+E13)/3</f>
        <v>81</v>
      </c>
      <c r="H13" s="131">
        <f t="shared" si="13"/>
        <v>81</v>
      </c>
      <c r="I13" s="120"/>
      <c r="J13" s="155"/>
      <c r="K13" s="156"/>
      <c r="L13" s="149">
        <f>(IFS(S2="Weight/kCal
Imperial", (K13-K12)*3500, S2="Weight/kCal
Metric", (K13-K12)*7717.5)/7)</f>
        <v>0</v>
      </c>
      <c r="M13" s="112"/>
      <c r="N13" s="137" t="s">
        <v>122</v>
      </c>
      <c r="O13" s="151"/>
      <c r="P13" s="139" t="s">
        <v>120</v>
      </c>
      <c r="Q13" s="112"/>
      <c r="R13" s="112"/>
      <c r="S13" s="112"/>
      <c r="T13" s="112"/>
      <c r="U13" s="112"/>
      <c r="V13" s="112"/>
    </row>
    <row r="14">
      <c r="A14" s="158" t="s">
        <v>100</v>
      </c>
      <c r="B14" s="144"/>
      <c r="C14" s="145">
        <v>45295.0</v>
      </c>
      <c r="D14" s="146" t="str">
        <f>VLOOKUP(C14,A3:B$380,2,FALSE)</f>
        <v>#N/A</v>
      </c>
      <c r="E14" s="146">
        <f t="shared" si="3"/>
        <v>81</v>
      </c>
      <c r="F14" s="146">
        <f t="shared" si="6"/>
        <v>81</v>
      </c>
      <c r="G14" s="146">
        <f t="shared" ref="G14:H14" si="14">((AVERAGE(F8:F14))+(MEDIAN(F8:F14))+E14)/3</f>
        <v>81</v>
      </c>
      <c r="H14" s="146">
        <f t="shared" si="14"/>
        <v>81</v>
      </c>
      <c r="I14" s="120"/>
      <c r="J14" s="155"/>
      <c r="K14" s="159"/>
      <c r="L14" s="149">
        <f>(IFS(S2="Weight/kCal
Imperial", (K14-K13)*3500, S2="Weight/kCal
Metric", (K14-K13)*7717.5)/7)</f>
        <v>0</v>
      </c>
      <c r="M14" s="112"/>
      <c r="N14" s="150" t="s">
        <v>123</v>
      </c>
      <c r="O14" s="151"/>
      <c r="P14" s="139" t="s">
        <v>120</v>
      </c>
      <c r="Q14" s="112"/>
      <c r="R14" s="112"/>
      <c r="S14" s="112"/>
      <c r="T14" s="112"/>
      <c r="U14" s="112"/>
      <c r="V14" s="112"/>
    </row>
    <row r="15">
      <c r="A15" s="153" t="s">
        <v>100</v>
      </c>
      <c r="B15" s="154"/>
      <c r="C15" s="130">
        <v>45296.0</v>
      </c>
      <c r="D15" s="131" t="str">
        <f>VLOOKUP(C15,A3:B$380,2,FALSE)</f>
        <v>#N/A</v>
      </c>
      <c r="E15" s="131">
        <f t="shared" si="3"/>
        <v>81</v>
      </c>
      <c r="F15" s="131">
        <f t="shared" si="6"/>
        <v>81</v>
      </c>
      <c r="G15" s="131">
        <f t="shared" ref="G15:H15" si="15">((AVERAGE(F9:F15))+(MEDIAN(F9:F15))+E15)/3</f>
        <v>81</v>
      </c>
      <c r="H15" s="131">
        <f t="shared" si="15"/>
        <v>81</v>
      </c>
      <c r="I15" s="120"/>
      <c r="J15" s="155"/>
      <c r="K15" s="156"/>
      <c r="L15" s="149">
        <f>(IFS(S2="Weight/kCal
Imperial", (K15-K14)*3500, S2="Weight/kCal
Metric", (K15-K14)*7717.5)/7)</f>
        <v>0</v>
      </c>
      <c r="M15" s="112"/>
      <c r="N15" s="110"/>
      <c r="O15" s="110"/>
      <c r="P15" s="112"/>
      <c r="Q15" s="112"/>
      <c r="R15" s="112"/>
      <c r="S15" s="112"/>
      <c r="T15" s="112"/>
      <c r="U15" s="112"/>
      <c r="V15" s="112"/>
    </row>
    <row r="16">
      <c r="A16" s="158" t="s">
        <v>100</v>
      </c>
      <c r="B16" s="144"/>
      <c r="C16" s="173">
        <v>45297.0</v>
      </c>
      <c r="D16" s="174" t="str">
        <f>VLOOKUP(C16,A3:B$380,2,FALSE)</f>
        <v>#N/A</v>
      </c>
      <c r="E16" s="174">
        <f t="shared" si="3"/>
        <v>81</v>
      </c>
      <c r="F16" s="174">
        <f t="shared" si="6"/>
        <v>81</v>
      </c>
      <c r="G16" s="174">
        <f t="shared" ref="G16:H16" si="16">((AVERAGE(F10:F16))+(MEDIAN(F10:F16))+E16)/3</f>
        <v>81</v>
      </c>
      <c r="H16" s="174">
        <f t="shared" si="16"/>
        <v>81</v>
      </c>
      <c r="I16" s="120"/>
      <c r="J16" s="163"/>
      <c r="K16" s="175"/>
      <c r="L16" s="165">
        <f>(IFS(S2="Weight/kCal
Imperial", (K16-K15)*3500, S2="Weight/kCal
Metric", (K16-K15)*7717.5)/7)</f>
        <v>0</v>
      </c>
      <c r="M16" s="112"/>
      <c r="N16" s="110"/>
      <c r="O16" s="110"/>
      <c r="P16" s="112"/>
      <c r="Q16" s="112"/>
      <c r="R16" s="112"/>
      <c r="S16" s="112"/>
      <c r="T16" s="112"/>
      <c r="U16" s="112"/>
      <c r="V16" s="112"/>
    </row>
    <row r="17">
      <c r="A17" s="153" t="s">
        <v>100</v>
      </c>
      <c r="B17" s="154"/>
      <c r="C17" s="130">
        <v>45298.0</v>
      </c>
      <c r="D17" s="131" t="str">
        <f>VLOOKUP(C17,A3:B$380,2,FALSE)</f>
        <v>#N/A</v>
      </c>
      <c r="E17" s="131">
        <f t="shared" si="3"/>
        <v>81</v>
      </c>
      <c r="F17" s="131">
        <f t="shared" si="6"/>
        <v>81</v>
      </c>
      <c r="G17" s="131">
        <f t="shared" ref="G17:H17" si="17">((AVERAGE(F11:F17))+(MEDIAN(F11:F17))+E17)/3</f>
        <v>81</v>
      </c>
      <c r="H17" s="131">
        <f t="shared" si="17"/>
        <v>81</v>
      </c>
      <c r="I17" s="120"/>
      <c r="J17" s="155"/>
      <c r="K17" s="156"/>
      <c r="L17" s="149">
        <f>(IFS(S2="Weight/kCal
Imperial", (K17-K16)*3500, S2="Weight/kCal
Metric", (K17-K16)*7717.5)/7)</f>
        <v>0</v>
      </c>
      <c r="M17" s="112"/>
      <c r="N17" s="112"/>
      <c r="O17" s="112"/>
      <c r="P17" s="112"/>
      <c r="Q17" s="112"/>
      <c r="R17" s="112"/>
      <c r="S17" s="112"/>
      <c r="T17" s="112"/>
      <c r="U17" s="112"/>
      <c r="V17" s="112"/>
    </row>
    <row r="18">
      <c r="A18" s="158" t="s">
        <v>100</v>
      </c>
      <c r="B18" s="144"/>
      <c r="C18" s="145">
        <v>45299.0</v>
      </c>
      <c r="D18" s="146" t="str">
        <f>VLOOKUP(C18,A3:B$380,2,FALSE)</f>
        <v>#N/A</v>
      </c>
      <c r="E18" s="146">
        <f t="shared" si="3"/>
        <v>81</v>
      </c>
      <c r="F18" s="146">
        <f t="shared" si="6"/>
        <v>81</v>
      </c>
      <c r="G18" s="146">
        <f t="shared" ref="G18:H18" si="18">((AVERAGE(F12:F18))+(MEDIAN(F12:F18))+E18)/3</f>
        <v>81</v>
      </c>
      <c r="H18" s="146">
        <f t="shared" si="18"/>
        <v>81</v>
      </c>
      <c r="I18" s="120"/>
      <c r="J18" s="155"/>
      <c r="K18" s="159"/>
      <c r="L18" s="149">
        <f>(IFS(S2="Weight/kCal
Imperial", (K18-K17)*3500, S2="Weight/kCal
Metric", (K18-K17)*7717.5)/7)</f>
        <v>0</v>
      </c>
      <c r="M18" s="112"/>
      <c r="N18" s="112"/>
      <c r="O18" s="112"/>
      <c r="P18" s="112"/>
      <c r="Q18" s="112"/>
      <c r="R18" s="112"/>
      <c r="S18" s="112"/>
      <c r="T18" s="112"/>
      <c r="U18" s="112"/>
      <c r="V18" s="112"/>
    </row>
    <row r="19">
      <c r="A19" s="153" t="s">
        <v>100</v>
      </c>
      <c r="B19" s="154"/>
      <c r="C19" s="130">
        <v>45300.0</v>
      </c>
      <c r="D19" s="131" t="str">
        <f>VLOOKUP(C19,A3:B$380,2,FALSE)</f>
        <v>#N/A</v>
      </c>
      <c r="E19" s="131">
        <f t="shared" si="3"/>
        <v>81</v>
      </c>
      <c r="F19" s="131">
        <f t="shared" si="6"/>
        <v>81</v>
      </c>
      <c r="G19" s="131">
        <f t="shared" ref="G19:H19" si="19">((AVERAGE(F13:F19))+(MEDIAN(F13:F19))+E19)/3</f>
        <v>81</v>
      </c>
      <c r="H19" s="131">
        <f t="shared" si="19"/>
        <v>81</v>
      </c>
      <c r="I19" s="176"/>
      <c r="J19" s="155"/>
      <c r="K19" s="156"/>
      <c r="L19" s="149">
        <f>(IFS(S2="Weight/kCal
Imperial", (K19-K18)*3500, S2="Weight/kCal
Metric", (K19-K18)*7717.5)/7)</f>
        <v>0</v>
      </c>
      <c r="M19" s="120"/>
      <c r="N19" s="112"/>
      <c r="O19" s="112"/>
      <c r="P19" s="112"/>
      <c r="Q19" s="112"/>
      <c r="R19" s="112"/>
      <c r="S19" s="112"/>
      <c r="T19" s="112"/>
      <c r="U19" s="112"/>
      <c r="V19" s="112"/>
    </row>
    <row r="20">
      <c r="A20" s="158" t="s">
        <v>100</v>
      </c>
      <c r="B20" s="144"/>
      <c r="C20" s="145">
        <v>45301.0</v>
      </c>
      <c r="D20" s="146" t="str">
        <f>VLOOKUP(C20,A3:B$380,2,FALSE)</f>
        <v>#N/A</v>
      </c>
      <c r="E20" s="146">
        <f t="shared" si="3"/>
        <v>81</v>
      </c>
      <c r="F20" s="146">
        <f t="shared" si="6"/>
        <v>81</v>
      </c>
      <c r="G20" s="146">
        <f t="shared" ref="G20:H20" si="20">((AVERAGE(F14:F20))+(MEDIAN(F14:F20))+E20)/3</f>
        <v>81</v>
      </c>
      <c r="H20" s="146">
        <f t="shared" si="20"/>
        <v>81</v>
      </c>
      <c r="I20" s="120"/>
      <c r="J20" s="163"/>
      <c r="K20" s="175"/>
      <c r="L20" s="165">
        <f>(IFS(S2="Weight/kCal
Imperial", (K20-K19)*3500, S2="Weight/kCal
Metric", (K20-K19)*7717.5)/7)</f>
        <v>0</v>
      </c>
      <c r="M20" s="112"/>
      <c r="N20" s="112"/>
      <c r="O20" s="112"/>
      <c r="P20" s="112"/>
      <c r="Q20" s="112"/>
      <c r="R20" s="112"/>
      <c r="S20" s="112"/>
      <c r="T20" s="112"/>
      <c r="U20" s="112"/>
      <c r="V20" s="112"/>
    </row>
    <row r="21">
      <c r="A21" s="153" t="s">
        <v>100</v>
      </c>
      <c r="B21" s="154"/>
      <c r="C21" s="130">
        <v>45302.0</v>
      </c>
      <c r="D21" s="131" t="str">
        <f>VLOOKUP(C21,A3:B$380,2,FALSE)</f>
        <v>#N/A</v>
      </c>
      <c r="E21" s="131">
        <f t="shared" si="3"/>
        <v>81</v>
      </c>
      <c r="F21" s="131">
        <f t="shared" si="6"/>
        <v>81</v>
      </c>
      <c r="G21" s="131">
        <f t="shared" ref="G21:H21" si="21">((AVERAGE(F15:F21))+(MEDIAN(F15:F21))+E21)/3</f>
        <v>81</v>
      </c>
      <c r="H21" s="131">
        <f t="shared" si="21"/>
        <v>81</v>
      </c>
      <c r="I21" s="120"/>
      <c r="J21" s="155"/>
      <c r="K21" s="156"/>
      <c r="L21" s="149">
        <f>(IFS(S2="Weight/kCal
Imperial", (K21-K20)*3500, S2="Weight/kCal
Metric", (K21-K20)*7717.5)/7)</f>
        <v>0</v>
      </c>
      <c r="M21" s="112"/>
      <c r="N21" s="112"/>
      <c r="O21" s="112"/>
      <c r="P21" s="112"/>
      <c r="Q21" s="112"/>
      <c r="R21" s="112"/>
      <c r="S21" s="112"/>
      <c r="T21" s="112"/>
      <c r="U21" s="112"/>
      <c r="V21" s="112"/>
    </row>
    <row r="22">
      <c r="A22" s="158" t="s">
        <v>100</v>
      </c>
      <c r="B22" s="144"/>
      <c r="C22" s="145">
        <v>45303.0</v>
      </c>
      <c r="D22" s="146" t="str">
        <f>VLOOKUP(C22,A3:B$380,2,FALSE)</f>
        <v>#N/A</v>
      </c>
      <c r="E22" s="146">
        <f t="shared" si="3"/>
        <v>81</v>
      </c>
      <c r="F22" s="146">
        <f t="shared" si="6"/>
        <v>81</v>
      </c>
      <c r="G22" s="146">
        <f t="shared" ref="G22:H22" si="22">((AVERAGE(F16:F22))+(MEDIAN(F16:F22))+E22)/3</f>
        <v>81</v>
      </c>
      <c r="H22" s="146">
        <f t="shared" si="22"/>
        <v>81</v>
      </c>
      <c r="I22" s="120"/>
      <c r="J22" s="155"/>
      <c r="K22" s="159"/>
      <c r="L22" s="149">
        <f>(IFS(S2="Weight/kCal
Imperial", (K22-K21)*3500, S2="Weight/kCal
Metric", (K22-K21)*7717.5)/7)</f>
        <v>0</v>
      </c>
      <c r="M22" s="112"/>
      <c r="N22" s="112"/>
      <c r="O22" s="112"/>
      <c r="P22" s="112"/>
      <c r="Q22" s="112"/>
      <c r="R22" s="112"/>
      <c r="S22" s="112"/>
      <c r="T22" s="112"/>
      <c r="U22" s="112"/>
      <c r="V22" s="112"/>
    </row>
    <row r="23">
      <c r="A23" s="153" t="s">
        <v>100</v>
      </c>
      <c r="B23" s="154"/>
      <c r="C23" s="168">
        <v>45304.0</v>
      </c>
      <c r="D23" s="169" t="str">
        <f>VLOOKUP(C23,A3:B$380,2,FALSE)</f>
        <v>#N/A</v>
      </c>
      <c r="E23" s="169">
        <f t="shared" si="3"/>
        <v>81</v>
      </c>
      <c r="F23" s="169">
        <f t="shared" si="6"/>
        <v>81</v>
      </c>
      <c r="G23" s="169">
        <f t="shared" ref="G23:H23" si="23">((AVERAGE(F17:F23))+(MEDIAN(F17:F23))+E23)/3</f>
        <v>81</v>
      </c>
      <c r="H23" s="169">
        <f t="shared" si="23"/>
        <v>81</v>
      </c>
      <c r="I23" s="120"/>
      <c r="J23" s="155"/>
      <c r="K23" s="156"/>
      <c r="L23" s="149">
        <f>(IFS(S2="Weight/kCal
Imperial", (K23-K22)*3500, S2="Weight/kCal
Metric", (K23-K22)*7717.5)/7)</f>
        <v>0</v>
      </c>
      <c r="M23" s="112"/>
      <c r="N23" s="112"/>
      <c r="O23" s="112"/>
      <c r="P23" s="112"/>
      <c r="Q23" s="112"/>
      <c r="R23" s="112"/>
      <c r="S23" s="112"/>
      <c r="T23" s="112"/>
      <c r="U23" s="112"/>
      <c r="V23" s="112"/>
    </row>
    <row r="24">
      <c r="A24" s="158" t="s">
        <v>100</v>
      </c>
      <c r="B24" s="144"/>
      <c r="C24" s="145">
        <v>45305.0</v>
      </c>
      <c r="D24" s="146" t="str">
        <f>VLOOKUP(C24,A3:B$380,2,FALSE)</f>
        <v>#N/A</v>
      </c>
      <c r="E24" s="146">
        <f t="shared" si="3"/>
        <v>81</v>
      </c>
      <c r="F24" s="146">
        <f t="shared" si="6"/>
        <v>81</v>
      </c>
      <c r="G24" s="146">
        <f t="shared" ref="G24:H24" si="24">((AVERAGE(F18:F24))+(MEDIAN(F18:F24))+E24)/3</f>
        <v>81</v>
      </c>
      <c r="H24" s="146">
        <f t="shared" si="24"/>
        <v>81</v>
      </c>
      <c r="I24" s="120"/>
      <c r="J24" s="163"/>
      <c r="K24" s="175"/>
      <c r="L24" s="165">
        <f>(IFS(S2="Weight/kCal
Imperial", (K24-K23)*3500, S2="Weight/kCal
Metric", (K24-K23)*7717.5)/7)</f>
        <v>0</v>
      </c>
      <c r="M24" s="112"/>
      <c r="N24" s="112"/>
      <c r="O24" s="112"/>
      <c r="P24" s="112"/>
      <c r="Q24" s="112"/>
      <c r="R24" s="112"/>
      <c r="S24" s="112"/>
      <c r="T24" s="112"/>
      <c r="U24" s="112"/>
      <c r="V24" s="112"/>
    </row>
    <row r="25">
      <c r="A25" s="153" t="s">
        <v>100</v>
      </c>
      <c r="B25" s="154"/>
      <c r="C25" s="130">
        <v>45306.0</v>
      </c>
      <c r="D25" s="131" t="str">
        <f>VLOOKUP(C25,A3:B$380,2,FALSE)</f>
        <v>#N/A</v>
      </c>
      <c r="E25" s="131">
        <f t="shared" si="3"/>
        <v>81</v>
      </c>
      <c r="F25" s="131">
        <f t="shared" si="6"/>
        <v>81</v>
      </c>
      <c r="G25" s="131">
        <f t="shared" ref="G25:H25" si="25">((AVERAGE(F19:F25))+(MEDIAN(F19:F25))+E25)/3</f>
        <v>81</v>
      </c>
      <c r="H25" s="131">
        <f t="shared" si="25"/>
        <v>81</v>
      </c>
      <c r="I25" s="120"/>
      <c r="J25" s="155"/>
      <c r="K25" s="156"/>
      <c r="L25" s="149">
        <f>(IFS(S2="Weight/kCal
Imperial", (K25-K24)*3500, S2="Weight/kCal
Metric", (K25-K24)*7717.5)/7)</f>
        <v>0</v>
      </c>
      <c r="M25" s="112"/>
      <c r="N25" s="112"/>
      <c r="O25" s="112"/>
      <c r="P25" s="112"/>
      <c r="Q25" s="112"/>
      <c r="R25" s="112"/>
      <c r="S25" s="112"/>
      <c r="T25" s="112"/>
      <c r="U25" s="112"/>
      <c r="V25" s="112"/>
    </row>
    <row r="26">
      <c r="A26" s="158" t="s">
        <v>100</v>
      </c>
      <c r="B26" s="144"/>
      <c r="C26" s="145">
        <v>45307.0</v>
      </c>
      <c r="D26" s="146" t="str">
        <f>VLOOKUP(C26,A3:B$380,2,FALSE)</f>
        <v>#N/A</v>
      </c>
      <c r="E26" s="146">
        <f t="shared" si="3"/>
        <v>81</v>
      </c>
      <c r="F26" s="146">
        <f t="shared" si="6"/>
        <v>81</v>
      </c>
      <c r="G26" s="146">
        <f t="shared" ref="G26:H26" si="26">((AVERAGE(F20:F26))+(MEDIAN(F20:F26))+E26)/3</f>
        <v>81</v>
      </c>
      <c r="H26" s="146">
        <f t="shared" si="26"/>
        <v>81</v>
      </c>
      <c r="I26" s="120"/>
      <c r="J26" s="155"/>
      <c r="K26" s="159"/>
      <c r="L26" s="149">
        <f>(IFS(S2="Weight/kCal
Imperial", (K26-K25)*3500, S2="Weight/kCal
Metric", (K26-K25)*7717.5)/7)</f>
        <v>0</v>
      </c>
      <c r="M26" s="112"/>
      <c r="N26" s="112"/>
      <c r="O26" s="112"/>
      <c r="P26" s="112"/>
      <c r="Q26" s="112"/>
      <c r="R26" s="112"/>
      <c r="S26" s="112"/>
      <c r="T26" s="112"/>
      <c r="U26" s="112"/>
      <c r="V26" s="112"/>
    </row>
    <row r="27">
      <c r="A27" s="153" t="s">
        <v>100</v>
      </c>
      <c r="B27" s="154"/>
      <c r="C27" s="130">
        <v>45308.0</v>
      </c>
      <c r="D27" s="131" t="str">
        <f>VLOOKUP(C27,A3:B$380,2,FALSE)</f>
        <v>#N/A</v>
      </c>
      <c r="E27" s="131">
        <f t="shared" si="3"/>
        <v>81</v>
      </c>
      <c r="F27" s="131">
        <f t="shared" si="6"/>
        <v>81</v>
      </c>
      <c r="G27" s="131">
        <f t="shared" ref="G27:H27" si="27">((AVERAGE(F21:F27))+(MEDIAN(F21:F27))+E27)/3</f>
        <v>81</v>
      </c>
      <c r="H27" s="131">
        <f t="shared" si="27"/>
        <v>81</v>
      </c>
      <c r="I27" s="120"/>
      <c r="J27" s="155"/>
      <c r="K27" s="156"/>
      <c r="L27" s="149">
        <f>(IFS(S2="Weight/kCal
Imperial", (K27-K26)*3500, S2="Weight/kCal
Metric", (K27-K26)*7717.5)/7)</f>
        <v>0</v>
      </c>
      <c r="M27" s="112"/>
      <c r="N27" s="112"/>
      <c r="O27" s="112"/>
      <c r="P27" s="112"/>
      <c r="Q27" s="112"/>
      <c r="R27" s="112"/>
      <c r="S27" s="112"/>
      <c r="T27" s="112"/>
      <c r="U27" s="112"/>
      <c r="V27" s="112"/>
    </row>
    <row r="28">
      <c r="A28" s="158" t="s">
        <v>100</v>
      </c>
      <c r="B28" s="144"/>
      <c r="C28" s="145">
        <v>45309.0</v>
      </c>
      <c r="D28" s="146" t="str">
        <f>VLOOKUP(C28,A3:B$380,2,FALSE)</f>
        <v>#N/A</v>
      </c>
      <c r="E28" s="146">
        <f t="shared" si="3"/>
        <v>81</v>
      </c>
      <c r="F28" s="146">
        <f t="shared" si="6"/>
        <v>81</v>
      </c>
      <c r="G28" s="146">
        <f t="shared" ref="G28:H28" si="28">((AVERAGE(F22:F28))+(MEDIAN(F22:F28))+E28)/3</f>
        <v>81</v>
      </c>
      <c r="H28" s="146">
        <f t="shared" si="28"/>
        <v>81</v>
      </c>
      <c r="I28" s="120"/>
      <c r="J28" s="155"/>
      <c r="K28" s="159"/>
      <c r="L28" s="149">
        <f>(IFS(S2="Weight/kCal
Imperial", (K28-K27)*3500, S2="Weight/kCal
Metric", (K28-K27)*7717.5)/7)</f>
        <v>0</v>
      </c>
      <c r="M28" s="112"/>
      <c r="N28" s="112"/>
      <c r="O28" s="112"/>
      <c r="P28" s="112"/>
      <c r="Q28" s="112"/>
      <c r="R28" s="112"/>
      <c r="S28" s="112"/>
      <c r="T28" s="112"/>
      <c r="U28" s="112"/>
      <c r="V28" s="112"/>
    </row>
    <row r="29">
      <c r="A29" s="153" t="s">
        <v>100</v>
      </c>
      <c r="B29" s="154"/>
      <c r="C29" s="130">
        <v>45310.0</v>
      </c>
      <c r="D29" s="131" t="str">
        <f>VLOOKUP(C29,A3:B$380,2,FALSE)</f>
        <v>#N/A</v>
      </c>
      <c r="E29" s="131">
        <f t="shared" si="3"/>
        <v>81</v>
      </c>
      <c r="F29" s="131">
        <f t="shared" si="6"/>
        <v>81</v>
      </c>
      <c r="G29" s="131">
        <f t="shared" ref="G29:H29" si="29">((AVERAGE(F23:F29))+(MEDIAN(F23:F29))+E29)/3</f>
        <v>81</v>
      </c>
      <c r="H29" s="131">
        <f t="shared" si="29"/>
        <v>81</v>
      </c>
      <c r="I29" s="120"/>
      <c r="J29" s="163"/>
      <c r="K29" s="164"/>
      <c r="L29" s="165">
        <f>(IFS(S2="Weight/kCal
Imperial", (K29-K28)*3500, S2="Weight/kCal
Metric", (K29-K28)*7717.5)/7)</f>
        <v>0</v>
      </c>
      <c r="M29" s="112"/>
      <c r="N29" s="112"/>
      <c r="O29" s="112"/>
      <c r="P29" s="112"/>
      <c r="Q29" s="112"/>
      <c r="R29" s="112"/>
      <c r="S29" s="112"/>
      <c r="T29" s="112"/>
      <c r="U29" s="112"/>
      <c r="V29" s="112"/>
    </row>
    <row r="30">
      <c r="A30" s="158" t="s">
        <v>100</v>
      </c>
      <c r="B30" s="144"/>
      <c r="C30" s="173">
        <v>45311.0</v>
      </c>
      <c r="D30" s="174" t="str">
        <f>VLOOKUP(C30,A3:B$380,2,FALSE)</f>
        <v>#N/A</v>
      </c>
      <c r="E30" s="174">
        <f t="shared" si="3"/>
        <v>81</v>
      </c>
      <c r="F30" s="174">
        <f t="shared" si="6"/>
        <v>81</v>
      </c>
      <c r="G30" s="174">
        <f t="shared" ref="G30:H30" si="30">((AVERAGE(F24:F30))+(MEDIAN(F24:F30))+E30)/3</f>
        <v>81</v>
      </c>
      <c r="H30" s="174">
        <f t="shared" si="30"/>
        <v>81</v>
      </c>
      <c r="I30" s="120"/>
      <c r="J30" s="155"/>
      <c r="K30" s="159"/>
      <c r="L30" s="149">
        <f>(IFS(S2="Weight/kCal
Imperial", (K30-K29)*3500, S2="Weight/kCal
Metric", (K30-K29)*7717.5)/7)</f>
        <v>0</v>
      </c>
      <c r="M30" s="112"/>
      <c r="N30" s="112"/>
      <c r="O30" s="112"/>
      <c r="P30" s="112"/>
      <c r="Q30" s="112"/>
      <c r="R30" s="112"/>
      <c r="S30" s="112"/>
      <c r="T30" s="112"/>
      <c r="U30" s="112"/>
      <c r="V30" s="112"/>
    </row>
    <row r="31">
      <c r="A31" s="153" t="s">
        <v>100</v>
      </c>
      <c r="B31" s="154"/>
      <c r="C31" s="130">
        <v>45312.0</v>
      </c>
      <c r="D31" s="131" t="str">
        <f>VLOOKUP(C31,A3:B$380,2,FALSE)</f>
        <v>#N/A</v>
      </c>
      <c r="E31" s="131">
        <f t="shared" si="3"/>
        <v>81</v>
      </c>
      <c r="F31" s="131">
        <f t="shared" si="6"/>
        <v>81</v>
      </c>
      <c r="G31" s="131">
        <f t="shared" ref="G31:H31" si="31">((AVERAGE(F25:F31))+(MEDIAN(F25:F31))+E31)/3</f>
        <v>81</v>
      </c>
      <c r="H31" s="131">
        <f t="shared" si="31"/>
        <v>81</v>
      </c>
      <c r="I31" s="120"/>
      <c r="J31" s="155"/>
      <c r="K31" s="156"/>
      <c r="L31" s="149">
        <f>(IFS(S2="Weight/kCal
Imperial", (K31-K30)*3500, S2="Weight/kCal
Metric", (K31-K30)*7717.5)/7)</f>
        <v>0</v>
      </c>
      <c r="M31" s="112"/>
      <c r="N31" s="112"/>
      <c r="O31" s="112"/>
      <c r="P31" s="112"/>
      <c r="Q31" s="112"/>
      <c r="R31" s="112"/>
      <c r="S31" s="112"/>
      <c r="T31" s="112"/>
      <c r="U31" s="112"/>
      <c r="V31" s="112"/>
    </row>
    <row r="32">
      <c r="A32" s="158" t="s">
        <v>100</v>
      </c>
      <c r="B32" s="144"/>
      <c r="C32" s="145">
        <v>45313.0</v>
      </c>
      <c r="D32" s="146" t="str">
        <f>VLOOKUP(C32,A3:B$380,2,FALSE)</f>
        <v>#N/A</v>
      </c>
      <c r="E32" s="146">
        <f t="shared" si="3"/>
        <v>81</v>
      </c>
      <c r="F32" s="146">
        <f t="shared" si="6"/>
        <v>81</v>
      </c>
      <c r="G32" s="146">
        <f t="shared" ref="G32:H32" si="32">((AVERAGE(F26:F32))+(MEDIAN(F26:F32))+E32)/3</f>
        <v>81</v>
      </c>
      <c r="H32" s="146">
        <f t="shared" si="32"/>
        <v>81</v>
      </c>
      <c r="I32" s="120"/>
      <c r="J32" s="155"/>
      <c r="K32" s="159"/>
      <c r="L32" s="149">
        <f>(IFS(S2="Weight/kCal
Imperial", (K32-K31)*3500, S2="Weight/kCal
Metric", (K32-K31)*7717.5)/7)</f>
        <v>0</v>
      </c>
      <c r="M32" s="112"/>
      <c r="N32" s="112"/>
      <c r="O32" s="112"/>
      <c r="P32" s="112"/>
      <c r="Q32" s="112"/>
      <c r="R32" s="112"/>
      <c r="S32" s="112"/>
      <c r="T32" s="112"/>
      <c r="U32" s="112"/>
      <c r="V32" s="112"/>
    </row>
    <row r="33">
      <c r="A33" s="153" t="s">
        <v>100</v>
      </c>
      <c r="B33" s="154"/>
      <c r="C33" s="130">
        <v>45314.0</v>
      </c>
      <c r="D33" s="131" t="str">
        <f>VLOOKUP(C33,A3:B$380,2,FALSE)</f>
        <v>#N/A</v>
      </c>
      <c r="E33" s="131">
        <f t="shared" si="3"/>
        <v>81</v>
      </c>
      <c r="F33" s="131">
        <f t="shared" si="6"/>
        <v>81</v>
      </c>
      <c r="G33" s="131">
        <f t="shared" ref="G33:H33" si="33">((AVERAGE(F27:F33))+(MEDIAN(F27:F33))+E33)/3</f>
        <v>81</v>
      </c>
      <c r="H33" s="131">
        <f t="shared" si="33"/>
        <v>81</v>
      </c>
      <c r="I33" s="120"/>
      <c r="J33" s="163"/>
      <c r="K33" s="164"/>
      <c r="L33" s="165">
        <f>(IFS(S2="Weight/kCal
Imperial", (K33-K32)*3500, S2="Weight/kCal
Metric", (K33-K32)*7717.5)/7)</f>
        <v>0</v>
      </c>
      <c r="M33" s="112"/>
      <c r="N33" s="112"/>
      <c r="O33" s="112"/>
      <c r="P33" s="112"/>
      <c r="Q33" s="112"/>
      <c r="R33" s="112"/>
      <c r="S33" s="112"/>
      <c r="T33" s="112"/>
      <c r="U33" s="112"/>
      <c r="V33" s="112"/>
    </row>
    <row r="34">
      <c r="A34" s="158" t="s">
        <v>100</v>
      </c>
      <c r="B34" s="144"/>
      <c r="C34" s="145">
        <v>45315.0</v>
      </c>
      <c r="D34" s="146" t="str">
        <f>VLOOKUP(C34,A3:B$380,2,FALSE)</f>
        <v>#N/A</v>
      </c>
      <c r="E34" s="146">
        <f t="shared" si="3"/>
        <v>81</v>
      </c>
      <c r="F34" s="146">
        <f t="shared" si="6"/>
        <v>81</v>
      </c>
      <c r="G34" s="146">
        <f t="shared" ref="G34:H34" si="34">((AVERAGE(F28:F34))+(MEDIAN(F28:F34))+E34)/3</f>
        <v>81</v>
      </c>
      <c r="H34" s="146">
        <f t="shared" si="34"/>
        <v>81</v>
      </c>
      <c r="I34" s="120"/>
      <c r="J34" s="155"/>
      <c r="K34" s="159"/>
      <c r="L34" s="149">
        <f>(IFS(S2="Weight/kCal
Imperial", (K34-K33)*3500, S2="Weight/kCal
Metric", (K34-K33)*7717.5)/7)</f>
        <v>0</v>
      </c>
      <c r="M34" s="112"/>
      <c r="N34" s="112"/>
      <c r="O34" s="112"/>
      <c r="P34" s="112"/>
      <c r="Q34" s="112"/>
      <c r="R34" s="112"/>
      <c r="S34" s="112"/>
      <c r="T34" s="112"/>
      <c r="U34" s="112"/>
      <c r="V34" s="112"/>
    </row>
    <row r="35">
      <c r="A35" s="153" t="s">
        <v>100</v>
      </c>
      <c r="B35" s="154"/>
      <c r="C35" s="130">
        <v>45316.0</v>
      </c>
      <c r="D35" s="131" t="str">
        <f>VLOOKUP(C35,A3:B$380,2,FALSE)</f>
        <v>#N/A</v>
      </c>
      <c r="E35" s="131">
        <f t="shared" si="3"/>
        <v>81</v>
      </c>
      <c r="F35" s="131">
        <f t="shared" si="6"/>
        <v>81</v>
      </c>
      <c r="G35" s="131">
        <f t="shared" ref="G35:H35" si="35">((AVERAGE(F29:F35))+(MEDIAN(F29:F35))+E35)/3</f>
        <v>81</v>
      </c>
      <c r="H35" s="131">
        <f t="shared" si="35"/>
        <v>81</v>
      </c>
      <c r="I35" s="120"/>
      <c r="J35" s="155"/>
      <c r="K35" s="156"/>
      <c r="L35" s="149">
        <f>(IFS(S2="Weight/kCal
Imperial", (K35-K34)*3500, S2="Weight/kCal
Metric", (K35-K34)*7717.5)/7)</f>
        <v>0</v>
      </c>
      <c r="M35" s="112"/>
      <c r="N35" s="112"/>
      <c r="O35" s="112"/>
      <c r="P35" s="112"/>
      <c r="Q35" s="112"/>
      <c r="R35" s="112"/>
      <c r="S35" s="112"/>
      <c r="T35" s="112"/>
      <c r="U35" s="112"/>
      <c r="V35" s="112"/>
    </row>
    <row r="36">
      <c r="A36" s="158" t="s">
        <v>100</v>
      </c>
      <c r="B36" s="144"/>
      <c r="C36" s="145">
        <v>45317.0</v>
      </c>
      <c r="D36" s="146" t="str">
        <f>VLOOKUP(C36,A3:B$380,2,FALSE)</f>
        <v>#N/A</v>
      </c>
      <c r="E36" s="146">
        <f t="shared" si="3"/>
        <v>81</v>
      </c>
      <c r="F36" s="146">
        <f t="shared" si="6"/>
        <v>81</v>
      </c>
      <c r="G36" s="146">
        <f t="shared" ref="G36:H36" si="36">((AVERAGE(F30:F36))+(MEDIAN(F30:F36))+E36)/3</f>
        <v>81</v>
      </c>
      <c r="H36" s="146">
        <f t="shared" si="36"/>
        <v>81</v>
      </c>
      <c r="I36" s="120"/>
      <c r="J36" s="155"/>
      <c r="K36" s="159"/>
      <c r="L36" s="149">
        <f>(IFS(S2="Weight/kCal
Imperial", (K36-K35)*3500, S2="Weight/kCal
Metric", (K36-K35)*7717.5)/7)</f>
        <v>0</v>
      </c>
      <c r="M36" s="112"/>
      <c r="N36" s="112"/>
      <c r="O36" s="112"/>
      <c r="P36" s="112"/>
      <c r="Q36" s="112"/>
      <c r="R36" s="112"/>
      <c r="S36" s="112"/>
      <c r="T36" s="112"/>
      <c r="U36" s="112"/>
      <c r="V36" s="112"/>
    </row>
    <row r="37">
      <c r="A37" s="153" t="s">
        <v>100</v>
      </c>
      <c r="B37" s="154"/>
      <c r="C37" s="168">
        <v>45318.0</v>
      </c>
      <c r="D37" s="169" t="str">
        <f>VLOOKUP(C37,A3:B$380,2,FALSE)</f>
        <v>#N/A</v>
      </c>
      <c r="E37" s="169">
        <f t="shared" si="3"/>
        <v>81</v>
      </c>
      <c r="F37" s="169">
        <f t="shared" si="6"/>
        <v>81</v>
      </c>
      <c r="G37" s="169">
        <f t="shared" ref="G37:H37" si="37">((AVERAGE(F31:F37))+(MEDIAN(F31:F37))+E37)/3</f>
        <v>81</v>
      </c>
      <c r="H37" s="169">
        <f t="shared" si="37"/>
        <v>81</v>
      </c>
      <c r="I37" s="120"/>
      <c r="J37" s="155"/>
      <c r="K37" s="156"/>
      <c r="L37" s="149">
        <f>(IFS(S2="Weight/kCal
Imperial", (K37-K36)*3500, S2="Weight/kCal
Metric", (K37-K36)*7717.5)/7)</f>
        <v>0</v>
      </c>
      <c r="M37" s="112"/>
      <c r="N37" s="112"/>
      <c r="O37" s="112"/>
      <c r="P37" s="112"/>
      <c r="Q37" s="112"/>
      <c r="R37" s="112"/>
      <c r="S37" s="112"/>
      <c r="T37" s="112"/>
      <c r="U37" s="112"/>
      <c r="V37" s="112"/>
    </row>
    <row r="38">
      <c r="A38" s="158" t="s">
        <v>100</v>
      </c>
      <c r="B38" s="144"/>
      <c r="C38" s="145">
        <v>45319.0</v>
      </c>
      <c r="D38" s="146" t="str">
        <f>VLOOKUP(C38,A3:B$380,2,FALSE)</f>
        <v>#N/A</v>
      </c>
      <c r="E38" s="146">
        <f t="shared" si="3"/>
        <v>81</v>
      </c>
      <c r="F38" s="146">
        <f t="shared" si="6"/>
        <v>81</v>
      </c>
      <c r="G38" s="146">
        <f t="shared" ref="G38:H38" si="38">((AVERAGE(F32:F38))+(MEDIAN(F32:F38))+E38)/3</f>
        <v>81</v>
      </c>
      <c r="H38" s="146">
        <f t="shared" si="38"/>
        <v>81</v>
      </c>
      <c r="I38" s="120"/>
      <c r="J38" s="163"/>
      <c r="K38" s="175"/>
      <c r="L38" s="165">
        <f>(IFS(S2="Weight/kCal
Imperial", (K38-K37)*3500, S2="Weight/kCal
Metric", (K38-K37)*7717.5)/7)</f>
        <v>0</v>
      </c>
      <c r="M38" s="112"/>
      <c r="N38" s="112"/>
      <c r="O38" s="112"/>
      <c r="P38" s="112"/>
      <c r="Q38" s="112"/>
      <c r="R38" s="112"/>
      <c r="S38" s="112"/>
      <c r="T38" s="112"/>
      <c r="U38" s="112"/>
      <c r="V38" s="112"/>
    </row>
    <row r="39">
      <c r="A39" s="153" t="s">
        <v>100</v>
      </c>
      <c r="B39" s="154"/>
      <c r="C39" s="130">
        <v>45320.0</v>
      </c>
      <c r="D39" s="131" t="str">
        <f>VLOOKUP(C39,A3:B$380,2,FALSE)</f>
        <v>#N/A</v>
      </c>
      <c r="E39" s="131">
        <f t="shared" si="3"/>
        <v>81</v>
      </c>
      <c r="F39" s="131">
        <f t="shared" si="6"/>
        <v>81</v>
      </c>
      <c r="G39" s="131">
        <f t="shared" ref="G39:H39" si="39">((AVERAGE(F33:F39))+(MEDIAN(F33:F39))+E39)/3</f>
        <v>81</v>
      </c>
      <c r="H39" s="131">
        <f t="shared" si="39"/>
        <v>81</v>
      </c>
      <c r="I39" s="120"/>
      <c r="J39" s="155"/>
      <c r="K39" s="156"/>
      <c r="L39" s="149">
        <f>(IFS(S2="Weight/kCal
Imperial", (K39-K38)*3500, S2="Weight/kCal
Metric", (K39-K38)*7717.5)/7)</f>
        <v>0</v>
      </c>
      <c r="M39" s="112"/>
      <c r="N39" s="112"/>
      <c r="O39" s="112"/>
      <c r="P39" s="112"/>
      <c r="Q39" s="112"/>
      <c r="R39" s="112"/>
      <c r="S39" s="112"/>
      <c r="T39" s="112"/>
      <c r="U39" s="112"/>
      <c r="V39" s="112"/>
    </row>
    <row r="40">
      <c r="A40" s="158" t="s">
        <v>100</v>
      </c>
      <c r="B40" s="144"/>
      <c r="C40" s="145">
        <v>45321.0</v>
      </c>
      <c r="D40" s="146" t="str">
        <f>VLOOKUP(C40,A3:B$380,2,FALSE)</f>
        <v>#N/A</v>
      </c>
      <c r="E40" s="146">
        <f t="shared" si="3"/>
        <v>81</v>
      </c>
      <c r="F40" s="146">
        <f t="shared" si="6"/>
        <v>81</v>
      </c>
      <c r="G40" s="146">
        <f t="shared" ref="G40:H40" si="40">((AVERAGE(F34:F40))+(MEDIAN(F34:F40))+E40)/3</f>
        <v>81</v>
      </c>
      <c r="H40" s="146">
        <f t="shared" si="40"/>
        <v>81</v>
      </c>
      <c r="I40" s="120"/>
      <c r="J40" s="155"/>
      <c r="K40" s="159"/>
      <c r="L40" s="149">
        <f>(IFS(S2="Weight/kCal
Imperial", (K40-K39)*3500, S2="Weight/kCal
Metric", (K40-K39)*7717.5)/7)</f>
        <v>0</v>
      </c>
      <c r="M40" s="112"/>
      <c r="N40" s="112"/>
      <c r="O40" s="112"/>
      <c r="P40" s="112"/>
      <c r="Q40" s="112"/>
      <c r="R40" s="112"/>
      <c r="S40" s="112"/>
      <c r="T40" s="112"/>
      <c r="U40" s="112"/>
      <c r="V40" s="112"/>
    </row>
    <row r="41">
      <c r="A41" s="153" t="s">
        <v>100</v>
      </c>
      <c r="B41" s="154"/>
      <c r="C41" s="130">
        <v>45322.0</v>
      </c>
      <c r="D41" s="131" t="str">
        <f>VLOOKUP(C41,A3:B$380,2,FALSE)</f>
        <v>#N/A</v>
      </c>
      <c r="E41" s="131">
        <f t="shared" si="3"/>
        <v>81</v>
      </c>
      <c r="F41" s="131">
        <f t="shared" si="6"/>
        <v>81</v>
      </c>
      <c r="G41" s="131">
        <f t="shared" ref="G41:H41" si="41">((AVERAGE(F35:F41))+(MEDIAN(F35:F41))+E41)/3</f>
        <v>81</v>
      </c>
      <c r="H41" s="131">
        <f t="shared" si="41"/>
        <v>81</v>
      </c>
      <c r="I41" s="176"/>
      <c r="J41" s="155"/>
      <c r="K41" s="156"/>
      <c r="L41" s="149">
        <f>(IFS(S2="Weight/kCal
Imperial", (K41-K40)*3500, S2="Weight/kCal
Metric", (K41-K40)*7717.5)/7)</f>
        <v>0</v>
      </c>
      <c r="M41" s="120"/>
      <c r="N41" s="112"/>
      <c r="O41" s="112"/>
      <c r="P41" s="112"/>
      <c r="Q41" s="112"/>
      <c r="R41" s="112"/>
      <c r="S41" s="112"/>
      <c r="T41" s="112"/>
      <c r="U41" s="112"/>
      <c r="V41" s="112"/>
    </row>
    <row r="42">
      <c r="A42" s="158" t="s">
        <v>100</v>
      </c>
      <c r="B42" s="144"/>
      <c r="C42" s="145">
        <v>45323.0</v>
      </c>
      <c r="D42" s="146" t="str">
        <f>VLOOKUP(C42,A3:B$380,2,FALSE)</f>
        <v>#N/A</v>
      </c>
      <c r="E42" s="146">
        <f t="shared" si="3"/>
        <v>81</v>
      </c>
      <c r="F42" s="146">
        <f t="shared" si="6"/>
        <v>81</v>
      </c>
      <c r="G42" s="146">
        <f t="shared" ref="G42:H42" si="42">((AVERAGE(F36:F42))+(MEDIAN(F36:F42))+E42)/3</f>
        <v>81</v>
      </c>
      <c r="H42" s="146">
        <f t="shared" si="42"/>
        <v>81</v>
      </c>
      <c r="I42" s="120"/>
      <c r="J42" s="163"/>
      <c r="K42" s="175"/>
      <c r="L42" s="165">
        <f>(IFS(S2="Weight/kCal
Imperial", (K42-K41)*3500, S2="Weight/kCal
Metric", (K42-K41)*7717.5)/7)</f>
        <v>0</v>
      </c>
      <c r="M42" s="112"/>
      <c r="N42" s="112"/>
      <c r="O42" s="112"/>
      <c r="P42" s="112"/>
      <c r="Q42" s="112"/>
      <c r="R42" s="112"/>
      <c r="S42" s="112"/>
      <c r="T42" s="112"/>
      <c r="U42" s="112"/>
      <c r="V42" s="112"/>
    </row>
    <row r="43">
      <c r="A43" s="153" t="s">
        <v>100</v>
      </c>
      <c r="B43" s="154"/>
      <c r="C43" s="130">
        <v>45324.0</v>
      </c>
      <c r="D43" s="131" t="str">
        <f>VLOOKUP(C43,A3:B$380,2,FALSE)</f>
        <v>#N/A</v>
      </c>
      <c r="E43" s="131">
        <f t="shared" si="3"/>
        <v>81</v>
      </c>
      <c r="F43" s="131">
        <f t="shared" si="6"/>
        <v>81</v>
      </c>
      <c r="G43" s="131">
        <f t="shared" ref="G43:H43" si="43">((AVERAGE(F37:F43))+(MEDIAN(F37:F43))+E43)/3</f>
        <v>81</v>
      </c>
      <c r="H43" s="131">
        <f t="shared" si="43"/>
        <v>81</v>
      </c>
      <c r="I43" s="120"/>
      <c r="J43" s="155"/>
      <c r="K43" s="156"/>
      <c r="L43" s="149">
        <f>(IFS(S2="Weight/kCal
Imperial", (K43-K42)*3500, S2="Weight/kCal
Metric", (K43-K42)*7717.5)/7)</f>
        <v>0</v>
      </c>
      <c r="M43" s="112"/>
      <c r="N43" s="112"/>
      <c r="O43" s="112"/>
      <c r="P43" s="112"/>
      <c r="Q43" s="112"/>
      <c r="R43" s="112"/>
      <c r="S43" s="112"/>
      <c r="T43" s="112"/>
      <c r="U43" s="112"/>
      <c r="V43" s="112"/>
    </row>
    <row r="44">
      <c r="A44" s="158" t="s">
        <v>100</v>
      </c>
      <c r="B44" s="144"/>
      <c r="C44" s="173">
        <v>45325.0</v>
      </c>
      <c r="D44" s="174" t="str">
        <f>VLOOKUP(C44,A3:B$380,2,FALSE)</f>
        <v>#N/A</v>
      </c>
      <c r="E44" s="174">
        <f t="shared" si="3"/>
        <v>81</v>
      </c>
      <c r="F44" s="174">
        <f t="shared" si="6"/>
        <v>81</v>
      </c>
      <c r="G44" s="174">
        <f t="shared" ref="G44:H44" si="44">((AVERAGE(F38:F44))+(MEDIAN(F38:F44))+E44)/3</f>
        <v>81</v>
      </c>
      <c r="H44" s="174">
        <f t="shared" si="44"/>
        <v>81</v>
      </c>
      <c r="I44" s="120"/>
      <c r="J44" s="155"/>
      <c r="K44" s="159"/>
      <c r="L44" s="149">
        <f>(IFS(S2="Weight/kCal
Imperial", (K44-K43)*3500, S2="Weight/kCal
Metric", (K44-K43)*7717.5)/7)</f>
        <v>0</v>
      </c>
      <c r="M44" s="112"/>
      <c r="N44" s="112"/>
      <c r="O44" s="112"/>
      <c r="P44" s="112"/>
      <c r="Q44" s="112"/>
      <c r="R44" s="112"/>
      <c r="S44" s="112"/>
      <c r="T44" s="112"/>
      <c r="U44" s="112"/>
      <c r="V44" s="112"/>
    </row>
    <row r="45">
      <c r="A45" s="153" t="s">
        <v>100</v>
      </c>
      <c r="B45" s="154"/>
      <c r="C45" s="130">
        <v>45326.0</v>
      </c>
      <c r="D45" s="131" t="str">
        <f>VLOOKUP(C45,A3:B$380,2,FALSE)</f>
        <v>#N/A</v>
      </c>
      <c r="E45" s="131">
        <f t="shared" si="3"/>
        <v>81</v>
      </c>
      <c r="F45" s="131">
        <f t="shared" si="6"/>
        <v>81</v>
      </c>
      <c r="G45" s="131">
        <f t="shared" ref="G45:H45" si="45">((AVERAGE(F39:F45))+(MEDIAN(F39:F45))+E45)/3</f>
        <v>81</v>
      </c>
      <c r="H45" s="131">
        <f t="shared" si="45"/>
        <v>81</v>
      </c>
      <c r="I45" s="120"/>
      <c r="J45" s="155"/>
      <c r="K45" s="156"/>
      <c r="L45" s="149">
        <f>(IFS(S2="Weight/kCal
Imperial", (K45-K44)*3500, S2="Weight/kCal
Metric", (K45-K44)*7717.5)/7)</f>
        <v>0</v>
      </c>
      <c r="M45" s="112"/>
      <c r="N45" s="112"/>
      <c r="O45" s="112"/>
      <c r="P45" s="112"/>
      <c r="Q45" s="112"/>
      <c r="R45" s="112"/>
      <c r="S45" s="112"/>
      <c r="T45" s="112"/>
      <c r="U45" s="112"/>
      <c r="V45" s="112"/>
    </row>
    <row r="46">
      <c r="A46" s="158" t="s">
        <v>100</v>
      </c>
      <c r="B46" s="144"/>
      <c r="C46" s="145">
        <v>45327.0</v>
      </c>
      <c r="D46" s="146" t="str">
        <f>VLOOKUP(C46,A3:B$380,2,FALSE)</f>
        <v>#N/A</v>
      </c>
      <c r="E46" s="146">
        <f t="shared" si="3"/>
        <v>81</v>
      </c>
      <c r="F46" s="146">
        <f t="shared" si="6"/>
        <v>81</v>
      </c>
      <c r="G46" s="146">
        <f t="shared" ref="G46:H46" si="46">((AVERAGE(F40:F46))+(MEDIAN(F40:F46))+E46)/3</f>
        <v>81</v>
      </c>
      <c r="H46" s="146">
        <f t="shared" si="46"/>
        <v>81</v>
      </c>
      <c r="I46" s="120"/>
      <c r="J46" s="163"/>
      <c r="K46" s="175"/>
      <c r="L46" s="165">
        <f>(IFS(S2="Weight/kCal
Imperial", (K46-K45)*3500, S2="Weight/kCal
Metric", (K46-K45)*7717.5)/7)</f>
        <v>0</v>
      </c>
      <c r="M46" s="112"/>
      <c r="N46" s="112"/>
      <c r="O46" s="112"/>
      <c r="P46" s="112"/>
      <c r="Q46" s="112"/>
      <c r="R46" s="112"/>
      <c r="S46" s="112"/>
      <c r="T46" s="112"/>
      <c r="U46" s="112"/>
      <c r="V46" s="112"/>
    </row>
    <row r="47">
      <c r="A47" s="153" t="s">
        <v>100</v>
      </c>
      <c r="B47" s="154"/>
      <c r="C47" s="130">
        <v>45328.0</v>
      </c>
      <c r="D47" s="131" t="str">
        <f>VLOOKUP(C47,A3:B$380,2,FALSE)</f>
        <v>#N/A</v>
      </c>
      <c r="E47" s="131">
        <f t="shared" si="3"/>
        <v>81</v>
      </c>
      <c r="F47" s="131">
        <f t="shared" si="6"/>
        <v>81</v>
      </c>
      <c r="G47" s="131">
        <f t="shared" ref="G47:H47" si="47">((AVERAGE(F41:F47))+(MEDIAN(F41:F47))+E47)/3</f>
        <v>81</v>
      </c>
      <c r="H47" s="131">
        <f t="shared" si="47"/>
        <v>81</v>
      </c>
      <c r="I47" s="120"/>
      <c r="J47" s="155"/>
      <c r="K47" s="156"/>
      <c r="L47" s="149">
        <f>(IFS(S2="Weight/kCal
Imperial", (K47-K46)*3500, S2="Weight/kCal
Metric", (K47-K46)*7717.5)/7)</f>
        <v>0</v>
      </c>
      <c r="M47" s="112"/>
      <c r="N47" s="112"/>
      <c r="O47" s="112"/>
      <c r="P47" s="112"/>
      <c r="Q47" s="112"/>
      <c r="R47" s="112"/>
      <c r="S47" s="112"/>
      <c r="T47" s="112"/>
      <c r="U47" s="112"/>
      <c r="V47" s="112"/>
    </row>
    <row r="48">
      <c r="A48" s="158" t="s">
        <v>100</v>
      </c>
      <c r="B48" s="144"/>
      <c r="C48" s="145">
        <v>45329.0</v>
      </c>
      <c r="D48" s="146" t="str">
        <f>VLOOKUP(C48,A3:B$380,2,FALSE)</f>
        <v>#N/A</v>
      </c>
      <c r="E48" s="146">
        <f t="shared" si="3"/>
        <v>81</v>
      </c>
      <c r="F48" s="146">
        <f t="shared" si="6"/>
        <v>81</v>
      </c>
      <c r="G48" s="146">
        <f t="shared" ref="G48:H48" si="48">((AVERAGE(F42:F48))+(MEDIAN(F42:F48))+E48)/3</f>
        <v>81</v>
      </c>
      <c r="H48" s="146">
        <f t="shared" si="48"/>
        <v>81</v>
      </c>
      <c r="I48" s="120"/>
      <c r="J48" s="155"/>
      <c r="K48" s="159"/>
      <c r="L48" s="149">
        <f>(IFS(S2="Weight/kCal
Imperial", (K48-K47)*3500, S2="Weight/kCal
Metric", (K48-K47)*7717.5)/7)</f>
        <v>0</v>
      </c>
      <c r="M48" s="112"/>
      <c r="N48" s="112"/>
      <c r="O48" s="112"/>
      <c r="P48" s="112"/>
      <c r="Q48" s="112"/>
      <c r="R48" s="112"/>
      <c r="S48" s="112"/>
      <c r="T48" s="112"/>
      <c r="U48" s="112"/>
      <c r="V48" s="112"/>
    </row>
    <row r="49">
      <c r="A49" s="153" t="s">
        <v>100</v>
      </c>
      <c r="B49" s="154"/>
      <c r="C49" s="130">
        <v>45330.0</v>
      </c>
      <c r="D49" s="131" t="str">
        <f>VLOOKUP(C49,A3:B$380,2,FALSE)</f>
        <v>#N/A</v>
      </c>
      <c r="E49" s="131">
        <f t="shared" si="3"/>
        <v>81</v>
      </c>
      <c r="F49" s="131">
        <f t="shared" si="6"/>
        <v>81</v>
      </c>
      <c r="G49" s="131">
        <f t="shared" ref="G49:H49" si="49">((AVERAGE(F43:F49))+(MEDIAN(F43:F49))+E49)/3</f>
        <v>81</v>
      </c>
      <c r="H49" s="131">
        <f t="shared" si="49"/>
        <v>81</v>
      </c>
      <c r="I49" s="120"/>
      <c r="J49" s="155"/>
      <c r="K49" s="156"/>
      <c r="L49" s="149">
        <f>(IFS(S2="Weight/kCal
Imperial", (K49-K48)*3500, S2="Weight/kCal
Metric", (K49-K48)*7717.5)/7)</f>
        <v>0</v>
      </c>
      <c r="M49" s="112"/>
      <c r="N49" s="112"/>
      <c r="O49" s="112"/>
      <c r="P49" s="112"/>
      <c r="Q49" s="112"/>
      <c r="R49" s="112"/>
      <c r="S49" s="112"/>
      <c r="T49" s="112"/>
      <c r="U49" s="112"/>
      <c r="V49" s="112"/>
    </row>
    <row r="50">
      <c r="A50" s="158" t="s">
        <v>100</v>
      </c>
      <c r="B50" s="144"/>
      <c r="C50" s="145">
        <v>45331.0</v>
      </c>
      <c r="D50" s="146" t="str">
        <f>VLOOKUP(C50,A3:B$380,2,FALSE)</f>
        <v>#N/A</v>
      </c>
      <c r="E50" s="146">
        <f t="shared" si="3"/>
        <v>81</v>
      </c>
      <c r="F50" s="146">
        <f t="shared" si="6"/>
        <v>81</v>
      </c>
      <c r="G50" s="146">
        <f t="shared" ref="G50:H50" si="50">((AVERAGE(F44:F50))+(MEDIAN(F44:F50))+E50)/3</f>
        <v>81</v>
      </c>
      <c r="H50" s="146">
        <f t="shared" si="50"/>
        <v>81</v>
      </c>
      <c r="I50" s="120"/>
      <c r="J50" s="155"/>
      <c r="K50" s="159"/>
      <c r="L50" s="149">
        <f>(IFS(S2="Weight/kCal
Imperial", (K50-K49)*3500, S2="Weight/kCal
Metric", (K50-K49)*7717.5)/7)</f>
        <v>0</v>
      </c>
      <c r="M50" s="112"/>
      <c r="N50" s="112"/>
      <c r="O50" s="112"/>
      <c r="P50" s="112"/>
      <c r="Q50" s="112"/>
      <c r="R50" s="112"/>
      <c r="S50" s="112"/>
      <c r="T50" s="112"/>
      <c r="U50" s="112"/>
      <c r="V50" s="112"/>
    </row>
    <row r="51">
      <c r="A51" s="153" t="s">
        <v>100</v>
      </c>
      <c r="B51" s="154"/>
      <c r="C51" s="168">
        <v>45332.0</v>
      </c>
      <c r="D51" s="169" t="str">
        <f>VLOOKUP(C51,A3:B$380,2,FALSE)</f>
        <v>#N/A</v>
      </c>
      <c r="E51" s="169">
        <f t="shared" si="3"/>
        <v>81</v>
      </c>
      <c r="F51" s="169">
        <f t="shared" si="6"/>
        <v>81</v>
      </c>
      <c r="G51" s="169">
        <f t="shared" ref="G51:H51" si="51">((AVERAGE(F45:F51))+(MEDIAN(F45:F51))+E51)/3</f>
        <v>81</v>
      </c>
      <c r="H51" s="169">
        <f t="shared" si="51"/>
        <v>81</v>
      </c>
      <c r="I51" s="120"/>
      <c r="J51" s="163"/>
      <c r="K51" s="164"/>
      <c r="L51" s="165">
        <f>(IFS(S2="Weight/kCal
Imperial", (K51-K50)*3500, S2="Weight/kCal
Metric", (K51-K50)*7717.5)/7)</f>
        <v>0</v>
      </c>
      <c r="M51" s="112"/>
      <c r="N51" s="112"/>
      <c r="O51" s="112"/>
      <c r="P51" s="112"/>
      <c r="Q51" s="112"/>
      <c r="R51" s="112"/>
      <c r="S51" s="112"/>
      <c r="T51" s="112"/>
      <c r="U51" s="112"/>
      <c r="V51" s="112"/>
    </row>
    <row r="52">
      <c r="A52" s="158" t="s">
        <v>100</v>
      </c>
      <c r="B52" s="144"/>
      <c r="C52" s="145">
        <v>45333.0</v>
      </c>
      <c r="D52" s="146" t="str">
        <f>VLOOKUP(C52,A3:B$380,2,FALSE)</f>
        <v>#N/A</v>
      </c>
      <c r="E52" s="146">
        <f t="shared" si="3"/>
        <v>81</v>
      </c>
      <c r="F52" s="146">
        <f t="shared" si="6"/>
        <v>81</v>
      </c>
      <c r="G52" s="146">
        <f t="shared" ref="G52:H52" si="52">((AVERAGE(F46:F52))+(MEDIAN(F46:F52))+E52)/3</f>
        <v>81</v>
      </c>
      <c r="H52" s="146">
        <f t="shared" si="52"/>
        <v>81</v>
      </c>
      <c r="I52" s="120"/>
      <c r="J52" s="155"/>
      <c r="K52" s="159"/>
      <c r="L52" s="149">
        <f>(IFS(S2="Weight/kCal
Imperial", (K52-K51)*3500, S2="Weight/kCal
Metric", (K52-K51)*7717.5)/7)</f>
        <v>0</v>
      </c>
      <c r="M52" s="112"/>
      <c r="N52" s="112"/>
      <c r="O52" s="112"/>
      <c r="P52" s="112"/>
      <c r="Q52" s="112"/>
      <c r="R52" s="112"/>
      <c r="S52" s="112"/>
      <c r="T52" s="112"/>
      <c r="U52" s="112"/>
      <c r="V52" s="112"/>
    </row>
    <row r="53">
      <c r="A53" s="153" t="s">
        <v>100</v>
      </c>
      <c r="B53" s="154"/>
      <c r="C53" s="130">
        <v>45334.0</v>
      </c>
      <c r="D53" s="131" t="str">
        <f>VLOOKUP(C53,A3:B$380,2,FALSE)</f>
        <v>#N/A</v>
      </c>
      <c r="E53" s="131">
        <f t="shared" si="3"/>
        <v>81</v>
      </c>
      <c r="F53" s="131">
        <f t="shared" si="6"/>
        <v>81</v>
      </c>
      <c r="G53" s="131">
        <f t="shared" ref="G53:H53" si="53">((AVERAGE(F47:F53))+(MEDIAN(F47:F53))+E53)/3</f>
        <v>81</v>
      </c>
      <c r="H53" s="131">
        <f t="shared" si="53"/>
        <v>81</v>
      </c>
      <c r="I53" s="120"/>
      <c r="J53" s="155"/>
      <c r="K53" s="156"/>
      <c r="L53" s="149">
        <f>(IFS(S2="Weight/kCal
Imperial", (K53-K52)*3500, S2="Weight/kCal
Metric", (K53-K52)*7717.5)/7)</f>
        <v>0</v>
      </c>
      <c r="M53" s="112"/>
      <c r="N53" s="112"/>
      <c r="O53" s="112"/>
      <c r="P53" s="112"/>
      <c r="Q53" s="112"/>
      <c r="R53" s="112"/>
      <c r="S53" s="112"/>
      <c r="T53" s="112"/>
      <c r="U53" s="112"/>
      <c r="V53" s="112"/>
    </row>
    <row r="54">
      <c r="A54" s="158" t="s">
        <v>100</v>
      </c>
      <c r="B54" s="144"/>
      <c r="C54" s="145">
        <v>45335.0</v>
      </c>
      <c r="D54" s="146" t="str">
        <f>VLOOKUP(C54,A3:B$380,2,FALSE)</f>
        <v>#N/A</v>
      </c>
      <c r="E54" s="146">
        <f t="shared" si="3"/>
        <v>81</v>
      </c>
      <c r="F54" s="146">
        <f t="shared" si="6"/>
        <v>81</v>
      </c>
      <c r="G54" s="146">
        <f t="shared" ref="G54:H54" si="54">((AVERAGE(F48:F54))+(MEDIAN(F48:F54))+E54)/3</f>
        <v>81</v>
      </c>
      <c r="H54" s="146">
        <f t="shared" si="54"/>
        <v>81</v>
      </c>
      <c r="I54" s="176"/>
      <c r="J54" s="155"/>
      <c r="K54" s="159"/>
      <c r="L54" s="149">
        <f>(IFS(S2="Weight/kCal
Imperial", (K54-K53)*3500, S2="Weight/kCal
Metric", (K54-K53)*7717.5)/7)</f>
        <v>0</v>
      </c>
      <c r="M54" s="120"/>
      <c r="N54" s="112"/>
      <c r="O54" s="112"/>
      <c r="P54" s="112"/>
      <c r="Q54" s="112"/>
      <c r="R54" s="112"/>
      <c r="S54" s="112"/>
      <c r="T54" s="112"/>
      <c r="U54" s="112"/>
      <c r="V54" s="112"/>
    </row>
    <row r="55">
      <c r="A55" s="153" t="s">
        <v>100</v>
      </c>
      <c r="B55" s="154"/>
      <c r="C55" s="130">
        <v>45336.0</v>
      </c>
      <c r="D55" s="131">
        <f>VLOOKUP(C55,A3:B$380,2,FALSE)</f>
        <v>81</v>
      </c>
      <c r="E55" s="131">
        <f t="shared" si="3"/>
        <v>81</v>
      </c>
      <c r="F55" s="131">
        <f t="shared" si="6"/>
        <v>81</v>
      </c>
      <c r="G55" s="131">
        <f t="shared" ref="G55:H55" si="55">((AVERAGE(F49:F55))+(MEDIAN(F49:F55))+E55)/3</f>
        <v>81</v>
      </c>
      <c r="H55" s="131">
        <f t="shared" si="55"/>
        <v>81</v>
      </c>
      <c r="I55" s="120"/>
      <c r="J55" s="163"/>
      <c r="K55" s="164"/>
      <c r="L55" s="165">
        <f>(IFS(S2="Weight/kCal
Imperial", (K55-K54)*3500, S2="Weight/kCal
Metric", (K55-K54)*7717.5)/7)</f>
        <v>0</v>
      </c>
      <c r="M55" s="112"/>
      <c r="N55" s="112"/>
      <c r="O55" s="112"/>
      <c r="P55" s="112"/>
      <c r="Q55" s="112"/>
      <c r="R55" s="112"/>
      <c r="S55" s="112"/>
      <c r="T55" s="112"/>
      <c r="U55" s="112"/>
      <c r="V55" s="112"/>
    </row>
    <row r="56">
      <c r="A56" s="158" t="s">
        <v>100</v>
      </c>
      <c r="B56" s="144"/>
      <c r="C56" s="145">
        <v>45337.0</v>
      </c>
      <c r="D56" s="146" t="str">
        <f>VLOOKUP(C56,A3:B$380,2,FALSE)</f>
        <v>#N/A</v>
      </c>
      <c r="E56" s="146">
        <f t="shared" si="3"/>
        <v>81</v>
      </c>
      <c r="F56" s="146">
        <f t="shared" si="6"/>
        <v>81</v>
      </c>
      <c r="G56" s="146">
        <f t="shared" ref="G56:H56" si="56">((AVERAGE(F50:F56))+(MEDIAN(F50:F56))+E56)/3</f>
        <v>81</v>
      </c>
      <c r="H56" s="146">
        <f t="shared" si="56"/>
        <v>81</v>
      </c>
      <c r="I56" s="120"/>
      <c r="J56" s="155"/>
      <c r="K56" s="156"/>
      <c r="L56" s="149">
        <f>(IFS(S$2="Weight/kCal
Imperial", (K56-K55)*3500, S$2="Weight/kCal
Metric", (K56-K55)*7717.5)/7)</f>
        <v>0</v>
      </c>
      <c r="M56" s="112"/>
      <c r="N56" s="112"/>
      <c r="O56" s="112"/>
      <c r="P56" s="112"/>
      <c r="Q56" s="112"/>
      <c r="R56" s="112"/>
      <c r="S56" s="112"/>
      <c r="T56" s="112"/>
      <c r="U56" s="112"/>
      <c r="V56" s="112"/>
    </row>
    <row r="57">
      <c r="A57" s="153" t="s">
        <v>100</v>
      </c>
      <c r="B57" s="154"/>
      <c r="C57" s="130">
        <v>45338.0</v>
      </c>
      <c r="D57" s="131" t="str">
        <f>VLOOKUP(C57,A3:B$380,2,FALSE)</f>
        <v>#N/A</v>
      </c>
      <c r="E57" s="131">
        <f t="shared" si="3"/>
        <v>81</v>
      </c>
      <c r="F57" s="131">
        <f t="shared" si="6"/>
        <v>81</v>
      </c>
      <c r="G57" s="131">
        <f t="shared" ref="G57:H57" si="57">((AVERAGE(F51:F57))+(MEDIAN(F51:F57))+E57)/3</f>
        <v>81</v>
      </c>
      <c r="H57" s="131">
        <f t="shared" si="57"/>
        <v>81</v>
      </c>
      <c r="I57" s="120"/>
      <c r="J57" s="177"/>
      <c r="K57" s="178"/>
      <c r="L57" s="179"/>
      <c r="M57" s="112"/>
      <c r="N57" s="112"/>
      <c r="O57" s="112"/>
      <c r="P57" s="112"/>
      <c r="Q57" s="112"/>
      <c r="R57" s="112"/>
      <c r="S57" s="112"/>
      <c r="T57" s="112"/>
      <c r="U57" s="112"/>
      <c r="V57" s="112"/>
    </row>
    <row r="58">
      <c r="A58" s="158" t="s">
        <v>100</v>
      </c>
      <c r="B58" s="144"/>
      <c r="C58" s="173">
        <v>45339.0</v>
      </c>
      <c r="D58" s="174" t="str">
        <f>VLOOKUP(C58,A3:B$380,2,FALSE)</f>
        <v>#N/A</v>
      </c>
      <c r="E58" s="174">
        <f t="shared" si="3"/>
        <v>81</v>
      </c>
      <c r="F58" s="174">
        <f t="shared" si="6"/>
        <v>81</v>
      </c>
      <c r="G58" s="174">
        <f t="shared" ref="G58:H58" si="58">((AVERAGE(F52:F58))+(MEDIAN(F52:F58))+E58)/3</f>
        <v>81</v>
      </c>
      <c r="H58" s="174">
        <f t="shared" si="58"/>
        <v>81</v>
      </c>
      <c r="I58" s="120"/>
      <c r="J58" s="180"/>
      <c r="K58" s="181"/>
      <c r="L58" s="182"/>
      <c r="M58" s="112"/>
      <c r="N58" s="112"/>
      <c r="O58" s="112"/>
      <c r="P58" s="112"/>
      <c r="Q58" s="112"/>
      <c r="R58" s="112"/>
      <c r="S58" s="112"/>
      <c r="T58" s="112"/>
      <c r="U58" s="112"/>
      <c r="V58" s="112"/>
    </row>
    <row r="59">
      <c r="A59" s="153" t="s">
        <v>100</v>
      </c>
      <c r="B59" s="154"/>
      <c r="C59" s="130">
        <v>45340.0</v>
      </c>
      <c r="D59" s="131" t="str">
        <f>VLOOKUP(C59,A3:B$380,2,FALSE)</f>
        <v>#N/A</v>
      </c>
      <c r="E59" s="131">
        <f t="shared" si="3"/>
        <v>81</v>
      </c>
      <c r="F59" s="131">
        <f t="shared" si="6"/>
        <v>81</v>
      </c>
      <c r="G59" s="131">
        <f t="shared" ref="G59:H59" si="59">((AVERAGE(F53:F59))+(MEDIAN(F53:F59))+E59)/3</f>
        <v>81</v>
      </c>
      <c r="H59" s="131">
        <f t="shared" si="59"/>
        <v>81</v>
      </c>
      <c r="I59" s="120"/>
      <c r="J59" s="180"/>
      <c r="K59" s="181"/>
      <c r="L59" s="182"/>
      <c r="M59" s="112"/>
      <c r="N59" s="112"/>
      <c r="O59" s="112"/>
      <c r="P59" s="112"/>
      <c r="Q59" s="112"/>
      <c r="R59" s="112"/>
      <c r="S59" s="112"/>
      <c r="T59" s="112"/>
      <c r="U59" s="112"/>
      <c r="V59" s="112"/>
    </row>
    <row r="60">
      <c r="A60" s="158" t="s">
        <v>100</v>
      </c>
      <c r="B60" s="144"/>
      <c r="C60" s="145">
        <v>45341.0</v>
      </c>
      <c r="D60" s="146" t="str">
        <f>VLOOKUP(C60,A3:B$380,2,FALSE)</f>
        <v>#N/A</v>
      </c>
      <c r="E60" s="146">
        <f t="shared" si="3"/>
        <v>81</v>
      </c>
      <c r="F60" s="146">
        <f t="shared" si="6"/>
        <v>81</v>
      </c>
      <c r="G60" s="146">
        <f t="shared" ref="G60:H60" si="60">((AVERAGE(F54:F60))+(MEDIAN(F54:F60))+E60)/3</f>
        <v>81</v>
      </c>
      <c r="H60" s="146">
        <f t="shared" si="60"/>
        <v>81</v>
      </c>
      <c r="I60" s="120"/>
      <c r="J60" s="180"/>
      <c r="K60" s="181"/>
      <c r="L60" s="182"/>
      <c r="M60" s="112"/>
      <c r="N60" s="112"/>
      <c r="O60" s="112"/>
      <c r="P60" s="112"/>
      <c r="Q60" s="112"/>
      <c r="R60" s="112"/>
      <c r="S60" s="112"/>
      <c r="T60" s="112"/>
      <c r="U60" s="112"/>
      <c r="V60" s="112"/>
    </row>
    <row r="61">
      <c r="A61" s="153" t="s">
        <v>100</v>
      </c>
      <c r="B61" s="154"/>
      <c r="C61" s="130">
        <v>45342.0</v>
      </c>
      <c r="D61" s="131" t="str">
        <f>VLOOKUP(C61,A3:B$380,2,FALSE)</f>
        <v>#N/A</v>
      </c>
      <c r="E61" s="131">
        <f t="shared" si="3"/>
        <v>81</v>
      </c>
      <c r="F61" s="131">
        <f t="shared" si="6"/>
        <v>81</v>
      </c>
      <c r="G61" s="131">
        <f t="shared" ref="G61:H61" si="61">((AVERAGE(F55:F61))+(MEDIAN(F55:F61))+E61)/3</f>
        <v>81</v>
      </c>
      <c r="H61" s="131">
        <f t="shared" si="61"/>
        <v>81</v>
      </c>
      <c r="I61" s="120"/>
      <c r="J61" s="180"/>
      <c r="K61" s="181"/>
      <c r="L61" s="182"/>
      <c r="M61" s="112"/>
      <c r="N61" s="112"/>
      <c r="O61" s="112"/>
      <c r="P61" s="112"/>
      <c r="Q61" s="112"/>
      <c r="R61" s="112"/>
      <c r="S61" s="112"/>
      <c r="T61" s="112"/>
      <c r="U61" s="112"/>
      <c r="V61" s="112"/>
    </row>
    <row r="62">
      <c r="A62" s="158" t="s">
        <v>100</v>
      </c>
      <c r="B62" s="144"/>
      <c r="C62" s="145">
        <v>45343.0</v>
      </c>
      <c r="D62" s="146" t="str">
        <f>VLOOKUP(C62,A3:B$380,2,FALSE)</f>
        <v>#N/A</v>
      </c>
      <c r="E62" s="146">
        <f t="shared" si="3"/>
        <v>81</v>
      </c>
      <c r="F62" s="146">
        <f t="shared" si="6"/>
        <v>81</v>
      </c>
      <c r="G62" s="146">
        <f t="shared" ref="G62:H62" si="62">((AVERAGE(F56:F62))+(MEDIAN(F56:F62))+E62)/3</f>
        <v>81</v>
      </c>
      <c r="H62" s="146">
        <f t="shared" si="62"/>
        <v>81</v>
      </c>
      <c r="I62" s="120"/>
      <c r="J62" s="180"/>
      <c r="K62" s="181"/>
      <c r="L62" s="182"/>
      <c r="M62" s="112"/>
      <c r="N62" s="112"/>
      <c r="O62" s="112"/>
      <c r="P62" s="112"/>
      <c r="Q62" s="112"/>
      <c r="R62" s="112"/>
      <c r="S62" s="112"/>
      <c r="T62" s="112"/>
      <c r="U62" s="112"/>
      <c r="V62" s="112"/>
    </row>
    <row r="63">
      <c r="A63" s="153" t="s">
        <v>100</v>
      </c>
      <c r="B63" s="154"/>
      <c r="C63" s="130">
        <v>45344.0</v>
      </c>
      <c r="D63" s="131" t="str">
        <f>VLOOKUP(C63,A3:B$380,2,FALSE)</f>
        <v>#N/A</v>
      </c>
      <c r="E63" s="131">
        <f t="shared" si="3"/>
        <v>81</v>
      </c>
      <c r="F63" s="131">
        <f t="shared" si="6"/>
        <v>81</v>
      </c>
      <c r="G63" s="131">
        <f t="shared" ref="G63:H63" si="63">((AVERAGE(F57:F63))+(MEDIAN(F57:F63))+E63)/3</f>
        <v>81</v>
      </c>
      <c r="H63" s="131">
        <f t="shared" si="63"/>
        <v>81</v>
      </c>
      <c r="I63" s="120"/>
      <c r="J63" s="180"/>
      <c r="K63" s="181"/>
      <c r="L63" s="182"/>
      <c r="M63" s="112"/>
      <c r="N63" s="112"/>
      <c r="O63" s="112"/>
      <c r="P63" s="112"/>
      <c r="Q63" s="112"/>
      <c r="R63" s="112"/>
      <c r="S63" s="112"/>
      <c r="T63" s="112"/>
      <c r="U63" s="112"/>
      <c r="V63" s="112"/>
    </row>
    <row r="64">
      <c r="A64" s="158" t="s">
        <v>100</v>
      </c>
      <c r="B64" s="144"/>
      <c r="C64" s="145">
        <v>45345.0</v>
      </c>
      <c r="D64" s="146" t="str">
        <f>VLOOKUP(C64,A3:B$380,2,FALSE)</f>
        <v>#N/A</v>
      </c>
      <c r="E64" s="146">
        <f t="shared" si="3"/>
        <v>81</v>
      </c>
      <c r="F64" s="146">
        <f t="shared" si="6"/>
        <v>81</v>
      </c>
      <c r="G64" s="146">
        <f t="shared" ref="G64:H64" si="64">((AVERAGE(F58:F64))+(MEDIAN(F58:F64))+E64)/3</f>
        <v>81</v>
      </c>
      <c r="H64" s="146">
        <f t="shared" si="64"/>
        <v>81</v>
      </c>
      <c r="I64" s="120"/>
      <c r="J64" s="180"/>
      <c r="K64" s="181"/>
      <c r="L64" s="182"/>
      <c r="M64" s="112"/>
      <c r="N64" s="112"/>
      <c r="O64" s="112"/>
      <c r="P64" s="112"/>
      <c r="Q64" s="112"/>
      <c r="R64" s="112"/>
      <c r="S64" s="112"/>
      <c r="T64" s="112"/>
      <c r="U64" s="112"/>
      <c r="V64" s="112"/>
    </row>
    <row r="65">
      <c r="A65" s="153" t="s">
        <v>100</v>
      </c>
      <c r="B65" s="154"/>
      <c r="C65" s="168">
        <v>45346.0</v>
      </c>
      <c r="D65" s="169" t="str">
        <f>VLOOKUP(C65,A3:B$380,2,FALSE)</f>
        <v>#N/A</v>
      </c>
      <c r="E65" s="169">
        <f t="shared" si="3"/>
        <v>81</v>
      </c>
      <c r="F65" s="169">
        <f t="shared" si="6"/>
        <v>81</v>
      </c>
      <c r="G65" s="169">
        <f t="shared" ref="G65:H65" si="65">((AVERAGE(F59:F65))+(MEDIAN(F59:F65))+E65)/3</f>
        <v>81</v>
      </c>
      <c r="H65" s="169">
        <f t="shared" si="65"/>
        <v>81</v>
      </c>
      <c r="I65" s="120"/>
      <c r="J65" s="180"/>
      <c r="K65" s="181"/>
      <c r="L65" s="182"/>
      <c r="M65" s="112"/>
      <c r="N65" s="112"/>
      <c r="O65" s="112"/>
      <c r="P65" s="112"/>
      <c r="Q65" s="112"/>
      <c r="R65" s="112"/>
      <c r="S65" s="112"/>
      <c r="T65" s="112"/>
      <c r="U65" s="112"/>
      <c r="V65" s="112"/>
    </row>
    <row r="66">
      <c r="A66" s="158" t="s">
        <v>100</v>
      </c>
      <c r="B66" s="144"/>
      <c r="C66" s="145">
        <v>45347.0</v>
      </c>
      <c r="D66" s="146" t="str">
        <f>VLOOKUP(C66,A3:B$380,2,FALSE)</f>
        <v>#N/A</v>
      </c>
      <c r="E66" s="146">
        <f t="shared" si="3"/>
        <v>81</v>
      </c>
      <c r="F66" s="146">
        <f t="shared" si="6"/>
        <v>81</v>
      </c>
      <c r="G66" s="146">
        <f t="shared" ref="G66:H66" si="66">((AVERAGE(F60:F66))+(MEDIAN(F60:F66))+E66)/3</f>
        <v>81</v>
      </c>
      <c r="H66" s="146">
        <f t="shared" si="66"/>
        <v>81</v>
      </c>
      <c r="I66" s="120"/>
      <c r="J66" s="180"/>
      <c r="K66" s="181"/>
      <c r="L66" s="182"/>
      <c r="M66" s="112"/>
      <c r="N66" s="112"/>
      <c r="O66" s="112"/>
      <c r="P66" s="112"/>
      <c r="Q66" s="112"/>
      <c r="R66" s="112"/>
      <c r="S66" s="112"/>
      <c r="T66" s="112"/>
      <c r="U66" s="112"/>
      <c r="V66" s="112"/>
    </row>
    <row r="67">
      <c r="A67" s="153" t="s">
        <v>100</v>
      </c>
      <c r="B67" s="154"/>
      <c r="C67" s="130">
        <v>45348.0</v>
      </c>
      <c r="D67" s="131" t="str">
        <f>VLOOKUP(C67,A3:B$380,2,FALSE)</f>
        <v>#N/A</v>
      </c>
      <c r="E67" s="131">
        <f t="shared" si="3"/>
        <v>81</v>
      </c>
      <c r="F67" s="131">
        <f t="shared" si="6"/>
        <v>81</v>
      </c>
      <c r="G67" s="131">
        <f t="shared" ref="G67:H67" si="67">((AVERAGE(F61:F67))+(MEDIAN(F61:F67))+E67)/3</f>
        <v>81</v>
      </c>
      <c r="H67" s="131">
        <f t="shared" si="67"/>
        <v>81</v>
      </c>
      <c r="I67" s="120"/>
      <c r="J67" s="180"/>
      <c r="K67" s="181"/>
      <c r="L67" s="182"/>
      <c r="M67" s="112"/>
      <c r="N67" s="112"/>
      <c r="O67" s="112"/>
      <c r="P67" s="112"/>
      <c r="Q67" s="112"/>
      <c r="R67" s="112"/>
      <c r="S67" s="112"/>
      <c r="T67" s="112"/>
      <c r="U67" s="112"/>
      <c r="V67" s="112"/>
    </row>
    <row r="68">
      <c r="A68" s="158" t="s">
        <v>100</v>
      </c>
      <c r="B68" s="144"/>
      <c r="C68" s="145">
        <v>45349.0</v>
      </c>
      <c r="D68" s="146" t="str">
        <f>VLOOKUP(C68,A3:B$380,2,FALSE)</f>
        <v>#N/A</v>
      </c>
      <c r="E68" s="146">
        <f t="shared" si="3"/>
        <v>81</v>
      </c>
      <c r="F68" s="146">
        <f t="shared" si="6"/>
        <v>81</v>
      </c>
      <c r="G68" s="146">
        <f t="shared" ref="G68:H68" si="68">((AVERAGE(F62:F68))+(MEDIAN(F62:F68))+E68)/3</f>
        <v>81</v>
      </c>
      <c r="H68" s="146">
        <f t="shared" si="68"/>
        <v>81</v>
      </c>
      <c r="I68" s="120"/>
      <c r="J68" s="180"/>
      <c r="K68" s="181"/>
      <c r="L68" s="182"/>
      <c r="M68" s="112"/>
      <c r="N68" s="112"/>
      <c r="O68" s="112"/>
      <c r="P68" s="112"/>
      <c r="Q68" s="112"/>
      <c r="R68" s="112"/>
      <c r="S68" s="112"/>
      <c r="T68" s="112"/>
      <c r="U68" s="112"/>
      <c r="V68" s="112"/>
    </row>
    <row r="69">
      <c r="A69" s="153" t="s">
        <v>100</v>
      </c>
      <c r="B69" s="154"/>
      <c r="C69" s="130">
        <v>45350.0</v>
      </c>
      <c r="D69" s="131" t="str">
        <f>VLOOKUP(C69,A3:B$380,2,FALSE)</f>
        <v>#N/A</v>
      </c>
      <c r="E69" s="131">
        <f t="shared" si="3"/>
        <v>81</v>
      </c>
      <c r="F69" s="131">
        <f t="shared" si="6"/>
        <v>81</v>
      </c>
      <c r="G69" s="131">
        <f t="shared" ref="G69:H69" si="69">((AVERAGE(F63:F69))+(MEDIAN(F63:F69))+E69)/3</f>
        <v>81</v>
      </c>
      <c r="H69" s="131">
        <f t="shared" si="69"/>
        <v>81</v>
      </c>
      <c r="I69" s="120"/>
      <c r="J69" s="180"/>
      <c r="K69" s="181"/>
      <c r="L69" s="182"/>
      <c r="M69" s="112"/>
      <c r="N69" s="112"/>
      <c r="O69" s="112"/>
      <c r="P69" s="112"/>
      <c r="Q69" s="112"/>
      <c r="R69" s="112"/>
      <c r="S69" s="112"/>
      <c r="T69" s="112"/>
      <c r="U69" s="112"/>
      <c r="V69" s="112"/>
    </row>
    <row r="70">
      <c r="A70" s="158" t="s">
        <v>100</v>
      </c>
      <c r="B70" s="144"/>
      <c r="C70" s="145">
        <v>45351.0</v>
      </c>
      <c r="D70" s="146" t="str">
        <f>VLOOKUP(C70,A3:B$380,2,FALSE)</f>
        <v>#N/A</v>
      </c>
      <c r="E70" s="146">
        <f t="shared" si="3"/>
        <v>81</v>
      </c>
      <c r="F70" s="146">
        <f t="shared" si="6"/>
        <v>81</v>
      </c>
      <c r="G70" s="146">
        <f t="shared" ref="G70:H70" si="70">((AVERAGE(F64:F70))+(MEDIAN(F64:F70))+E70)/3</f>
        <v>81</v>
      </c>
      <c r="H70" s="146">
        <f t="shared" si="70"/>
        <v>81</v>
      </c>
      <c r="I70" s="120"/>
      <c r="J70" s="180"/>
      <c r="K70" s="181"/>
      <c r="L70" s="182"/>
      <c r="M70" s="112"/>
      <c r="N70" s="112"/>
      <c r="O70" s="112"/>
      <c r="P70" s="112"/>
      <c r="Q70" s="112"/>
      <c r="R70" s="112"/>
      <c r="S70" s="112"/>
      <c r="T70" s="112"/>
      <c r="U70" s="112"/>
      <c r="V70" s="112"/>
    </row>
    <row r="71">
      <c r="A71" s="153" t="s">
        <v>100</v>
      </c>
      <c r="B71" s="154"/>
      <c r="C71" s="130">
        <v>45352.0</v>
      </c>
      <c r="D71" s="131" t="str">
        <f>VLOOKUP(C71,A3:B$380,2,FALSE)</f>
        <v>#N/A</v>
      </c>
      <c r="E71" s="131">
        <f t="shared" si="3"/>
        <v>81</v>
      </c>
      <c r="F71" s="131">
        <f t="shared" si="6"/>
        <v>81</v>
      </c>
      <c r="G71" s="131">
        <f t="shared" ref="G71:H71" si="71">((AVERAGE(F65:F71))+(MEDIAN(F65:F71))+E71)/3</f>
        <v>81</v>
      </c>
      <c r="H71" s="131">
        <f t="shared" si="71"/>
        <v>81</v>
      </c>
      <c r="I71" s="120"/>
      <c r="J71" s="180"/>
      <c r="K71" s="181"/>
      <c r="L71" s="182"/>
      <c r="M71" s="112"/>
      <c r="N71" s="112"/>
      <c r="O71" s="112"/>
      <c r="P71" s="112"/>
      <c r="Q71" s="112"/>
      <c r="R71" s="112"/>
      <c r="S71" s="112"/>
      <c r="T71" s="112"/>
      <c r="U71" s="112"/>
      <c r="V71" s="112"/>
    </row>
    <row r="72">
      <c r="A72" s="158" t="s">
        <v>100</v>
      </c>
      <c r="B72" s="144"/>
      <c r="C72" s="173">
        <v>45353.0</v>
      </c>
      <c r="D72" s="174" t="str">
        <f>VLOOKUP(C72,A3:B$380,2,FALSE)</f>
        <v>#N/A</v>
      </c>
      <c r="E72" s="174">
        <f t="shared" si="3"/>
        <v>81</v>
      </c>
      <c r="F72" s="174">
        <f t="shared" si="6"/>
        <v>81</v>
      </c>
      <c r="G72" s="174">
        <f t="shared" ref="G72:H72" si="72">((AVERAGE(F66:F72))+(MEDIAN(F66:F72))+E72)/3</f>
        <v>81</v>
      </c>
      <c r="H72" s="174">
        <f t="shared" si="72"/>
        <v>81</v>
      </c>
      <c r="I72" s="120"/>
      <c r="J72" s="180"/>
      <c r="K72" s="181"/>
      <c r="L72" s="182"/>
      <c r="M72" s="112"/>
      <c r="N72" s="112"/>
      <c r="O72" s="112"/>
      <c r="P72" s="112"/>
      <c r="Q72" s="112"/>
      <c r="R72" s="112"/>
      <c r="S72" s="112"/>
      <c r="T72" s="112"/>
      <c r="U72" s="112"/>
      <c r="V72" s="112"/>
    </row>
    <row r="73">
      <c r="A73" s="153" t="s">
        <v>100</v>
      </c>
      <c r="B73" s="154"/>
      <c r="C73" s="130">
        <v>45354.0</v>
      </c>
      <c r="D73" s="131" t="str">
        <f>VLOOKUP(C73,A3:B$380,2,FALSE)</f>
        <v>#N/A</v>
      </c>
      <c r="E73" s="131">
        <f t="shared" si="3"/>
        <v>81</v>
      </c>
      <c r="F73" s="131">
        <f t="shared" si="6"/>
        <v>81</v>
      </c>
      <c r="G73" s="131">
        <f t="shared" ref="G73:H73" si="73">((AVERAGE(F67:F73))+(MEDIAN(F67:F73))+E73)/3</f>
        <v>81</v>
      </c>
      <c r="H73" s="131">
        <f t="shared" si="73"/>
        <v>81</v>
      </c>
      <c r="I73" s="120"/>
      <c r="J73" s="180"/>
      <c r="K73" s="181"/>
      <c r="L73" s="182"/>
      <c r="M73" s="112"/>
      <c r="N73" s="112"/>
      <c r="O73" s="112"/>
      <c r="P73" s="112"/>
      <c r="Q73" s="112"/>
      <c r="R73" s="112"/>
      <c r="S73" s="112"/>
      <c r="T73" s="112"/>
      <c r="U73" s="112"/>
      <c r="V73" s="112"/>
    </row>
    <row r="74">
      <c r="A74" s="158" t="s">
        <v>100</v>
      </c>
      <c r="B74" s="144"/>
      <c r="C74" s="145">
        <v>45355.0</v>
      </c>
      <c r="D74" s="146" t="str">
        <f>VLOOKUP(C74,A3:B$380,2,FALSE)</f>
        <v>#N/A</v>
      </c>
      <c r="E74" s="146">
        <f t="shared" si="3"/>
        <v>81</v>
      </c>
      <c r="F74" s="146">
        <f t="shared" si="6"/>
        <v>81</v>
      </c>
      <c r="G74" s="146">
        <f t="shared" ref="G74:H74" si="74">((AVERAGE(F68:F74))+(MEDIAN(F68:F74))+E74)/3</f>
        <v>81</v>
      </c>
      <c r="H74" s="146">
        <f t="shared" si="74"/>
        <v>81</v>
      </c>
      <c r="I74" s="120"/>
      <c r="J74" s="180"/>
      <c r="K74" s="181"/>
      <c r="L74" s="182"/>
      <c r="M74" s="112"/>
      <c r="N74" s="112"/>
      <c r="O74" s="112"/>
      <c r="P74" s="112"/>
      <c r="Q74" s="112"/>
      <c r="R74" s="112"/>
      <c r="S74" s="112"/>
      <c r="T74" s="112"/>
      <c r="U74" s="112"/>
      <c r="V74" s="112"/>
    </row>
    <row r="75">
      <c r="A75" s="153" t="s">
        <v>100</v>
      </c>
      <c r="B75" s="154"/>
      <c r="C75" s="130">
        <v>45356.0</v>
      </c>
      <c r="D75" s="131" t="str">
        <f>VLOOKUP(C75,A3:B$380,2,FALSE)</f>
        <v>#N/A</v>
      </c>
      <c r="E75" s="131">
        <f t="shared" si="3"/>
        <v>81</v>
      </c>
      <c r="F75" s="131">
        <f t="shared" si="6"/>
        <v>81</v>
      </c>
      <c r="G75" s="131">
        <f t="shared" ref="G75:H75" si="75">((AVERAGE(F69:F75))+(MEDIAN(F69:F75))+E75)/3</f>
        <v>81</v>
      </c>
      <c r="H75" s="131">
        <f t="shared" si="75"/>
        <v>81</v>
      </c>
      <c r="I75" s="120"/>
      <c r="J75" s="180"/>
      <c r="K75" s="181"/>
      <c r="L75" s="182"/>
      <c r="M75" s="112"/>
      <c r="N75" s="112"/>
      <c r="O75" s="112"/>
      <c r="P75" s="112"/>
      <c r="Q75" s="112"/>
      <c r="R75" s="112"/>
      <c r="S75" s="112"/>
      <c r="T75" s="112"/>
      <c r="U75" s="112"/>
      <c r="V75" s="112"/>
    </row>
    <row r="76">
      <c r="A76" s="158" t="s">
        <v>100</v>
      </c>
      <c r="B76" s="144"/>
      <c r="C76" s="145">
        <v>45357.0</v>
      </c>
      <c r="D76" s="146" t="str">
        <f>VLOOKUP(C76,A3:B$380,2,FALSE)</f>
        <v>#N/A</v>
      </c>
      <c r="E76" s="146">
        <f t="shared" si="3"/>
        <v>81</v>
      </c>
      <c r="F76" s="146">
        <f t="shared" si="6"/>
        <v>81</v>
      </c>
      <c r="G76" s="146">
        <f t="shared" ref="G76:H76" si="76">((AVERAGE(F70:F76))+(MEDIAN(F70:F76))+E76)/3</f>
        <v>81</v>
      </c>
      <c r="H76" s="146">
        <f t="shared" si="76"/>
        <v>81</v>
      </c>
      <c r="I76" s="120"/>
      <c r="J76" s="180"/>
      <c r="K76" s="181"/>
      <c r="L76" s="182"/>
      <c r="M76" s="112"/>
      <c r="N76" s="112"/>
      <c r="O76" s="112"/>
      <c r="P76" s="112"/>
      <c r="Q76" s="112"/>
      <c r="R76" s="112"/>
      <c r="S76" s="112"/>
      <c r="T76" s="112"/>
      <c r="U76" s="112"/>
      <c r="V76" s="112"/>
    </row>
    <row r="77">
      <c r="A77" s="153" t="s">
        <v>100</v>
      </c>
      <c r="B77" s="154"/>
      <c r="C77" s="130">
        <v>45358.0</v>
      </c>
      <c r="D77" s="131" t="str">
        <f>VLOOKUP(C77,A3:B$380,2,FALSE)</f>
        <v>#N/A</v>
      </c>
      <c r="E77" s="131">
        <f t="shared" si="3"/>
        <v>81</v>
      </c>
      <c r="F77" s="131">
        <f t="shared" si="6"/>
        <v>81</v>
      </c>
      <c r="G77" s="131">
        <f t="shared" ref="G77:H77" si="77">((AVERAGE(F71:F77))+(MEDIAN(F71:F77))+E77)/3</f>
        <v>81</v>
      </c>
      <c r="H77" s="131">
        <f t="shared" si="77"/>
        <v>81</v>
      </c>
      <c r="I77" s="120"/>
      <c r="J77" s="180"/>
      <c r="K77" s="181"/>
      <c r="L77" s="182"/>
      <c r="M77" s="112"/>
      <c r="N77" s="112"/>
      <c r="O77" s="112"/>
      <c r="P77" s="112"/>
      <c r="Q77" s="112"/>
      <c r="R77" s="112"/>
      <c r="S77" s="112"/>
      <c r="T77" s="112"/>
      <c r="U77" s="112"/>
      <c r="V77" s="112"/>
    </row>
    <row r="78">
      <c r="A78" s="158" t="s">
        <v>100</v>
      </c>
      <c r="B78" s="144"/>
      <c r="C78" s="145">
        <v>45359.0</v>
      </c>
      <c r="D78" s="146" t="str">
        <f>VLOOKUP(C78,A3:B$380,2,FALSE)</f>
        <v>#N/A</v>
      </c>
      <c r="E78" s="146">
        <f t="shared" si="3"/>
        <v>81</v>
      </c>
      <c r="F78" s="146">
        <f t="shared" si="6"/>
        <v>81</v>
      </c>
      <c r="G78" s="146">
        <f t="shared" ref="G78:H78" si="78">((AVERAGE(F72:F78))+(MEDIAN(F72:F78))+E78)/3</f>
        <v>81</v>
      </c>
      <c r="H78" s="146">
        <f t="shared" si="78"/>
        <v>81</v>
      </c>
      <c r="I78" s="120"/>
      <c r="J78" s="180"/>
      <c r="K78" s="181"/>
      <c r="L78" s="182"/>
      <c r="M78" s="112"/>
      <c r="N78" s="112"/>
      <c r="O78" s="112"/>
      <c r="P78" s="112"/>
      <c r="Q78" s="112"/>
      <c r="R78" s="112"/>
      <c r="S78" s="112"/>
      <c r="T78" s="112"/>
      <c r="U78" s="112"/>
      <c r="V78" s="112"/>
    </row>
    <row r="79">
      <c r="A79" s="153" t="s">
        <v>100</v>
      </c>
      <c r="B79" s="154"/>
      <c r="C79" s="168">
        <v>45360.0</v>
      </c>
      <c r="D79" s="169" t="str">
        <f>VLOOKUP(C79,A3:B$380,2,FALSE)</f>
        <v>#N/A</v>
      </c>
      <c r="E79" s="169">
        <f t="shared" si="3"/>
        <v>81</v>
      </c>
      <c r="F79" s="169">
        <f t="shared" si="6"/>
        <v>81</v>
      </c>
      <c r="G79" s="169">
        <f t="shared" ref="G79:H79" si="79">((AVERAGE(F73:F79))+(MEDIAN(F73:F79))+E79)/3</f>
        <v>81</v>
      </c>
      <c r="H79" s="169">
        <f t="shared" si="79"/>
        <v>81</v>
      </c>
      <c r="I79" s="120"/>
      <c r="J79" s="180"/>
      <c r="K79" s="181"/>
      <c r="L79" s="182"/>
      <c r="M79" s="112"/>
      <c r="N79" s="112"/>
      <c r="O79" s="112"/>
      <c r="P79" s="112"/>
      <c r="Q79" s="112"/>
      <c r="R79" s="112"/>
      <c r="S79" s="112"/>
      <c r="T79" s="112"/>
      <c r="U79" s="112"/>
      <c r="V79" s="112"/>
    </row>
    <row r="80">
      <c r="A80" s="158" t="s">
        <v>100</v>
      </c>
      <c r="B80" s="144"/>
      <c r="C80" s="145">
        <v>45361.0</v>
      </c>
      <c r="D80" s="146" t="str">
        <f>VLOOKUP(C80,A3:B$380,2,FALSE)</f>
        <v>#N/A</v>
      </c>
      <c r="E80" s="146">
        <f t="shared" si="3"/>
        <v>81</v>
      </c>
      <c r="F80" s="146">
        <f t="shared" si="6"/>
        <v>81</v>
      </c>
      <c r="G80" s="146">
        <f t="shared" ref="G80:H80" si="80">((AVERAGE(F74:F80))+(MEDIAN(F74:F80))+E80)/3</f>
        <v>81</v>
      </c>
      <c r="H80" s="146">
        <f t="shared" si="80"/>
        <v>81</v>
      </c>
      <c r="I80" s="120"/>
      <c r="J80" s="180"/>
      <c r="K80" s="181"/>
      <c r="L80" s="182"/>
      <c r="M80" s="112"/>
      <c r="N80" s="112"/>
      <c r="O80" s="112"/>
      <c r="P80" s="112"/>
      <c r="Q80" s="112"/>
      <c r="R80" s="112"/>
      <c r="S80" s="112"/>
      <c r="T80" s="112"/>
      <c r="U80" s="112"/>
      <c r="V80" s="112"/>
    </row>
    <row r="81">
      <c r="A81" s="153" t="s">
        <v>100</v>
      </c>
      <c r="B81" s="154"/>
      <c r="C81" s="130">
        <v>45362.0</v>
      </c>
      <c r="D81" s="131" t="str">
        <f>VLOOKUP(C81,A3:B$380,2,FALSE)</f>
        <v>#N/A</v>
      </c>
      <c r="E81" s="131">
        <f t="shared" si="3"/>
        <v>81</v>
      </c>
      <c r="F81" s="131">
        <f t="shared" si="6"/>
        <v>81</v>
      </c>
      <c r="G81" s="131">
        <f t="shared" ref="G81:H81" si="81">((AVERAGE(F75:F81))+(MEDIAN(F75:F81))+E81)/3</f>
        <v>81</v>
      </c>
      <c r="H81" s="131">
        <f t="shared" si="81"/>
        <v>81</v>
      </c>
      <c r="I81" s="120"/>
      <c r="J81" s="180"/>
      <c r="K81" s="181"/>
      <c r="L81" s="182"/>
      <c r="M81" s="112"/>
      <c r="N81" s="112"/>
      <c r="O81" s="112"/>
      <c r="P81" s="112"/>
      <c r="Q81" s="112"/>
      <c r="R81" s="112"/>
      <c r="S81" s="112"/>
      <c r="T81" s="112"/>
      <c r="U81" s="112"/>
      <c r="V81" s="112"/>
    </row>
    <row r="82">
      <c r="A82" s="158" t="s">
        <v>100</v>
      </c>
      <c r="B82" s="144"/>
      <c r="C82" s="145">
        <v>45363.0</v>
      </c>
      <c r="D82" s="146" t="str">
        <f>VLOOKUP(C82,A3:B$380,2,FALSE)</f>
        <v>#N/A</v>
      </c>
      <c r="E82" s="146">
        <f t="shared" si="3"/>
        <v>81</v>
      </c>
      <c r="F82" s="146">
        <f t="shared" si="6"/>
        <v>81</v>
      </c>
      <c r="G82" s="146">
        <f t="shared" ref="G82:H82" si="82">((AVERAGE(F76:F82))+(MEDIAN(F76:F82))+E82)/3</f>
        <v>81</v>
      </c>
      <c r="H82" s="146">
        <f t="shared" si="82"/>
        <v>81</v>
      </c>
      <c r="I82" s="120"/>
      <c r="J82" s="180"/>
      <c r="K82" s="181"/>
      <c r="L82" s="182"/>
      <c r="M82" s="112"/>
      <c r="N82" s="112"/>
      <c r="O82" s="112"/>
      <c r="P82" s="112"/>
      <c r="Q82" s="112"/>
      <c r="R82" s="112"/>
      <c r="S82" s="112"/>
      <c r="T82" s="112"/>
      <c r="U82" s="112"/>
      <c r="V82" s="112"/>
    </row>
    <row r="83">
      <c r="A83" s="153" t="s">
        <v>100</v>
      </c>
      <c r="B83" s="154"/>
      <c r="C83" s="130">
        <v>45364.0</v>
      </c>
      <c r="D83" s="131" t="str">
        <f>VLOOKUP(C83,A3:B$380,2,FALSE)</f>
        <v>#N/A</v>
      </c>
      <c r="E83" s="131">
        <f t="shared" si="3"/>
        <v>81</v>
      </c>
      <c r="F83" s="131">
        <f t="shared" si="6"/>
        <v>81</v>
      </c>
      <c r="G83" s="131">
        <f t="shared" ref="G83:H83" si="83">((AVERAGE(F77:F83))+(MEDIAN(F77:F83))+E83)/3</f>
        <v>81</v>
      </c>
      <c r="H83" s="131">
        <f t="shared" si="83"/>
        <v>81</v>
      </c>
      <c r="I83" s="120"/>
      <c r="J83" s="180"/>
      <c r="K83" s="181"/>
      <c r="L83" s="182"/>
      <c r="M83" s="112"/>
      <c r="N83" s="112"/>
      <c r="O83" s="112"/>
      <c r="P83" s="112"/>
      <c r="Q83" s="112"/>
      <c r="R83" s="112"/>
      <c r="S83" s="112"/>
      <c r="T83" s="112"/>
      <c r="U83" s="112"/>
      <c r="V83" s="112"/>
    </row>
    <row r="84">
      <c r="A84" s="158" t="s">
        <v>100</v>
      </c>
      <c r="B84" s="144"/>
      <c r="C84" s="145">
        <v>45365.0</v>
      </c>
      <c r="D84" s="146" t="str">
        <f>VLOOKUP(C84,A3:B$380,2,FALSE)</f>
        <v>#N/A</v>
      </c>
      <c r="E84" s="146">
        <f t="shared" si="3"/>
        <v>81</v>
      </c>
      <c r="F84" s="146">
        <f t="shared" si="6"/>
        <v>81</v>
      </c>
      <c r="G84" s="146">
        <f t="shared" ref="G84:H84" si="84">((AVERAGE(F78:F84))+(MEDIAN(F78:F84))+E84)/3</f>
        <v>81</v>
      </c>
      <c r="H84" s="146">
        <f t="shared" si="84"/>
        <v>81</v>
      </c>
      <c r="I84" s="120"/>
      <c r="J84" s="180"/>
      <c r="K84" s="181"/>
      <c r="L84" s="182"/>
      <c r="M84" s="112"/>
      <c r="N84" s="112"/>
      <c r="O84" s="112"/>
      <c r="P84" s="112"/>
      <c r="Q84" s="112"/>
      <c r="R84" s="112"/>
      <c r="S84" s="112"/>
      <c r="T84" s="112"/>
      <c r="U84" s="112"/>
      <c r="V84" s="112"/>
    </row>
    <row r="85">
      <c r="A85" s="153" t="s">
        <v>100</v>
      </c>
      <c r="B85" s="154"/>
      <c r="C85" s="130">
        <v>45366.0</v>
      </c>
      <c r="D85" s="131" t="str">
        <f>VLOOKUP(C85,A3:B$380,2,FALSE)</f>
        <v>#N/A</v>
      </c>
      <c r="E85" s="131">
        <f t="shared" si="3"/>
        <v>81</v>
      </c>
      <c r="F85" s="131">
        <f t="shared" si="6"/>
        <v>81</v>
      </c>
      <c r="G85" s="131">
        <f t="shared" ref="G85:H85" si="85">((AVERAGE(F79:F85))+(MEDIAN(F79:F85))+E85)/3</f>
        <v>81</v>
      </c>
      <c r="H85" s="131">
        <f t="shared" si="85"/>
        <v>81</v>
      </c>
      <c r="I85" s="120"/>
      <c r="J85" s="180"/>
      <c r="K85" s="181"/>
      <c r="L85" s="182"/>
      <c r="M85" s="112"/>
      <c r="N85" s="112"/>
      <c r="O85" s="112"/>
      <c r="P85" s="112"/>
      <c r="Q85" s="112"/>
      <c r="R85" s="112"/>
      <c r="S85" s="112"/>
      <c r="T85" s="112"/>
      <c r="U85" s="112"/>
      <c r="V85" s="112"/>
    </row>
    <row r="86">
      <c r="A86" s="158" t="s">
        <v>100</v>
      </c>
      <c r="B86" s="144"/>
      <c r="C86" s="173">
        <v>45367.0</v>
      </c>
      <c r="D86" s="174" t="str">
        <f>VLOOKUP(C86,A3:B$380,2,FALSE)</f>
        <v>#N/A</v>
      </c>
      <c r="E86" s="174">
        <f t="shared" si="3"/>
        <v>81</v>
      </c>
      <c r="F86" s="174">
        <f t="shared" si="6"/>
        <v>81</v>
      </c>
      <c r="G86" s="174">
        <f t="shared" ref="G86:H86" si="86">((AVERAGE(F80:F86))+(MEDIAN(F80:F86))+E86)/3</f>
        <v>81</v>
      </c>
      <c r="H86" s="174">
        <f t="shared" si="86"/>
        <v>81</v>
      </c>
      <c r="I86" s="120"/>
      <c r="J86" s="180"/>
      <c r="K86" s="181"/>
      <c r="L86" s="182"/>
      <c r="M86" s="112"/>
      <c r="N86" s="112"/>
      <c r="O86" s="112"/>
      <c r="P86" s="112"/>
      <c r="Q86" s="112"/>
      <c r="R86" s="112"/>
      <c r="S86" s="112"/>
      <c r="T86" s="112"/>
      <c r="U86" s="112"/>
      <c r="V86" s="112"/>
    </row>
    <row r="87">
      <c r="A87" s="153" t="s">
        <v>100</v>
      </c>
      <c r="B87" s="154"/>
      <c r="C87" s="130">
        <v>45368.0</v>
      </c>
      <c r="D87" s="131" t="str">
        <f>VLOOKUP(C87,A3:B$380,2,FALSE)</f>
        <v>#N/A</v>
      </c>
      <c r="E87" s="131">
        <f t="shared" si="3"/>
        <v>81</v>
      </c>
      <c r="F87" s="131">
        <f t="shared" si="6"/>
        <v>81</v>
      </c>
      <c r="G87" s="131">
        <f t="shared" ref="G87:H87" si="87">((AVERAGE(F81:F87))+(MEDIAN(F81:F87))+E87)/3</f>
        <v>81</v>
      </c>
      <c r="H87" s="131">
        <f t="shared" si="87"/>
        <v>81</v>
      </c>
      <c r="I87" s="120"/>
      <c r="J87" s="180"/>
      <c r="K87" s="181"/>
      <c r="L87" s="182"/>
      <c r="M87" s="112"/>
      <c r="N87" s="112"/>
      <c r="O87" s="112"/>
      <c r="P87" s="112"/>
      <c r="Q87" s="112"/>
      <c r="R87" s="112"/>
      <c r="S87" s="112"/>
      <c r="T87" s="112"/>
      <c r="U87" s="112"/>
      <c r="V87" s="112"/>
    </row>
    <row r="88">
      <c r="A88" s="158" t="s">
        <v>100</v>
      </c>
      <c r="B88" s="144"/>
      <c r="C88" s="145">
        <v>45369.0</v>
      </c>
      <c r="D88" s="146" t="str">
        <f>VLOOKUP(C88,A3:B$380,2,FALSE)</f>
        <v>#N/A</v>
      </c>
      <c r="E88" s="146">
        <f t="shared" si="3"/>
        <v>81</v>
      </c>
      <c r="F88" s="146">
        <f t="shared" si="6"/>
        <v>81</v>
      </c>
      <c r="G88" s="146">
        <f t="shared" ref="G88:H88" si="88">((AVERAGE(F82:F88))+(MEDIAN(F82:F88))+E88)/3</f>
        <v>81</v>
      </c>
      <c r="H88" s="146">
        <f t="shared" si="88"/>
        <v>81</v>
      </c>
      <c r="I88" s="120"/>
      <c r="J88" s="180"/>
      <c r="K88" s="181"/>
      <c r="L88" s="182"/>
      <c r="M88" s="112"/>
      <c r="N88" s="112"/>
      <c r="O88" s="112"/>
      <c r="P88" s="112"/>
      <c r="Q88" s="112"/>
      <c r="R88" s="112"/>
      <c r="S88" s="112"/>
      <c r="T88" s="112"/>
      <c r="U88" s="112"/>
      <c r="V88" s="112"/>
    </row>
    <row r="89">
      <c r="A89" s="153" t="s">
        <v>100</v>
      </c>
      <c r="B89" s="154"/>
      <c r="C89" s="130">
        <v>45370.0</v>
      </c>
      <c r="D89" s="131" t="str">
        <f>VLOOKUP(C89,A3:B$380,2,FALSE)</f>
        <v>#N/A</v>
      </c>
      <c r="E89" s="131">
        <f t="shared" si="3"/>
        <v>81</v>
      </c>
      <c r="F89" s="131">
        <f t="shared" si="6"/>
        <v>81</v>
      </c>
      <c r="G89" s="131">
        <f t="shared" ref="G89:H89" si="89">((AVERAGE(F83:F89))+(MEDIAN(F83:F89))+E89)/3</f>
        <v>81</v>
      </c>
      <c r="H89" s="131">
        <f t="shared" si="89"/>
        <v>81</v>
      </c>
      <c r="I89" s="120"/>
      <c r="J89" s="180"/>
      <c r="K89" s="181"/>
      <c r="L89" s="182"/>
      <c r="M89" s="112"/>
      <c r="N89" s="112"/>
      <c r="O89" s="112"/>
      <c r="P89" s="112"/>
      <c r="Q89" s="112"/>
      <c r="R89" s="112"/>
      <c r="S89" s="112"/>
      <c r="T89" s="112"/>
      <c r="U89" s="112"/>
      <c r="V89" s="112"/>
    </row>
    <row r="90">
      <c r="A90" s="158" t="s">
        <v>100</v>
      </c>
      <c r="B90" s="144"/>
      <c r="C90" s="145">
        <v>45371.0</v>
      </c>
      <c r="D90" s="146" t="str">
        <f>VLOOKUP(C90,A3:B$380,2,FALSE)</f>
        <v>#N/A</v>
      </c>
      <c r="E90" s="146">
        <f t="shared" si="3"/>
        <v>81</v>
      </c>
      <c r="F90" s="146">
        <f t="shared" si="6"/>
        <v>81</v>
      </c>
      <c r="G90" s="146">
        <f t="shared" ref="G90:H90" si="90">((AVERAGE(F84:F90))+(MEDIAN(F84:F90))+E90)/3</f>
        <v>81</v>
      </c>
      <c r="H90" s="146">
        <f t="shared" si="90"/>
        <v>81</v>
      </c>
      <c r="I90" s="120"/>
      <c r="J90" s="180"/>
      <c r="K90" s="181"/>
      <c r="L90" s="182"/>
      <c r="M90" s="112"/>
      <c r="N90" s="112"/>
      <c r="O90" s="112"/>
      <c r="P90" s="112"/>
      <c r="Q90" s="112"/>
      <c r="R90" s="112"/>
      <c r="S90" s="112"/>
      <c r="T90" s="112"/>
      <c r="U90" s="112"/>
      <c r="V90" s="112"/>
    </row>
    <row r="91">
      <c r="A91" s="153" t="s">
        <v>100</v>
      </c>
      <c r="B91" s="154"/>
      <c r="C91" s="130">
        <v>45372.0</v>
      </c>
      <c r="D91" s="131" t="str">
        <f>VLOOKUP(C91,A3:B$380,2,FALSE)</f>
        <v>#N/A</v>
      </c>
      <c r="E91" s="131">
        <f t="shared" si="3"/>
        <v>81</v>
      </c>
      <c r="F91" s="131">
        <f t="shared" si="6"/>
        <v>81</v>
      </c>
      <c r="G91" s="131">
        <f t="shared" ref="G91:H91" si="91">((AVERAGE(F85:F91))+(MEDIAN(F85:F91))+E91)/3</f>
        <v>81</v>
      </c>
      <c r="H91" s="131">
        <f t="shared" si="91"/>
        <v>81</v>
      </c>
      <c r="I91" s="120"/>
      <c r="J91" s="180"/>
      <c r="K91" s="181"/>
      <c r="L91" s="182"/>
      <c r="M91" s="112"/>
      <c r="N91" s="112"/>
      <c r="O91" s="112"/>
      <c r="P91" s="112"/>
      <c r="Q91" s="112"/>
      <c r="R91" s="112"/>
      <c r="S91" s="112"/>
      <c r="T91" s="112"/>
      <c r="U91" s="112"/>
      <c r="V91" s="112"/>
    </row>
    <row r="92">
      <c r="A92" s="158" t="s">
        <v>100</v>
      </c>
      <c r="B92" s="144"/>
      <c r="C92" s="145">
        <v>45373.0</v>
      </c>
      <c r="D92" s="146" t="str">
        <f>VLOOKUP(C92,A3:B$380,2,FALSE)</f>
        <v>#N/A</v>
      </c>
      <c r="E92" s="146">
        <f t="shared" si="3"/>
        <v>81</v>
      </c>
      <c r="F92" s="146">
        <f t="shared" si="6"/>
        <v>81</v>
      </c>
      <c r="G92" s="146">
        <f t="shared" ref="G92:H92" si="92">((AVERAGE(F86:F92))+(MEDIAN(F86:F92))+E92)/3</f>
        <v>81</v>
      </c>
      <c r="H92" s="146">
        <f t="shared" si="92"/>
        <v>81</v>
      </c>
      <c r="I92" s="120"/>
      <c r="J92" s="180"/>
      <c r="K92" s="181"/>
      <c r="L92" s="182"/>
      <c r="M92" s="112"/>
      <c r="N92" s="112"/>
      <c r="O92" s="112"/>
      <c r="P92" s="112"/>
      <c r="Q92" s="112"/>
      <c r="R92" s="112"/>
      <c r="S92" s="112"/>
      <c r="T92" s="112"/>
      <c r="U92" s="112"/>
      <c r="V92" s="112"/>
    </row>
    <row r="93">
      <c r="A93" s="153" t="s">
        <v>100</v>
      </c>
      <c r="B93" s="154"/>
      <c r="C93" s="168">
        <v>45374.0</v>
      </c>
      <c r="D93" s="169" t="str">
        <f>VLOOKUP(C93,A3:B$380,2,FALSE)</f>
        <v>#N/A</v>
      </c>
      <c r="E93" s="169">
        <f t="shared" si="3"/>
        <v>81</v>
      </c>
      <c r="F93" s="169">
        <f t="shared" si="6"/>
        <v>81</v>
      </c>
      <c r="G93" s="169">
        <f t="shared" ref="G93:H93" si="93">((AVERAGE(F87:F93))+(MEDIAN(F87:F93))+E93)/3</f>
        <v>81</v>
      </c>
      <c r="H93" s="169">
        <f t="shared" si="93"/>
        <v>81</v>
      </c>
      <c r="I93" s="120"/>
      <c r="J93" s="180"/>
      <c r="K93" s="181"/>
      <c r="L93" s="182"/>
      <c r="M93" s="112"/>
      <c r="N93" s="112"/>
      <c r="O93" s="112"/>
      <c r="P93" s="112"/>
      <c r="Q93" s="112"/>
      <c r="R93" s="112"/>
      <c r="S93" s="112"/>
      <c r="T93" s="112"/>
      <c r="U93" s="112"/>
      <c r="V93" s="112"/>
    </row>
    <row r="94">
      <c r="A94" s="158" t="s">
        <v>100</v>
      </c>
      <c r="B94" s="144"/>
      <c r="C94" s="145">
        <v>45375.0</v>
      </c>
      <c r="D94" s="146" t="str">
        <f>VLOOKUP(C94,A3:B$380,2,FALSE)</f>
        <v>#N/A</v>
      </c>
      <c r="E94" s="146">
        <f t="shared" si="3"/>
        <v>81</v>
      </c>
      <c r="F94" s="146">
        <f t="shared" si="6"/>
        <v>81</v>
      </c>
      <c r="G94" s="146">
        <f t="shared" ref="G94:H94" si="94">((AVERAGE(F88:F94))+(MEDIAN(F88:F94))+E94)/3</f>
        <v>81</v>
      </c>
      <c r="H94" s="146">
        <f t="shared" si="94"/>
        <v>81</v>
      </c>
      <c r="I94" s="120"/>
      <c r="J94" s="180"/>
      <c r="K94" s="181"/>
      <c r="L94" s="182"/>
      <c r="M94" s="112"/>
      <c r="N94" s="112"/>
      <c r="O94" s="112"/>
      <c r="P94" s="112"/>
      <c r="Q94" s="112"/>
      <c r="R94" s="112"/>
      <c r="S94" s="112"/>
      <c r="T94" s="112"/>
      <c r="U94" s="112"/>
      <c r="V94" s="112"/>
    </row>
    <row r="95">
      <c r="A95" s="153" t="s">
        <v>100</v>
      </c>
      <c r="B95" s="154"/>
      <c r="C95" s="130">
        <v>45376.0</v>
      </c>
      <c r="D95" s="131" t="str">
        <f>VLOOKUP(C95,A3:B$380,2,FALSE)</f>
        <v>#N/A</v>
      </c>
      <c r="E95" s="131">
        <f t="shared" si="3"/>
        <v>81</v>
      </c>
      <c r="F95" s="131">
        <f t="shared" si="6"/>
        <v>81</v>
      </c>
      <c r="G95" s="131">
        <f t="shared" ref="G95:H95" si="95">((AVERAGE(F89:F95))+(MEDIAN(F89:F95))+E95)/3</f>
        <v>81</v>
      </c>
      <c r="H95" s="131">
        <f t="shared" si="95"/>
        <v>81</v>
      </c>
      <c r="I95" s="120"/>
      <c r="J95" s="180"/>
      <c r="K95" s="181"/>
      <c r="L95" s="182"/>
      <c r="M95" s="112"/>
      <c r="N95" s="112"/>
      <c r="O95" s="112"/>
      <c r="P95" s="112"/>
      <c r="Q95" s="112"/>
      <c r="R95" s="112"/>
      <c r="S95" s="112"/>
      <c r="T95" s="112"/>
      <c r="U95" s="112"/>
      <c r="V95" s="112"/>
    </row>
    <row r="96">
      <c r="A96" s="158" t="s">
        <v>100</v>
      </c>
      <c r="B96" s="144"/>
      <c r="C96" s="145">
        <v>45377.0</v>
      </c>
      <c r="D96" s="146" t="str">
        <f>VLOOKUP(C96,A3:B$380,2,FALSE)</f>
        <v>#N/A</v>
      </c>
      <c r="E96" s="146">
        <f t="shared" si="3"/>
        <v>81</v>
      </c>
      <c r="F96" s="146">
        <f t="shared" si="6"/>
        <v>81</v>
      </c>
      <c r="G96" s="146">
        <f t="shared" ref="G96:H96" si="96">((AVERAGE(F90:F96))+(MEDIAN(F90:F96))+E96)/3</f>
        <v>81</v>
      </c>
      <c r="H96" s="146">
        <f t="shared" si="96"/>
        <v>81</v>
      </c>
      <c r="I96" s="120"/>
      <c r="J96" s="180"/>
      <c r="K96" s="181"/>
      <c r="L96" s="182"/>
      <c r="M96" s="112"/>
      <c r="N96" s="112"/>
      <c r="O96" s="112"/>
      <c r="P96" s="112"/>
      <c r="Q96" s="112"/>
      <c r="R96" s="112"/>
      <c r="S96" s="112"/>
      <c r="T96" s="112"/>
      <c r="U96" s="112"/>
      <c r="V96" s="112"/>
    </row>
    <row r="97">
      <c r="A97" s="153" t="s">
        <v>100</v>
      </c>
      <c r="B97" s="154"/>
      <c r="C97" s="130">
        <v>45378.0</v>
      </c>
      <c r="D97" s="131" t="str">
        <f>VLOOKUP(C97,A3:B$380,2,FALSE)</f>
        <v>#N/A</v>
      </c>
      <c r="E97" s="131">
        <f t="shared" si="3"/>
        <v>81</v>
      </c>
      <c r="F97" s="131">
        <f t="shared" si="6"/>
        <v>81</v>
      </c>
      <c r="G97" s="131">
        <f t="shared" ref="G97:H97" si="97">((AVERAGE(F91:F97))+(MEDIAN(F91:F97))+E97)/3</f>
        <v>81</v>
      </c>
      <c r="H97" s="131">
        <f t="shared" si="97"/>
        <v>81</v>
      </c>
      <c r="I97" s="120"/>
      <c r="J97" s="180"/>
      <c r="K97" s="181"/>
      <c r="L97" s="182"/>
      <c r="M97" s="112"/>
      <c r="N97" s="112"/>
      <c r="O97" s="112"/>
      <c r="P97" s="112"/>
      <c r="Q97" s="112"/>
      <c r="R97" s="112"/>
      <c r="S97" s="112"/>
      <c r="T97" s="112"/>
      <c r="U97" s="112"/>
      <c r="V97" s="112"/>
    </row>
    <row r="98">
      <c r="A98" s="158" t="s">
        <v>100</v>
      </c>
      <c r="B98" s="144"/>
      <c r="C98" s="145">
        <v>45379.0</v>
      </c>
      <c r="D98" s="146" t="str">
        <f>VLOOKUP(C98,A3:B$380,2,FALSE)</f>
        <v>#N/A</v>
      </c>
      <c r="E98" s="146">
        <f t="shared" si="3"/>
        <v>81</v>
      </c>
      <c r="F98" s="146">
        <f t="shared" si="6"/>
        <v>81</v>
      </c>
      <c r="G98" s="146">
        <f t="shared" ref="G98:H98" si="98">((AVERAGE(F92:F98))+(MEDIAN(F92:F98))+E98)/3</f>
        <v>81</v>
      </c>
      <c r="H98" s="146">
        <f t="shared" si="98"/>
        <v>81</v>
      </c>
      <c r="I98" s="120"/>
      <c r="J98" s="180"/>
      <c r="K98" s="181"/>
      <c r="L98" s="182"/>
      <c r="M98" s="112"/>
      <c r="N98" s="112"/>
      <c r="O98" s="112"/>
      <c r="P98" s="112"/>
      <c r="Q98" s="112"/>
      <c r="R98" s="112"/>
      <c r="S98" s="112"/>
      <c r="T98" s="112"/>
      <c r="U98" s="112"/>
      <c r="V98" s="112"/>
    </row>
    <row r="99">
      <c r="A99" s="153" t="s">
        <v>100</v>
      </c>
      <c r="B99" s="154"/>
      <c r="C99" s="130">
        <v>45380.0</v>
      </c>
      <c r="D99" s="131" t="str">
        <f>VLOOKUP(C99,A3:B$380,2,FALSE)</f>
        <v>#N/A</v>
      </c>
      <c r="E99" s="131">
        <f t="shared" si="3"/>
        <v>81</v>
      </c>
      <c r="F99" s="131">
        <f t="shared" si="6"/>
        <v>81</v>
      </c>
      <c r="G99" s="131">
        <f t="shared" ref="G99:H99" si="99">((AVERAGE(F93:F99))+(MEDIAN(F93:F99))+E99)/3</f>
        <v>81</v>
      </c>
      <c r="H99" s="131">
        <f t="shared" si="99"/>
        <v>81</v>
      </c>
      <c r="I99" s="120"/>
      <c r="J99" s="180"/>
      <c r="K99" s="181"/>
      <c r="L99" s="182"/>
      <c r="M99" s="112"/>
      <c r="N99" s="112"/>
      <c r="O99" s="112"/>
      <c r="P99" s="112"/>
      <c r="Q99" s="112"/>
      <c r="R99" s="112"/>
      <c r="S99" s="112"/>
      <c r="T99" s="112"/>
      <c r="U99" s="112"/>
      <c r="V99" s="112"/>
    </row>
    <row r="100">
      <c r="A100" s="158" t="s">
        <v>100</v>
      </c>
      <c r="B100" s="144"/>
      <c r="C100" s="173">
        <v>45381.0</v>
      </c>
      <c r="D100" s="174" t="str">
        <f>VLOOKUP(C100,A3:B$380,2,FALSE)</f>
        <v>#N/A</v>
      </c>
      <c r="E100" s="174">
        <f t="shared" si="3"/>
        <v>81</v>
      </c>
      <c r="F100" s="174">
        <f t="shared" si="6"/>
        <v>81</v>
      </c>
      <c r="G100" s="174">
        <f t="shared" ref="G100:H100" si="100">((AVERAGE(F94:F100))+(MEDIAN(F94:F100))+E100)/3</f>
        <v>81</v>
      </c>
      <c r="H100" s="174">
        <f t="shared" si="100"/>
        <v>81</v>
      </c>
      <c r="I100" s="120"/>
      <c r="J100" s="180"/>
      <c r="K100" s="181"/>
      <c r="L100" s="182"/>
      <c r="M100" s="112"/>
      <c r="N100" s="112"/>
      <c r="O100" s="112"/>
      <c r="P100" s="112"/>
      <c r="Q100" s="112"/>
      <c r="R100" s="112"/>
      <c r="S100" s="112"/>
      <c r="T100" s="112"/>
      <c r="U100" s="112"/>
      <c r="V100" s="112"/>
    </row>
    <row r="101">
      <c r="A101" s="153" t="s">
        <v>100</v>
      </c>
      <c r="B101" s="154"/>
      <c r="C101" s="130">
        <v>45382.0</v>
      </c>
      <c r="D101" s="131" t="str">
        <f>VLOOKUP(C101,A3:B$380,2,FALSE)</f>
        <v>#N/A</v>
      </c>
      <c r="E101" s="131">
        <f t="shared" si="3"/>
        <v>81</v>
      </c>
      <c r="F101" s="131">
        <f t="shared" si="6"/>
        <v>81</v>
      </c>
      <c r="G101" s="131">
        <f t="shared" ref="G101:H101" si="101">((AVERAGE(F95:F101))+(MEDIAN(F95:F101))+E101)/3</f>
        <v>81</v>
      </c>
      <c r="H101" s="131">
        <f t="shared" si="101"/>
        <v>81</v>
      </c>
      <c r="I101" s="120"/>
      <c r="J101" s="180"/>
      <c r="K101" s="181"/>
      <c r="L101" s="182"/>
      <c r="M101" s="112"/>
      <c r="N101" s="112"/>
      <c r="O101" s="112"/>
      <c r="P101" s="112"/>
      <c r="Q101" s="112"/>
      <c r="R101" s="112"/>
      <c r="S101" s="112"/>
      <c r="T101" s="112"/>
      <c r="U101" s="112"/>
      <c r="V101" s="112"/>
    </row>
    <row r="102">
      <c r="A102" s="158" t="s">
        <v>100</v>
      </c>
      <c r="B102" s="144"/>
      <c r="C102" s="145">
        <v>45383.0</v>
      </c>
      <c r="D102" s="146" t="str">
        <f>VLOOKUP(C102,A3:B$380,2,FALSE)</f>
        <v>#N/A</v>
      </c>
      <c r="E102" s="146">
        <f t="shared" si="3"/>
        <v>81</v>
      </c>
      <c r="F102" s="146">
        <f t="shared" si="6"/>
        <v>81</v>
      </c>
      <c r="G102" s="146">
        <f t="shared" ref="G102:H102" si="102">((AVERAGE(F96:F102))+(MEDIAN(F96:F102))+E102)/3</f>
        <v>81</v>
      </c>
      <c r="H102" s="146">
        <f t="shared" si="102"/>
        <v>81</v>
      </c>
      <c r="I102" s="120"/>
      <c r="J102" s="180"/>
      <c r="K102" s="181"/>
      <c r="L102" s="182"/>
      <c r="M102" s="112"/>
      <c r="N102" s="112"/>
      <c r="O102" s="112"/>
      <c r="P102" s="112"/>
      <c r="Q102" s="112"/>
      <c r="R102" s="112"/>
      <c r="S102" s="112"/>
      <c r="T102" s="112"/>
      <c r="U102" s="112"/>
      <c r="V102" s="112"/>
    </row>
    <row r="103">
      <c r="A103" s="153" t="s">
        <v>100</v>
      </c>
      <c r="B103" s="154"/>
      <c r="C103" s="130">
        <v>45384.0</v>
      </c>
      <c r="D103" s="131" t="str">
        <f>VLOOKUP(C103,A3:B$380,2,FALSE)</f>
        <v>#N/A</v>
      </c>
      <c r="E103" s="131">
        <f t="shared" si="3"/>
        <v>81</v>
      </c>
      <c r="F103" s="131">
        <f t="shared" si="6"/>
        <v>81</v>
      </c>
      <c r="G103" s="131">
        <f t="shared" ref="G103:H103" si="103">((AVERAGE(F97:F103))+(MEDIAN(F97:F103))+E103)/3</f>
        <v>81</v>
      </c>
      <c r="H103" s="131">
        <f t="shared" si="103"/>
        <v>81</v>
      </c>
      <c r="I103" s="120"/>
      <c r="J103" s="180"/>
      <c r="K103" s="181"/>
      <c r="L103" s="182"/>
      <c r="M103" s="112"/>
      <c r="N103" s="112"/>
      <c r="O103" s="112"/>
      <c r="P103" s="112"/>
      <c r="Q103" s="112"/>
      <c r="R103" s="112"/>
      <c r="S103" s="112"/>
      <c r="T103" s="112"/>
      <c r="U103" s="112"/>
      <c r="V103" s="112"/>
    </row>
    <row r="104">
      <c r="A104" s="158" t="s">
        <v>100</v>
      </c>
      <c r="B104" s="144"/>
      <c r="C104" s="145">
        <v>45385.0</v>
      </c>
      <c r="D104" s="146" t="str">
        <f>VLOOKUP(C104,A3:B$380,2,FALSE)</f>
        <v>#N/A</v>
      </c>
      <c r="E104" s="146">
        <f t="shared" si="3"/>
        <v>81</v>
      </c>
      <c r="F104" s="146">
        <f t="shared" si="6"/>
        <v>81</v>
      </c>
      <c r="G104" s="146">
        <f t="shared" ref="G104:H104" si="104">((AVERAGE(F98:F104))+(MEDIAN(F98:F104))+E104)/3</f>
        <v>81</v>
      </c>
      <c r="H104" s="146">
        <f t="shared" si="104"/>
        <v>81</v>
      </c>
      <c r="I104" s="120"/>
      <c r="J104" s="180"/>
      <c r="K104" s="181"/>
      <c r="L104" s="182"/>
      <c r="M104" s="112"/>
      <c r="N104" s="112"/>
      <c r="O104" s="112"/>
      <c r="P104" s="112"/>
      <c r="Q104" s="112"/>
      <c r="R104" s="112"/>
      <c r="S104" s="112"/>
      <c r="T104" s="112"/>
      <c r="U104" s="112"/>
      <c r="V104" s="112"/>
    </row>
    <row r="105">
      <c r="A105" s="153" t="s">
        <v>100</v>
      </c>
      <c r="B105" s="154"/>
      <c r="C105" s="130">
        <v>45386.0</v>
      </c>
      <c r="D105" s="131" t="str">
        <f>VLOOKUP(C105,A3:B$380,2,FALSE)</f>
        <v>#N/A</v>
      </c>
      <c r="E105" s="131">
        <f t="shared" si="3"/>
        <v>81</v>
      </c>
      <c r="F105" s="131">
        <f t="shared" si="6"/>
        <v>81</v>
      </c>
      <c r="G105" s="131">
        <f t="shared" ref="G105:H105" si="105">((AVERAGE(F99:F105))+(MEDIAN(F99:F105))+E105)/3</f>
        <v>81</v>
      </c>
      <c r="H105" s="131">
        <f t="shared" si="105"/>
        <v>81</v>
      </c>
      <c r="I105" s="120"/>
      <c r="J105" s="180"/>
      <c r="K105" s="181"/>
      <c r="L105" s="182"/>
      <c r="M105" s="112"/>
      <c r="N105" s="112"/>
      <c r="O105" s="112"/>
      <c r="P105" s="112"/>
      <c r="Q105" s="112"/>
      <c r="R105" s="112"/>
      <c r="S105" s="112"/>
      <c r="T105" s="112"/>
      <c r="U105" s="112"/>
      <c r="V105" s="112"/>
    </row>
    <row r="106">
      <c r="A106" s="158" t="s">
        <v>100</v>
      </c>
      <c r="B106" s="144"/>
      <c r="C106" s="145">
        <v>45387.0</v>
      </c>
      <c r="D106" s="146" t="str">
        <f>VLOOKUP(C106,A3:B$380,2,FALSE)</f>
        <v>#N/A</v>
      </c>
      <c r="E106" s="146">
        <f t="shared" si="3"/>
        <v>81</v>
      </c>
      <c r="F106" s="146">
        <f t="shared" si="6"/>
        <v>81</v>
      </c>
      <c r="G106" s="146">
        <f t="shared" ref="G106:H106" si="106">((AVERAGE(F100:F106))+(MEDIAN(F100:F106))+E106)/3</f>
        <v>81</v>
      </c>
      <c r="H106" s="146">
        <f t="shared" si="106"/>
        <v>81</v>
      </c>
      <c r="I106" s="120"/>
      <c r="J106" s="180"/>
      <c r="K106" s="181"/>
      <c r="L106" s="182"/>
      <c r="M106" s="112"/>
      <c r="N106" s="112"/>
      <c r="O106" s="112"/>
      <c r="P106" s="112"/>
      <c r="Q106" s="112"/>
      <c r="R106" s="112"/>
      <c r="S106" s="112"/>
      <c r="T106" s="112"/>
      <c r="U106" s="112"/>
      <c r="V106" s="112"/>
    </row>
    <row r="107">
      <c r="A107" s="153" t="s">
        <v>100</v>
      </c>
      <c r="B107" s="154"/>
      <c r="C107" s="168">
        <v>45388.0</v>
      </c>
      <c r="D107" s="169" t="str">
        <f>VLOOKUP(C107,A3:B$380,2,FALSE)</f>
        <v>#N/A</v>
      </c>
      <c r="E107" s="169">
        <f t="shared" si="3"/>
        <v>81</v>
      </c>
      <c r="F107" s="169">
        <f t="shared" si="6"/>
        <v>81</v>
      </c>
      <c r="G107" s="169">
        <f t="shared" ref="G107:H107" si="107">((AVERAGE(F101:F107))+(MEDIAN(F101:F107))+E107)/3</f>
        <v>81</v>
      </c>
      <c r="H107" s="169">
        <f t="shared" si="107"/>
        <v>81</v>
      </c>
      <c r="I107" s="120"/>
      <c r="J107" s="180"/>
      <c r="K107" s="181"/>
      <c r="L107" s="182"/>
      <c r="M107" s="112"/>
      <c r="N107" s="112"/>
      <c r="O107" s="112"/>
      <c r="P107" s="112"/>
      <c r="Q107" s="112"/>
      <c r="R107" s="112"/>
      <c r="S107" s="112"/>
      <c r="T107" s="112"/>
      <c r="U107" s="112"/>
      <c r="V107" s="112"/>
    </row>
    <row r="108">
      <c r="A108" s="158" t="s">
        <v>100</v>
      </c>
      <c r="B108" s="144"/>
      <c r="C108" s="145">
        <v>45389.0</v>
      </c>
      <c r="D108" s="146" t="str">
        <f>VLOOKUP(C108,A3:B$380,2,FALSE)</f>
        <v>#N/A</v>
      </c>
      <c r="E108" s="146">
        <f t="shared" si="3"/>
        <v>81</v>
      </c>
      <c r="F108" s="146">
        <f t="shared" si="6"/>
        <v>81</v>
      </c>
      <c r="G108" s="146">
        <f t="shared" ref="G108:H108" si="108">((AVERAGE(F102:F108))+(MEDIAN(F102:F108))+E108)/3</f>
        <v>81</v>
      </c>
      <c r="H108" s="146">
        <f t="shared" si="108"/>
        <v>81</v>
      </c>
      <c r="I108" s="120"/>
      <c r="J108" s="180"/>
      <c r="K108" s="181"/>
      <c r="L108" s="182"/>
      <c r="M108" s="112"/>
      <c r="N108" s="112"/>
      <c r="O108" s="112"/>
      <c r="P108" s="112"/>
      <c r="Q108" s="112"/>
      <c r="R108" s="112"/>
      <c r="S108" s="112"/>
      <c r="T108" s="112"/>
      <c r="U108" s="112"/>
      <c r="V108" s="112"/>
    </row>
    <row r="109">
      <c r="A109" s="153" t="s">
        <v>100</v>
      </c>
      <c r="B109" s="154"/>
      <c r="C109" s="130">
        <v>45390.0</v>
      </c>
      <c r="D109" s="131" t="str">
        <f>VLOOKUP(C109,A3:B$380,2,FALSE)</f>
        <v>#N/A</v>
      </c>
      <c r="E109" s="131">
        <f t="shared" si="3"/>
        <v>81</v>
      </c>
      <c r="F109" s="131">
        <f t="shared" si="6"/>
        <v>81</v>
      </c>
      <c r="G109" s="131">
        <f t="shared" ref="G109:H109" si="109">((AVERAGE(F103:F109))+(MEDIAN(F103:F109))+E109)/3</f>
        <v>81</v>
      </c>
      <c r="H109" s="131">
        <f t="shared" si="109"/>
        <v>81</v>
      </c>
      <c r="I109" s="120"/>
      <c r="J109" s="180"/>
      <c r="K109" s="181"/>
      <c r="L109" s="182"/>
      <c r="M109" s="112"/>
      <c r="N109" s="112"/>
      <c r="O109" s="112"/>
      <c r="P109" s="112"/>
      <c r="Q109" s="112"/>
      <c r="R109" s="112"/>
      <c r="S109" s="112"/>
      <c r="T109" s="112"/>
      <c r="U109" s="112"/>
      <c r="V109" s="112"/>
    </row>
    <row r="110">
      <c r="A110" s="158" t="s">
        <v>100</v>
      </c>
      <c r="B110" s="144"/>
      <c r="C110" s="145">
        <v>45391.0</v>
      </c>
      <c r="D110" s="146" t="str">
        <f>VLOOKUP(C110,A3:B$380,2,FALSE)</f>
        <v>#N/A</v>
      </c>
      <c r="E110" s="146">
        <f t="shared" si="3"/>
        <v>81</v>
      </c>
      <c r="F110" s="146">
        <f t="shared" si="6"/>
        <v>81</v>
      </c>
      <c r="G110" s="146">
        <f t="shared" ref="G110:H110" si="110">((AVERAGE(F104:F110))+(MEDIAN(F104:F110))+E110)/3</f>
        <v>81</v>
      </c>
      <c r="H110" s="146">
        <f t="shared" si="110"/>
        <v>81</v>
      </c>
      <c r="I110" s="120"/>
      <c r="J110" s="180"/>
      <c r="K110" s="181"/>
      <c r="L110" s="182"/>
      <c r="M110" s="112"/>
      <c r="N110" s="112"/>
      <c r="O110" s="112"/>
      <c r="P110" s="112"/>
      <c r="Q110" s="112"/>
      <c r="R110" s="112"/>
      <c r="S110" s="112"/>
      <c r="T110" s="112"/>
      <c r="U110" s="112"/>
      <c r="V110" s="112"/>
    </row>
    <row r="111">
      <c r="A111" s="153" t="s">
        <v>100</v>
      </c>
      <c r="B111" s="154"/>
      <c r="C111" s="130">
        <v>45392.0</v>
      </c>
      <c r="D111" s="131" t="str">
        <f>VLOOKUP(C111,A3:B$380,2,FALSE)</f>
        <v>#N/A</v>
      </c>
      <c r="E111" s="131">
        <f t="shared" si="3"/>
        <v>81</v>
      </c>
      <c r="F111" s="131">
        <f t="shared" si="6"/>
        <v>81</v>
      </c>
      <c r="G111" s="131">
        <f t="shared" ref="G111:H111" si="111">((AVERAGE(F105:F111))+(MEDIAN(F105:F111))+E111)/3</f>
        <v>81</v>
      </c>
      <c r="H111" s="131">
        <f t="shared" si="111"/>
        <v>81</v>
      </c>
      <c r="I111" s="120"/>
      <c r="J111" s="180"/>
      <c r="K111" s="181"/>
      <c r="L111" s="182"/>
      <c r="M111" s="112"/>
      <c r="N111" s="112"/>
      <c r="O111" s="112"/>
      <c r="P111" s="112"/>
      <c r="Q111" s="112"/>
      <c r="R111" s="112"/>
      <c r="S111" s="112"/>
      <c r="T111" s="112"/>
      <c r="U111" s="112"/>
      <c r="V111" s="112"/>
    </row>
    <row r="112">
      <c r="A112" s="158" t="s">
        <v>100</v>
      </c>
      <c r="B112" s="144"/>
      <c r="C112" s="145">
        <v>45393.0</v>
      </c>
      <c r="D112" s="146" t="str">
        <f>VLOOKUP(C112,A3:B$380,2,FALSE)</f>
        <v>#N/A</v>
      </c>
      <c r="E112" s="146">
        <f t="shared" si="3"/>
        <v>81</v>
      </c>
      <c r="F112" s="146">
        <f t="shared" si="6"/>
        <v>81</v>
      </c>
      <c r="G112" s="146">
        <f t="shared" ref="G112:H112" si="112">((AVERAGE(F106:F112))+(MEDIAN(F106:F112))+E112)/3</f>
        <v>81</v>
      </c>
      <c r="H112" s="146">
        <f t="shared" si="112"/>
        <v>81</v>
      </c>
      <c r="I112" s="120"/>
      <c r="J112" s="180"/>
      <c r="K112" s="181"/>
      <c r="L112" s="182"/>
      <c r="M112" s="112"/>
      <c r="N112" s="112"/>
      <c r="O112" s="112"/>
      <c r="P112" s="112"/>
      <c r="Q112" s="112"/>
      <c r="R112" s="112"/>
      <c r="S112" s="112"/>
      <c r="T112" s="112"/>
      <c r="U112" s="112"/>
      <c r="V112" s="112"/>
    </row>
    <row r="113">
      <c r="A113" s="153" t="s">
        <v>100</v>
      </c>
      <c r="B113" s="154"/>
      <c r="C113" s="130">
        <v>45394.0</v>
      </c>
      <c r="D113" s="131" t="str">
        <f>VLOOKUP(C113,A3:B$380,2,FALSE)</f>
        <v>#N/A</v>
      </c>
      <c r="E113" s="131">
        <f t="shared" si="3"/>
        <v>81</v>
      </c>
      <c r="F113" s="131">
        <f t="shared" si="6"/>
        <v>81</v>
      </c>
      <c r="G113" s="131">
        <f t="shared" ref="G113:H113" si="113">((AVERAGE(F107:F113))+(MEDIAN(F107:F113))+E113)/3</f>
        <v>81</v>
      </c>
      <c r="H113" s="131">
        <f t="shared" si="113"/>
        <v>81</v>
      </c>
      <c r="I113" s="120"/>
      <c r="J113" s="180"/>
      <c r="K113" s="181"/>
      <c r="L113" s="182"/>
      <c r="M113" s="112"/>
      <c r="N113" s="112"/>
      <c r="O113" s="112"/>
      <c r="P113" s="112"/>
      <c r="Q113" s="112"/>
      <c r="R113" s="112"/>
      <c r="S113" s="112"/>
      <c r="T113" s="112"/>
      <c r="U113" s="112"/>
      <c r="V113" s="112"/>
    </row>
    <row r="114">
      <c r="A114" s="158" t="s">
        <v>100</v>
      </c>
      <c r="B114" s="144"/>
      <c r="C114" s="173">
        <v>45395.0</v>
      </c>
      <c r="D114" s="174" t="str">
        <f>VLOOKUP(C114,A3:B$380,2,FALSE)</f>
        <v>#N/A</v>
      </c>
      <c r="E114" s="174">
        <f t="shared" si="3"/>
        <v>81</v>
      </c>
      <c r="F114" s="174">
        <f t="shared" si="6"/>
        <v>81</v>
      </c>
      <c r="G114" s="174">
        <f t="shared" ref="G114:H114" si="114">((AVERAGE(F108:F114))+(MEDIAN(F108:F114))+E114)/3</f>
        <v>81</v>
      </c>
      <c r="H114" s="174">
        <f t="shared" si="114"/>
        <v>81</v>
      </c>
      <c r="I114" s="120"/>
      <c r="J114" s="180"/>
      <c r="K114" s="181"/>
      <c r="L114" s="182"/>
      <c r="M114" s="112"/>
      <c r="N114" s="112"/>
      <c r="O114" s="112"/>
      <c r="P114" s="112"/>
      <c r="Q114" s="112"/>
      <c r="R114" s="112"/>
      <c r="S114" s="112"/>
      <c r="T114" s="112"/>
      <c r="U114" s="112"/>
      <c r="V114" s="112"/>
    </row>
    <row r="115">
      <c r="A115" s="153" t="s">
        <v>100</v>
      </c>
      <c r="B115" s="154"/>
      <c r="C115" s="130">
        <v>45396.0</v>
      </c>
      <c r="D115" s="131" t="str">
        <f>VLOOKUP(C115,A3:B$380,2,FALSE)</f>
        <v>#N/A</v>
      </c>
      <c r="E115" s="131">
        <f t="shared" si="3"/>
        <v>81</v>
      </c>
      <c r="F115" s="131">
        <f t="shared" si="6"/>
        <v>81</v>
      </c>
      <c r="G115" s="131">
        <f t="shared" ref="G115:H115" si="115">((AVERAGE(F109:F115))+(MEDIAN(F109:F115))+E115)/3</f>
        <v>81</v>
      </c>
      <c r="H115" s="131">
        <f t="shared" si="115"/>
        <v>81</v>
      </c>
      <c r="I115" s="120"/>
      <c r="J115" s="180"/>
      <c r="K115" s="181"/>
      <c r="L115" s="182"/>
      <c r="M115" s="112"/>
      <c r="N115" s="112"/>
      <c r="O115" s="112"/>
      <c r="P115" s="112"/>
      <c r="Q115" s="112"/>
      <c r="R115" s="112"/>
      <c r="S115" s="112"/>
      <c r="T115" s="112"/>
      <c r="U115" s="112"/>
      <c r="V115" s="112"/>
    </row>
    <row r="116">
      <c r="A116" s="158" t="s">
        <v>100</v>
      </c>
      <c r="B116" s="144"/>
      <c r="C116" s="145">
        <v>45397.0</v>
      </c>
      <c r="D116" s="146" t="str">
        <f>VLOOKUP(C116,A3:B$380,2,FALSE)</f>
        <v>#N/A</v>
      </c>
      <c r="E116" s="146">
        <f t="shared" si="3"/>
        <v>81</v>
      </c>
      <c r="F116" s="146">
        <f t="shared" si="6"/>
        <v>81</v>
      </c>
      <c r="G116" s="146">
        <f t="shared" ref="G116:H116" si="116">((AVERAGE(F110:F116))+(MEDIAN(F110:F116))+E116)/3</f>
        <v>81</v>
      </c>
      <c r="H116" s="146">
        <f t="shared" si="116"/>
        <v>81</v>
      </c>
      <c r="I116" s="120"/>
      <c r="J116" s="180"/>
      <c r="K116" s="181"/>
      <c r="L116" s="182"/>
      <c r="M116" s="112"/>
      <c r="N116" s="112"/>
      <c r="O116" s="112"/>
      <c r="P116" s="112"/>
      <c r="Q116" s="112"/>
      <c r="R116" s="112"/>
      <c r="S116" s="112"/>
      <c r="T116" s="112"/>
      <c r="U116" s="112"/>
      <c r="V116" s="112"/>
    </row>
    <row r="117">
      <c r="A117" s="153" t="s">
        <v>100</v>
      </c>
      <c r="B117" s="154"/>
      <c r="C117" s="130">
        <v>45398.0</v>
      </c>
      <c r="D117" s="131" t="str">
        <f>VLOOKUP(C117,A3:B$380,2,FALSE)</f>
        <v>#N/A</v>
      </c>
      <c r="E117" s="131">
        <f t="shared" si="3"/>
        <v>81</v>
      </c>
      <c r="F117" s="131">
        <f t="shared" si="6"/>
        <v>81</v>
      </c>
      <c r="G117" s="131">
        <f t="shared" ref="G117:H117" si="117">((AVERAGE(F111:F117))+(MEDIAN(F111:F117))+E117)/3</f>
        <v>81</v>
      </c>
      <c r="H117" s="131">
        <f t="shared" si="117"/>
        <v>81</v>
      </c>
      <c r="I117" s="120"/>
      <c r="J117" s="180"/>
      <c r="K117" s="181"/>
      <c r="L117" s="182"/>
      <c r="M117" s="112"/>
      <c r="N117" s="112"/>
      <c r="O117" s="112"/>
      <c r="P117" s="112"/>
      <c r="Q117" s="112"/>
      <c r="R117" s="112"/>
      <c r="S117" s="112"/>
      <c r="T117" s="112"/>
      <c r="U117" s="112"/>
      <c r="V117" s="112"/>
    </row>
    <row r="118">
      <c r="A118" s="158" t="s">
        <v>100</v>
      </c>
      <c r="B118" s="144"/>
      <c r="C118" s="145">
        <v>45399.0</v>
      </c>
      <c r="D118" s="146" t="str">
        <f>VLOOKUP(C118,A3:B$380,2,FALSE)</f>
        <v>#N/A</v>
      </c>
      <c r="E118" s="146">
        <f t="shared" si="3"/>
        <v>81</v>
      </c>
      <c r="F118" s="146">
        <f t="shared" si="6"/>
        <v>81</v>
      </c>
      <c r="G118" s="146">
        <f t="shared" ref="G118:H118" si="118">((AVERAGE(F112:F118))+(MEDIAN(F112:F118))+E118)/3</f>
        <v>81</v>
      </c>
      <c r="H118" s="146">
        <f t="shared" si="118"/>
        <v>81</v>
      </c>
      <c r="I118" s="120"/>
      <c r="J118" s="180"/>
      <c r="K118" s="181"/>
      <c r="L118" s="182"/>
      <c r="M118" s="112"/>
      <c r="N118" s="112"/>
      <c r="O118" s="112"/>
      <c r="P118" s="112"/>
      <c r="Q118" s="112"/>
      <c r="R118" s="112"/>
      <c r="S118" s="112"/>
      <c r="T118" s="112"/>
      <c r="U118" s="112"/>
      <c r="V118" s="112"/>
    </row>
    <row r="119">
      <c r="A119" s="153" t="s">
        <v>100</v>
      </c>
      <c r="B119" s="154"/>
      <c r="C119" s="130">
        <v>45400.0</v>
      </c>
      <c r="D119" s="131" t="str">
        <f>VLOOKUP(C119,A3:B$380,2,FALSE)</f>
        <v>#N/A</v>
      </c>
      <c r="E119" s="131">
        <f t="shared" si="3"/>
        <v>81</v>
      </c>
      <c r="F119" s="131">
        <f t="shared" si="6"/>
        <v>81</v>
      </c>
      <c r="G119" s="131">
        <f t="shared" ref="G119:H119" si="119">((AVERAGE(F113:F119))+(MEDIAN(F113:F119))+E119)/3</f>
        <v>81</v>
      </c>
      <c r="H119" s="131">
        <f t="shared" si="119"/>
        <v>81</v>
      </c>
      <c r="I119" s="120"/>
      <c r="J119" s="180"/>
      <c r="K119" s="181"/>
      <c r="L119" s="182"/>
      <c r="M119" s="112"/>
      <c r="N119" s="112"/>
      <c r="O119" s="112"/>
      <c r="P119" s="112"/>
      <c r="Q119" s="112"/>
      <c r="R119" s="112"/>
      <c r="S119" s="112"/>
      <c r="T119" s="112"/>
      <c r="U119" s="112"/>
      <c r="V119" s="112"/>
    </row>
    <row r="120">
      <c r="A120" s="158" t="s">
        <v>100</v>
      </c>
      <c r="B120" s="144"/>
      <c r="C120" s="145">
        <v>45401.0</v>
      </c>
      <c r="D120" s="146" t="str">
        <f>VLOOKUP(C120,A3:B$380,2,FALSE)</f>
        <v>#N/A</v>
      </c>
      <c r="E120" s="146">
        <f t="shared" si="3"/>
        <v>81</v>
      </c>
      <c r="F120" s="146">
        <f t="shared" si="6"/>
        <v>81</v>
      </c>
      <c r="G120" s="146">
        <f t="shared" ref="G120:H120" si="120">((AVERAGE(F114:F120))+(MEDIAN(F114:F120))+E120)/3</f>
        <v>81</v>
      </c>
      <c r="H120" s="146">
        <f t="shared" si="120"/>
        <v>81</v>
      </c>
      <c r="I120" s="120"/>
      <c r="J120" s="180"/>
      <c r="K120" s="181"/>
      <c r="L120" s="182"/>
      <c r="M120" s="112"/>
      <c r="N120" s="112"/>
      <c r="O120" s="112"/>
      <c r="P120" s="112"/>
      <c r="Q120" s="112"/>
      <c r="R120" s="112"/>
      <c r="S120" s="112"/>
      <c r="T120" s="112"/>
      <c r="U120" s="112"/>
      <c r="V120" s="112"/>
    </row>
    <row r="121">
      <c r="A121" s="153" t="s">
        <v>100</v>
      </c>
      <c r="B121" s="154"/>
      <c r="C121" s="168">
        <v>45402.0</v>
      </c>
      <c r="D121" s="169" t="str">
        <f>VLOOKUP(C121,A3:B$380,2,FALSE)</f>
        <v>#N/A</v>
      </c>
      <c r="E121" s="169">
        <f t="shared" si="3"/>
        <v>81</v>
      </c>
      <c r="F121" s="169">
        <f t="shared" si="6"/>
        <v>81</v>
      </c>
      <c r="G121" s="169">
        <f t="shared" ref="G121:H121" si="121">((AVERAGE(F115:F121))+(MEDIAN(F115:F121))+E121)/3</f>
        <v>81</v>
      </c>
      <c r="H121" s="169">
        <f t="shared" si="121"/>
        <v>81</v>
      </c>
      <c r="I121" s="120"/>
      <c r="J121" s="180"/>
      <c r="K121" s="181"/>
      <c r="L121" s="182"/>
      <c r="M121" s="112"/>
      <c r="N121" s="112"/>
      <c r="O121" s="112"/>
      <c r="P121" s="112"/>
      <c r="Q121" s="112"/>
      <c r="R121" s="112"/>
      <c r="S121" s="112"/>
      <c r="T121" s="112"/>
      <c r="U121" s="112"/>
      <c r="V121" s="112"/>
    </row>
    <row r="122">
      <c r="A122" s="158" t="s">
        <v>100</v>
      </c>
      <c r="B122" s="144"/>
      <c r="C122" s="145">
        <v>45403.0</v>
      </c>
      <c r="D122" s="146" t="str">
        <f>VLOOKUP(C122,A3:B$380,2,FALSE)</f>
        <v>#N/A</v>
      </c>
      <c r="E122" s="146">
        <f t="shared" si="3"/>
        <v>81</v>
      </c>
      <c r="F122" s="146">
        <f t="shared" si="6"/>
        <v>81</v>
      </c>
      <c r="G122" s="146">
        <f t="shared" ref="G122:H122" si="122">((AVERAGE(F116:F122))+(MEDIAN(F116:F122))+E122)/3</f>
        <v>81</v>
      </c>
      <c r="H122" s="146">
        <f t="shared" si="122"/>
        <v>81</v>
      </c>
      <c r="I122" s="120"/>
      <c r="J122" s="180"/>
      <c r="K122" s="181"/>
      <c r="L122" s="182"/>
      <c r="M122" s="112"/>
      <c r="N122" s="112"/>
      <c r="O122" s="112"/>
      <c r="P122" s="112"/>
      <c r="Q122" s="112"/>
      <c r="R122" s="112"/>
      <c r="S122" s="112"/>
      <c r="T122" s="112"/>
      <c r="U122" s="112"/>
      <c r="V122" s="112"/>
    </row>
    <row r="123">
      <c r="A123" s="153" t="s">
        <v>100</v>
      </c>
      <c r="B123" s="154"/>
      <c r="C123" s="130">
        <v>45404.0</v>
      </c>
      <c r="D123" s="131" t="str">
        <f>VLOOKUP(C123,A3:B$380,2,FALSE)</f>
        <v>#N/A</v>
      </c>
      <c r="E123" s="131">
        <f t="shared" si="3"/>
        <v>81</v>
      </c>
      <c r="F123" s="131">
        <f t="shared" si="6"/>
        <v>81</v>
      </c>
      <c r="G123" s="131">
        <f t="shared" ref="G123:H123" si="123">((AVERAGE(F117:F123))+(MEDIAN(F117:F123))+E123)/3</f>
        <v>81</v>
      </c>
      <c r="H123" s="131">
        <f t="shared" si="123"/>
        <v>81</v>
      </c>
      <c r="I123" s="120"/>
      <c r="J123" s="180"/>
      <c r="K123" s="181"/>
      <c r="L123" s="182"/>
      <c r="M123" s="112"/>
      <c r="N123" s="112"/>
      <c r="O123" s="112"/>
      <c r="P123" s="112"/>
      <c r="Q123" s="112"/>
      <c r="R123" s="112"/>
      <c r="S123" s="112"/>
      <c r="T123" s="112"/>
      <c r="U123" s="112"/>
      <c r="V123" s="112"/>
    </row>
    <row r="124">
      <c r="A124" s="158" t="s">
        <v>100</v>
      </c>
      <c r="B124" s="144"/>
      <c r="C124" s="145">
        <v>45405.0</v>
      </c>
      <c r="D124" s="146" t="str">
        <f>VLOOKUP(C124,A3:B$380,2,FALSE)</f>
        <v>#N/A</v>
      </c>
      <c r="E124" s="146">
        <f t="shared" si="3"/>
        <v>81</v>
      </c>
      <c r="F124" s="146">
        <f t="shared" si="6"/>
        <v>81</v>
      </c>
      <c r="G124" s="146">
        <f t="shared" ref="G124:H124" si="124">((AVERAGE(F118:F124))+(MEDIAN(F118:F124))+E124)/3</f>
        <v>81</v>
      </c>
      <c r="H124" s="146">
        <f t="shared" si="124"/>
        <v>81</v>
      </c>
      <c r="I124" s="120"/>
      <c r="J124" s="180"/>
      <c r="K124" s="181"/>
      <c r="L124" s="182"/>
      <c r="M124" s="112"/>
      <c r="N124" s="112"/>
      <c r="O124" s="112"/>
      <c r="P124" s="112"/>
      <c r="Q124" s="112"/>
      <c r="R124" s="112"/>
      <c r="S124" s="112"/>
      <c r="T124" s="112"/>
      <c r="U124" s="112"/>
      <c r="V124" s="112"/>
    </row>
    <row r="125">
      <c r="A125" s="153" t="s">
        <v>100</v>
      </c>
      <c r="B125" s="154"/>
      <c r="C125" s="130">
        <v>45406.0</v>
      </c>
      <c r="D125" s="131" t="str">
        <f>VLOOKUP(C125,A3:B$380,2,FALSE)</f>
        <v>#N/A</v>
      </c>
      <c r="E125" s="131">
        <f t="shared" si="3"/>
        <v>81</v>
      </c>
      <c r="F125" s="131">
        <f t="shared" si="6"/>
        <v>81</v>
      </c>
      <c r="G125" s="131">
        <f t="shared" ref="G125:H125" si="125">((AVERAGE(F119:F125))+(MEDIAN(F119:F125))+E125)/3</f>
        <v>81</v>
      </c>
      <c r="H125" s="131">
        <f t="shared" si="125"/>
        <v>81</v>
      </c>
      <c r="I125" s="120"/>
      <c r="J125" s="180"/>
      <c r="K125" s="181"/>
      <c r="L125" s="182"/>
      <c r="M125" s="112"/>
      <c r="N125" s="112"/>
      <c r="O125" s="112"/>
      <c r="P125" s="112"/>
      <c r="Q125" s="112"/>
      <c r="R125" s="112"/>
      <c r="S125" s="112"/>
      <c r="T125" s="112"/>
      <c r="U125" s="112"/>
      <c r="V125" s="112"/>
    </row>
    <row r="126">
      <c r="A126" s="158" t="s">
        <v>100</v>
      </c>
      <c r="B126" s="144"/>
      <c r="C126" s="145">
        <v>45407.0</v>
      </c>
      <c r="D126" s="146" t="str">
        <f>VLOOKUP(C126,A3:B$380,2,FALSE)</f>
        <v>#N/A</v>
      </c>
      <c r="E126" s="146">
        <f t="shared" si="3"/>
        <v>81</v>
      </c>
      <c r="F126" s="146">
        <f t="shared" si="6"/>
        <v>81</v>
      </c>
      <c r="G126" s="146">
        <f t="shared" ref="G126:H126" si="126">((AVERAGE(F120:F126))+(MEDIAN(F120:F126))+E126)/3</f>
        <v>81</v>
      </c>
      <c r="H126" s="146">
        <f t="shared" si="126"/>
        <v>81</v>
      </c>
      <c r="I126" s="120"/>
      <c r="J126" s="180"/>
      <c r="K126" s="181"/>
      <c r="L126" s="182"/>
      <c r="M126" s="112"/>
      <c r="N126" s="112"/>
      <c r="O126" s="112"/>
      <c r="P126" s="112"/>
      <c r="Q126" s="112"/>
      <c r="R126" s="112"/>
      <c r="S126" s="112"/>
      <c r="T126" s="112"/>
      <c r="U126" s="112"/>
      <c r="V126" s="112"/>
    </row>
    <row r="127">
      <c r="A127" s="153" t="s">
        <v>100</v>
      </c>
      <c r="B127" s="154"/>
      <c r="C127" s="130">
        <v>45408.0</v>
      </c>
      <c r="D127" s="131" t="str">
        <f>VLOOKUP(C127,A3:B$380,2,FALSE)</f>
        <v>#N/A</v>
      </c>
      <c r="E127" s="131">
        <f t="shared" si="3"/>
        <v>81</v>
      </c>
      <c r="F127" s="131">
        <f t="shared" si="6"/>
        <v>81</v>
      </c>
      <c r="G127" s="131">
        <f t="shared" ref="G127:H127" si="127">((AVERAGE(F121:F127))+(MEDIAN(F121:F127))+E127)/3</f>
        <v>81</v>
      </c>
      <c r="H127" s="131">
        <f t="shared" si="127"/>
        <v>81</v>
      </c>
      <c r="I127" s="120"/>
      <c r="J127" s="180"/>
      <c r="K127" s="181"/>
      <c r="L127" s="182"/>
      <c r="M127" s="112"/>
      <c r="N127" s="112"/>
      <c r="O127" s="112"/>
      <c r="P127" s="112"/>
      <c r="Q127" s="112"/>
      <c r="R127" s="112"/>
      <c r="S127" s="112"/>
      <c r="T127" s="112"/>
      <c r="U127" s="112"/>
      <c r="V127" s="112"/>
    </row>
    <row r="128">
      <c r="A128" s="158" t="s">
        <v>100</v>
      </c>
      <c r="B128" s="144"/>
      <c r="C128" s="173">
        <v>45409.0</v>
      </c>
      <c r="D128" s="174" t="str">
        <f>VLOOKUP(C128,A3:B$380,2,FALSE)</f>
        <v>#N/A</v>
      </c>
      <c r="E128" s="174">
        <f t="shared" si="3"/>
        <v>81</v>
      </c>
      <c r="F128" s="174">
        <f t="shared" si="6"/>
        <v>81</v>
      </c>
      <c r="G128" s="174">
        <f t="shared" ref="G128:H128" si="128">((AVERAGE(F122:F128))+(MEDIAN(F122:F128))+E128)/3</f>
        <v>81</v>
      </c>
      <c r="H128" s="174">
        <f t="shared" si="128"/>
        <v>81</v>
      </c>
      <c r="I128" s="120"/>
      <c r="J128" s="180"/>
      <c r="K128" s="181"/>
      <c r="L128" s="182"/>
      <c r="M128" s="112"/>
      <c r="N128" s="112"/>
      <c r="O128" s="112"/>
      <c r="P128" s="112"/>
      <c r="Q128" s="112"/>
      <c r="R128" s="112"/>
      <c r="S128" s="112"/>
      <c r="T128" s="112"/>
      <c r="U128" s="112"/>
      <c r="V128" s="112"/>
    </row>
    <row r="129">
      <c r="A129" s="153" t="s">
        <v>100</v>
      </c>
      <c r="B129" s="154"/>
      <c r="C129" s="130">
        <v>45410.0</v>
      </c>
      <c r="D129" s="131" t="str">
        <f>VLOOKUP(C129,A3:B$380,2,FALSE)</f>
        <v>#N/A</v>
      </c>
      <c r="E129" s="131">
        <f t="shared" si="3"/>
        <v>81</v>
      </c>
      <c r="F129" s="131">
        <f t="shared" si="6"/>
        <v>81</v>
      </c>
      <c r="G129" s="131">
        <f t="shared" ref="G129:H129" si="129">((AVERAGE(F123:F129))+(MEDIAN(F123:F129))+E129)/3</f>
        <v>81</v>
      </c>
      <c r="H129" s="131">
        <f t="shared" si="129"/>
        <v>81</v>
      </c>
      <c r="I129" s="120"/>
      <c r="J129" s="180"/>
      <c r="K129" s="181"/>
      <c r="L129" s="182"/>
      <c r="M129" s="112"/>
      <c r="N129" s="112"/>
      <c r="O129" s="112"/>
      <c r="P129" s="112"/>
      <c r="Q129" s="112"/>
      <c r="R129" s="112"/>
      <c r="S129" s="112"/>
      <c r="T129" s="112"/>
      <c r="U129" s="112"/>
      <c r="V129" s="112"/>
    </row>
    <row r="130">
      <c r="A130" s="158" t="s">
        <v>100</v>
      </c>
      <c r="B130" s="144"/>
      <c r="C130" s="145">
        <v>45411.0</v>
      </c>
      <c r="D130" s="146" t="str">
        <f>VLOOKUP(C130,A3:B$380,2,FALSE)</f>
        <v>#N/A</v>
      </c>
      <c r="E130" s="146">
        <f t="shared" si="3"/>
        <v>81</v>
      </c>
      <c r="F130" s="146">
        <f t="shared" si="6"/>
        <v>81</v>
      </c>
      <c r="G130" s="146">
        <f t="shared" ref="G130:H130" si="130">((AVERAGE(F124:F130))+(MEDIAN(F124:F130))+E130)/3</f>
        <v>81</v>
      </c>
      <c r="H130" s="146">
        <f t="shared" si="130"/>
        <v>81</v>
      </c>
      <c r="I130" s="120"/>
      <c r="J130" s="180"/>
      <c r="K130" s="181"/>
      <c r="L130" s="182"/>
      <c r="M130" s="112"/>
      <c r="N130" s="112"/>
      <c r="O130" s="112"/>
      <c r="P130" s="112"/>
      <c r="Q130" s="112"/>
      <c r="R130" s="112"/>
      <c r="S130" s="112"/>
      <c r="T130" s="112"/>
      <c r="U130" s="112"/>
      <c r="V130" s="112"/>
    </row>
    <row r="131">
      <c r="A131" s="153" t="s">
        <v>100</v>
      </c>
      <c r="B131" s="154"/>
      <c r="C131" s="130">
        <v>45412.0</v>
      </c>
      <c r="D131" s="131" t="str">
        <f>VLOOKUP(C131,A3:B$380,2,FALSE)</f>
        <v>#N/A</v>
      </c>
      <c r="E131" s="131">
        <f t="shared" si="3"/>
        <v>81</v>
      </c>
      <c r="F131" s="131">
        <f t="shared" si="6"/>
        <v>81</v>
      </c>
      <c r="G131" s="131">
        <f t="shared" ref="G131:H131" si="131">((AVERAGE(F125:F131))+(MEDIAN(F125:F131))+E131)/3</f>
        <v>81</v>
      </c>
      <c r="H131" s="131">
        <f t="shared" si="131"/>
        <v>81</v>
      </c>
      <c r="I131" s="120"/>
      <c r="J131" s="180"/>
      <c r="K131" s="181"/>
      <c r="L131" s="182"/>
      <c r="M131" s="112"/>
      <c r="N131" s="112"/>
      <c r="O131" s="112"/>
      <c r="P131" s="112"/>
      <c r="Q131" s="112"/>
      <c r="R131" s="112"/>
      <c r="S131" s="112"/>
      <c r="T131" s="112"/>
      <c r="U131" s="112"/>
      <c r="V131" s="112"/>
    </row>
    <row r="132">
      <c r="A132" s="158" t="s">
        <v>100</v>
      </c>
      <c r="B132" s="144"/>
      <c r="C132" s="145">
        <v>45413.0</v>
      </c>
      <c r="D132" s="146" t="str">
        <f>VLOOKUP(C132,A3:B$380,2,FALSE)</f>
        <v>#N/A</v>
      </c>
      <c r="E132" s="146">
        <f t="shared" si="3"/>
        <v>81</v>
      </c>
      <c r="F132" s="146">
        <f t="shared" si="6"/>
        <v>81</v>
      </c>
      <c r="G132" s="146">
        <f t="shared" ref="G132:H132" si="132">((AVERAGE(F126:F132))+(MEDIAN(F126:F132))+E132)/3</f>
        <v>81</v>
      </c>
      <c r="H132" s="146">
        <f t="shared" si="132"/>
        <v>81</v>
      </c>
      <c r="I132" s="120"/>
      <c r="J132" s="180"/>
      <c r="K132" s="181"/>
      <c r="L132" s="182"/>
      <c r="M132" s="112"/>
      <c r="N132" s="112"/>
      <c r="O132" s="112"/>
      <c r="P132" s="112"/>
      <c r="Q132" s="112"/>
      <c r="R132" s="112"/>
      <c r="S132" s="112"/>
      <c r="T132" s="112"/>
      <c r="U132" s="112"/>
      <c r="V132" s="112"/>
    </row>
    <row r="133">
      <c r="A133" s="153" t="s">
        <v>100</v>
      </c>
      <c r="B133" s="154"/>
      <c r="C133" s="130">
        <v>45414.0</v>
      </c>
      <c r="D133" s="131" t="str">
        <f>VLOOKUP(C133,A3:B$380,2,FALSE)</f>
        <v>#N/A</v>
      </c>
      <c r="E133" s="131">
        <f t="shared" si="3"/>
        <v>81</v>
      </c>
      <c r="F133" s="131">
        <f t="shared" si="6"/>
        <v>81</v>
      </c>
      <c r="G133" s="131">
        <f t="shared" ref="G133:H133" si="133">((AVERAGE(F127:F133))+(MEDIAN(F127:F133))+E133)/3</f>
        <v>81</v>
      </c>
      <c r="H133" s="131">
        <f t="shared" si="133"/>
        <v>81</v>
      </c>
      <c r="I133" s="120"/>
      <c r="J133" s="180"/>
      <c r="K133" s="181"/>
      <c r="L133" s="182"/>
      <c r="M133" s="112"/>
      <c r="N133" s="112"/>
      <c r="O133" s="112"/>
      <c r="P133" s="112"/>
      <c r="Q133" s="112"/>
      <c r="R133" s="112"/>
      <c r="S133" s="112"/>
      <c r="T133" s="112"/>
      <c r="U133" s="112"/>
      <c r="V133" s="112"/>
    </row>
    <row r="134">
      <c r="A134" s="158" t="s">
        <v>100</v>
      </c>
      <c r="B134" s="144"/>
      <c r="C134" s="145">
        <v>45415.0</v>
      </c>
      <c r="D134" s="146" t="str">
        <f>VLOOKUP(C134,A3:B$380,2,FALSE)</f>
        <v>#N/A</v>
      </c>
      <c r="E134" s="146">
        <f t="shared" si="3"/>
        <v>81</v>
      </c>
      <c r="F134" s="146">
        <f t="shared" si="6"/>
        <v>81</v>
      </c>
      <c r="G134" s="146">
        <f t="shared" ref="G134:H134" si="134">((AVERAGE(F128:F134))+(MEDIAN(F128:F134))+E134)/3</f>
        <v>81</v>
      </c>
      <c r="H134" s="146">
        <f t="shared" si="134"/>
        <v>81</v>
      </c>
      <c r="I134" s="120"/>
      <c r="J134" s="180"/>
      <c r="K134" s="181"/>
      <c r="L134" s="182"/>
      <c r="M134" s="112"/>
      <c r="N134" s="112"/>
      <c r="O134" s="112"/>
      <c r="P134" s="112"/>
      <c r="Q134" s="112"/>
      <c r="R134" s="112"/>
      <c r="S134" s="112"/>
      <c r="T134" s="112"/>
      <c r="U134" s="112"/>
      <c r="V134" s="112"/>
    </row>
    <row r="135">
      <c r="A135" s="153" t="s">
        <v>100</v>
      </c>
      <c r="B135" s="154"/>
      <c r="C135" s="168">
        <v>45416.0</v>
      </c>
      <c r="D135" s="169" t="str">
        <f>VLOOKUP(C135,A3:B$380,2,FALSE)</f>
        <v>#N/A</v>
      </c>
      <c r="E135" s="169">
        <f t="shared" si="3"/>
        <v>81</v>
      </c>
      <c r="F135" s="169">
        <f t="shared" si="6"/>
        <v>81</v>
      </c>
      <c r="G135" s="169">
        <f t="shared" ref="G135:H135" si="135">((AVERAGE(F129:F135))+(MEDIAN(F129:F135))+E135)/3</f>
        <v>81</v>
      </c>
      <c r="H135" s="169">
        <f t="shared" si="135"/>
        <v>81</v>
      </c>
      <c r="I135" s="120"/>
      <c r="J135" s="180"/>
      <c r="K135" s="181"/>
      <c r="L135" s="182"/>
      <c r="M135" s="112"/>
      <c r="N135" s="112"/>
      <c r="O135" s="112"/>
      <c r="P135" s="112"/>
      <c r="Q135" s="112"/>
      <c r="R135" s="112"/>
      <c r="S135" s="112"/>
      <c r="T135" s="112"/>
      <c r="U135" s="112"/>
      <c r="V135" s="112"/>
    </row>
    <row r="136">
      <c r="A136" s="158" t="s">
        <v>100</v>
      </c>
      <c r="B136" s="144"/>
      <c r="C136" s="145">
        <v>45417.0</v>
      </c>
      <c r="D136" s="146" t="str">
        <f>VLOOKUP(C136,A3:B$380,2,FALSE)</f>
        <v>#N/A</v>
      </c>
      <c r="E136" s="146">
        <f t="shared" si="3"/>
        <v>81</v>
      </c>
      <c r="F136" s="146">
        <f t="shared" si="6"/>
        <v>81</v>
      </c>
      <c r="G136" s="146">
        <f t="shared" ref="G136:H136" si="136">((AVERAGE(F130:F136))+(MEDIAN(F130:F136))+E136)/3</f>
        <v>81</v>
      </c>
      <c r="H136" s="146">
        <f t="shared" si="136"/>
        <v>81</v>
      </c>
      <c r="I136" s="120"/>
      <c r="J136" s="180"/>
      <c r="K136" s="181"/>
      <c r="L136" s="182"/>
      <c r="M136" s="112"/>
      <c r="N136" s="112"/>
      <c r="O136" s="112"/>
      <c r="P136" s="112"/>
      <c r="Q136" s="112"/>
      <c r="R136" s="112"/>
      <c r="S136" s="112"/>
      <c r="T136" s="112"/>
      <c r="U136" s="112"/>
      <c r="V136" s="112"/>
    </row>
    <row r="137">
      <c r="A137" s="153" t="s">
        <v>100</v>
      </c>
      <c r="B137" s="154"/>
      <c r="C137" s="130">
        <v>45418.0</v>
      </c>
      <c r="D137" s="131" t="str">
        <f>VLOOKUP(C137,A3:B$380,2,FALSE)</f>
        <v>#N/A</v>
      </c>
      <c r="E137" s="131">
        <f t="shared" si="3"/>
        <v>81</v>
      </c>
      <c r="F137" s="131">
        <f t="shared" si="6"/>
        <v>81</v>
      </c>
      <c r="G137" s="131">
        <f t="shared" ref="G137:H137" si="137">((AVERAGE(F131:F137))+(MEDIAN(F131:F137))+E137)/3</f>
        <v>81</v>
      </c>
      <c r="H137" s="131">
        <f t="shared" si="137"/>
        <v>81</v>
      </c>
      <c r="I137" s="120"/>
      <c r="J137" s="180"/>
      <c r="K137" s="181"/>
      <c r="L137" s="182"/>
      <c r="M137" s="112"/>
      <c r="N137" s="112"/>
      <c r="O137" s="112"/>
      <c r="P137" s="112"/>
      <c r="Q137" s="112"/>
      <c r="R137" s="112"/>
      <c r="S137" s="112"/>
      <c r="T137" s="112"/>
      <c r="U137" s="112"/>
      <c r="V137" s="112"/>
    </row>
    <row r="138">
      <c r="A138" s="158" t="s">
        <v>100</v>
      </c>
      <c r="B138" s="144"/>
      <c r="C138" s="145">
        <v>45419.0</v>
      </c>
      <c r="D138" s="146" t="str">
        <f>VLOOKUP(C138,A3:B$380,2,FALSE)</f>
        <v>#N/A</v>
      </c>
      <c r="E138" s="146">
        <f t="shared" si="3"/>
        <v>81</v>
      </c>
      <c r="F138" s="146">
        <f t="shared" si="6"/>
        <v>81</v>
      </c>
      <c r="G138" s="146">
        <f t="shared" ref="G138:H138" si="138">((AVERAGE(F132:F138))+(MEDIAN(F132:F138))+E138)/3</f>
        <v>81</v>
      </c>
      <c r="H138" s="146">
        <f t="shared" si="138"/>
        <v>81</v>
      </c>
      <c r="I138" s="120"/>
      <c r="J138" s="180"/>
      <c r="K138" s="181"/>
      <c r="L138" s="182"/>
      <c r="M138" s="112"/>
      <c r="N138" s="112"/>
      <c r="O138" s="112"/>
      <c r="P138" s="112"/>
      <c r="Q138" s="112"/>
      <c r="R138" s="112"/>
      <c r="S138" s="112"/>
      <c r="T138" s="112"/>
      <c r="U138" s="112"/>
      <c r="V138" s="112"/>
    </row>
    <row r="139">
      <c r="A139" s="153" t="s">
        <v>100</v>
      </c>
      <c r="B139" s="154"/>
      <c r="C139" s="130">
        <v>45420.0</v>
      </c>
      <c r="D139" s="131" t="str">
        <f>VLOOKUP(C139,A3:B$380,2,FALSE)</f>
        <v>#N/A</v>
      </c>
      <c r="E139" s="131">
        <f t="shared" si="3"/>
        <v>81</v>
      </c>
      <c r="F139" s="131">
        <f t="shared" si="6"/>
        <v>81</v>
      </c>
      <c r="G139" s="131">
        <f t="shared" ref="G139:H139" si="139">((AVERAGE(F133:F139))+(MEDIAN(F133:F139))+E139)/3</f>
        <v>81</v>
      </c>
      <c r="H139" s="131">
        <f t="shared" si="139"/>
        <v>81</v>
      </c>
      <c r="I139" s="120"/>
      <c r="J139" s="180"/>
      <c r="K139" s="181"/>
      <c r="L139" s="182"/>
      <c r="M139" s="112"/>
      <c r="N139" s="112"/>
      <c r="O139" s="112"/>
      <c r="P139" s="112"/>
      <c r="Q139" s="112"/>
      <c r="R139" s="112"/>
      <c r="S139" s="112"/>
      <c r="T139" s="112"/>
      <c r="U139" s="112"/>
      <c r="V139" s="112"/>
    </row>
    <row r="140">
      <c r="A140" s="158" t="s">
        <v>100</v>
      </c>
      <c r="B140" s="144"/>
      <c r="C140" s="145">
        <v>45421.0</v>
      </c>
      <c r="D140" s="146" t="str">
        <f>VLOOKUP(C140,A3:B$380,2,FALSE)</f>
        <v>#N/A</v>
      </c>
      <c r="E140" s="146">
        <f t="shared" si="3"/>
        <v>81</v>
      </c>
      <c r="F140" s="146">
        <f t="shared" si="6"/>
        <v>81</v>
      </c>
      <c r="G140" s="146">
        <f t="shared" ref="G140:H140" si="140">((AVERAGE(F134:F140))+(MEDIAN(F134:F140))+E140)/3</f>
        <v>81</v>
      </c>
      <c r="H140" s="146">
        <f t="shared" si="140"/>
        <v>81</v>
      </c>
      <c r="I140" s="120"/>
      <c r="J140" s="180"/>
      <c r="K140" s="181"/>
      <c r="L140" s="182"/>
      <c r="M140" s="112"/>
      <c r="N140" s="112"/>
      <c r="O140" s="112"/>
      <c r="P140" s="112"/>
      <c r="Q140" s="112"/>
      <c r="R140" s="112"/>
      <c r="S140" s="112"/>
      <c r="T140" s="112"/>
      <c r="U140" s="112"/>
      <c r="V140" s="112"/>
    </row>
    <row r="141">
      <c r="A141" s="153" t="s">
        <v>100</v>
      </c>
      <c r="B141" s="154"/>
      <c r="C141" s="130">
        <v>45422.0</v>
      </c>
      <c r="D141" s="131" t="str">
        <f>VLOOKUP(C141,A3:B$380,2,FALSE)</f>
        <v>#N/A</v>
      </c>
      <c r="E141" s="131">
        <f t="shared" si="3"/>
        <v>81</v>
      </c>
      <c r="F141" s="131">
        <f t="shared" si="6"/>
        <v>81</v>
      </c>
      <c r="G141" s="131">
        <f t="shared" ref="G141:H141" si="141">((AVERAGE(F135:F141))+(MEDIAN(F135:F141))+E141)/3</f>
        <v>81</v>
      </c>
      <c r="H141" s="131">
        <f t="shared" si="141"/>
        <v>81</v>
      </c>
      <c r="I141" s="120"/>
      <c r="J141" s="180"/>
      <c r="K141" s="181"/>
      <c r="L141" s="182"/>
      <c r="M141" s="112"/>
      <c r="N141" s="112"/>
      <c r="O141" s="112"/>
      <c r="P141" s="112"/>
      <c r="Q141" s="112"/>
      <c r="R141" s="112"/>
      <c r="S141" s="112"/>
      <c r="T141" s="112"/>
      <c r="U141" s="112"/>
      <c r="V141" s="112"/>
    </row>
    <row r="142">
      <c r="A142" s="158" t="s">
        <v>100</v>
      </c>
      <c r="B142" s="144"/>
      <c r="C142" s="173">
        <v>45423.0</v>
      </c>
      <c r="D142" s="174" t="str">
        <f>VLOOKUP(C142,A3:B$380,2,FALSE)</f>
        <v>#N/A</v>
      </c>
      <c r="E142" s="174">
        <f t="shared" si="3"/>
        <v>81</v>
      </c>
      <c r="F142" s="174">
        <f t="shared" si="6"/>
        <v>81</v>
      </c>
      <c r="G142" s="174">
        <f t="shared" ref="G142:H142" si="142">((AVERAGE(F136:F142))+(MEDIAN(F136:F142))+E142)/3</f>
        <v>81</v>
      </c>
      <c r="H142" s="174">
        <f t="shared" si="142"/>
        <v>81</v>
      </c>
      <c r="I142" s="120"/>
      <c r="J142" s="180"/>
      <c r="K142" s="181"/>
      <c r="L142" s="182"/>
      <c r="M142" s="112"/>
      <c r="N142" s="112"/>
      <c r="O142" s="112"/>
      <c r="P142" s="112"/>
      <c r="Q142" s="112"/>
      <c r="R142" s="112"/>
      <c r="S142" s="112"/>
      <c r="T142" s="112"/>
      <c r="U142" s="112"/>
      <c r="V142" s="112"/>
    </row>
    <row r="143">
      <c r="A143" s="153" t="s">
        <v>100</v>
      </c>
      <c r="B143" s="154"/>
      <c r="C143" s="130">
        <v>45424.0</v>
      </c>
      <c r="D143" s="131" t="str">
        <f>VLOOKUP(C143,A3:B$380,2,FALSE)</f>
        <v>#N/A</v>
      </c>
      <c r="E143" s="131">
        <f t="shared" si="3"/>
        <v>81</v>
      </c>
      <c r="F143" s="131">
        <f t="shared" si="6"/>
        <v>81</v>
      </c>
      <c r="G143" s="131">
        <f t="shared" ref="G143:H143" si="143">((AVERAGE(F137:F143))+(MEDIAN(F137:F143))+E143)/3</f>
        <v>81</v>
      </c>
      <c r="H143" s="131">
        <f t="shared" si="143"/>
        <v>81</v>
      </c>
      <c r="I143" s="120"/>
      <c r="J143" s="180"/>
      <c r="K143" s="181"/>
      <c r="L143" s="182"/>
      <c r="M143" s="112"/>
      <c r="N143" s="112"/>
      <c r="O143" s="112"/>
      <c r="P143" s="112"/>
      <c r="Q143" s="112"/>
      <c r="R143" s="112"/>
      <c r="S143" s="112"/>
      <c r="T143" s="112"/>
      <c r="U143" s="112"/>
      <c r="V143" s="112"/>
    </row>
    <row r="144">
      <c r="A144" s="158" t="s">
        <v>100</v>
      </c>
      <c r="B144" s="144"/>
      <c r="C144" s="145">
        <v>45425.0</v>
      </c>
      <c r="D144" s="146" t="str">
        <f>VLOOKUP(C144,A3:B$380,2,FALSE)</f>
        <v>#N/A</v>
      </c>
      <c r="E144" s="146">
        <f t="shared" si="3"/>
        <v>81</v>
      </c>
      <c r="F144" s="146">
        <f t="shared" si="6"/>
        <v>81</v>
      </c>
      <c r="G144" s="146">
        <f t="shared" ref="G144:H144" si="144">((AVERAGE(F138:F144))+(MEDIAN(F138:F144))+E144)/3</f>
        <v>81</v>
      </c>
      <c r="H144" s="146">
        <f t="shared" si="144"/>
        <v>81</v>
      </c>
      <c r="I144" s="120"/>
      <c r="J144" s="180"/>
      <c r="K144" s="181"/>
      <c r="L144" s="182"/>
      <c r="M144" s="112"/>
      <c r="N144" s="112"/>
      <c r="O144" s="112"/>
      <c r="P144" s="112"/>
      <c r="Q144" s="112"/>
      <c r="R144" s="112"/>
      <c r="S144" s="112"/>
      <c r="T144" s="112"/>
      <c r="U144" s="112"/>
      <c r="V144" s="112"/>
    </row>
    <row r="145">
      <c r="A145" s="153" t="s">
        <v>100</v>
      </c>
      <c r="B145" s="154"/>
      <c r="C145" s="130">
        <v>45426.0</v>
      </c>
      <c r="D145" s="131" t="str">
        <f>VLOOKUP(C145,A3:B$380,2,FALSE)</f>
        <v>#N/A</v>
      </c>
      <c r="E145" s="131">
        <f t="shared" si="3"/>
        <v>81</v>
      </c>
      <c r="F145" s="131">
        <f t="shared" si="6"/>
        <v>81</v>
      </c>
      <c r="G145" s="131">
        <f t="shared" ref="G145:H145" si="145">((AVERAGE(F139:F145))+(MEDIAN(F139:F145))+E145)/3</f>
        <v>81</v>
      </c>
      <c r="H145" s="131">
        <f t="shared" si="145"/>
        <v>81</v>
      </c>
      <c r="I145" s="120"/>
      <c r="J145" s="180"/>
      <c r="K145" s="181"/>
      <c r="L145" s="182"/>
      <c r="M145" s="112"/>
      <c r="N145" s="112"/>
      <c r="O145" s="112"/>
      <c r="P145" s="112"/>
      <c r="Q145" s="112"/>
      <c r="R145" s="112"/>
      <c r="S145" s="112"/>
      <c r="T145" s="112"/>
      <c r="U145" s="112"/>
      <c r="V145" s="112"/>
    </row>
    <row r="146">
      <c r="A146" s="158" t="s">
        <v>100</v>
      </c>
      <c r="B146" s="144"/>
      <c r="C146" s="145">
        <v>45427.0</v>
      </c>
      <c r="D146" s="146" t="str">
        <f>VLOOKUP(C146,A3:B$380,2,FALSE)</f>
        <v>#N/A</v>
      </c>
      <c r="E146" s="146">
        <f t="shared" si="3"/>
        <v>81</v>
      </c>
      <c r="F146" s="146">
        <f t="shared" si="6"/>
        <v>81</v>
      </c>
      <c r="G146" s="146">
        <f t="shared" ref="G146:H146" si="146">((AVERAGE(F140:F146))+(MEDIAN(F140:F146))+E146)/3</f>
        <v>81</v>
      </c>
      <c r="H146" s="146">
        <f t="shared" si="146"/>
        <v>81</v>
      </c>
      <c r="I146" s="120"/>
      <c r="J146" s="180"/>
      <c r="K146" s="181"/>
      <c r="L146" s="182"/>
      <c r="M146" s="112"/>
      <c r="N146" s="112"/>
      <c r="O146" s="112"/>
      <c r="P146" s="112"/>
      <c r="Q146" s="112"/>
      <c r="R146" s="112"/>
      <c r="S146" s="112"/>
      <c r="T146" s="112"/>
      <c r="U146" s="112"/>
      <c r="V146" s="112"/>
    </row>
    <row r="147">
      <c r="A147" s="153" t="s">
        <v>100</v>
      </c>
      <c r="B147" s="154"/>
      <c r="C147" s="130">
        <v>45428.0</v>
      </c>
      <c r="D147" s="131" t="str">
        <f>VLOOKUP(C147,A3:B$380,2,FALSE)</f>
        <v>#N/A</v>
      </c>
      <c r="E147" s="131">
        <f t="shared" si="3"/>
        <v>81</v>
      </c>
      <c r="F147" s="131">
        <f t="shared" si="6"/>
        <v>81</v>
      </c>
      <c r="G147" s="131">
        <f t="shared" ref="G147:H147" si="147">((AVERAGE(F141:F147))+(MEDIAN(F141:F147))+E147)/3</f>
        <v>81</v>
      </c>
      <c r="H147" s="131">
        <f t="shared" si="147"/>
        <v>81</v>
      </c>
      <c r="I147" s="120"/>
      <c r="J147" s="180"/>
      <c r="K147" s="181"/>
      <c r="L147" s="182"/>
      <c r="M147" s="112"/>
      <c r="N147" s="112"/>
      <c r="O147" s="112"/>
      <c r="P147" s="112"/>
      <c r="Q147" s="112"/>
      <c r="R147" s="112"/>
      <c r="S147" s="112"/>
      <c r="T147" s="112"/>
      <c r="U147" s="112"/>
      <c r="V147" s="112"/>
    </row>
    <row r="148">
      <c r="A148" s="158" t="s">
        <v>100</v>
      </c>
      <c r="B148" s="144"/>
      <c r="C148" s="145">
        <v>45429.0</v>
      </c>
      <c r="D148" s="146" t="str">
        <f>VLOOKUP(C148,A3:B$380,2,FALSE)</f>
        <v>#N/A</v>
      </c>
      <c r="E148" s="146">
        <f t="shared" si="3"/>
        <v>81</v>
      </c>
      <c r="F148" s="146">
        <f t="shared" si="6"/>
        <v>81</v>
      </c>
      <c r="G148" s="146">
        <f t="shared" ref="G148:H148" si="148">((AVERAGE(F142:F148))+(MEDIAN(F142:F148))+E148)/3</f>
        <v>81</v>
      </c>
      <c r="H148" s="146">
        <f t="shared" si="148"/>
        <v>81</v>
      </c>
      <c r="I148" s="120"/>
      <c r="J148" s="180"/>
      <c r="K148" s="181"/>
      <c r="L148" s="182"/>
      <c r="M148" s="112"/>
      <c r="N148" s="112"/>
      <c r="O148" s="112"/>
      <c r="P148" s="112"/>
      <c r="Q148" s="112"/>
      <c r="R148" s="112"/>
      <c r="S148" s="112"/>
      <c r="T148" s="112"/>
      <c r="U148" s="112"/>
      <c r="V148" s="112"/>
    </row>
    <row r="149">
      <c r="A149" s="153" t="s">
        <v>100</v>
      </c>
      <c r="B149" s="154"/>
      <c r="C149" s="168">
        <v>45430.0</v>
      </c>
      <c r="D149" s="169" t="str">
        <f>VLOOKUP(C149,A3:B$380,2,FALSE)</f>
        <v>#N/A</v>
      </c>
      <c r="E149" s="169">
        <f t="shared" si="3"/>
        <v>81</v>
      </c>
      <c r="F149" s="169">
        <f t="shared" si="6"/>
        <v>81</v>
      </c>
      <c r="G149" s="169">
        <f t="shared" ref="G149:H149" si="149">((AVERAGE(F143:F149))+(MEDIAN(F143:F149))+E149)/3</f>
        <v>81</v>
      </c>
      <c r="H149" s="169">
        <f t="shared" si="149"/>
        <v>81</v>
      </c>
      <c r="I149" s="120"/>
      <c r="J149" s="180"/>
      <c r="K149" s="181"/>
      <c r="L149" s="182"/>
      <c r="M149" s="112"/>
      <c r="N149" s="112"/>
      <c r="O149" s="112"/>
      <c r="P149" s="112"/>
      <c r="Q149" s="112"/>
      <c r="R149" s="112"/>
      <c r="S149" s="112"/>
      <c r="T149" s="112"/>
      <c r="U149" s="112"/>
      <c r="V149" s="112"/>
    </row>
    <row r="150">
      <c r="A150" s="158" t="s">
        <v>100</v>
      </c>
      <c r="B150" s="144"/>
      <c r="C150" s="145">
        <v>45431.0</v>
      </c>
      <c r="D150" s="146" t="str">
        <f>VLOOKUP(C150,A3:B$380,2,FALSE)</f>
        <v>#N/A</v>
      </c>
      <c r="E150" s="146">
        <f t="shared" si="3"/>
        <v>81</v>
      </c>
      <c r="F150" s="146">
        <f t="shared" si="6"/>
        <v>81</v>
      </c>
      <c r="G150" s="146">
        <f t="shared" ref="G150:H150" si="150">((AVERAGE(F144:F150))+(MEDIAN(F144:F150))+E150)/3</f>
        <v>81</v>
      </c>
      <c r="H150" s="146">
        <f t="shared" si="150"/>
        <v>81</v>
      </c>
      <c r="I150" s="120"/>
      <c r="J150" s="180"/>
      <c r="K150" s="181"/>
      <c r="L150" s="182"/>
      <c r="M150" s="112"/>
      <c r="N150" s="112"/>
      <c r="O150" s="112"/>
      <c r="P150" s="112"/>
      <c r="Q150" s="112"/>
      <c r="R150" s="112"/>
      <c r="S150" s="112"/>
      <c r="T150" s="112"/>
      <c r="U150" s="112"/>
      <c r="V150" s="112"/>
    </row>
    <row r="151">
      <c r="A151" s="153" t="s">
        <v>100</v>
      </c>
      <c r="B151" s="154"/>
      <c r="C151" s="130">
        <v>45432.0</v>
      </c>
      <c r="D151" s="131" t="str">
        <f>VLOOKUP(C151,A3:B$380,2,FALSE)</f>
        <v>#N/A</v>
      </c>
      <c r="E151" s="131">
        <f t="shared" si="3"/>
        <v>81</v>
      </c>
      <c r="F151" s="131">
        <f t="shared" si="6"/>
        <v>81</v>
      </c>
      <c r="G151" s="131">
        <f t="shared" ref="G151:H151" si="151">((AVERAGE(F145:F151))+(MEDIAN(F145:F151))+E151)/3</f>
        <v>81</v>
      </c>
      <c r="H151" s="131">
        <f t="shared" si="151"/>
        <v>81</v>
      </c>
      <c r="I151" s="120"/>
      <c r="J151" s="180"/>
      <c r="K151" s="181"/>
      <c r="L151" s="182"/>
      <c r="M151" s="112"/>
      <c r="N151" s="112"/>
      <c r="O151" s="112"/>
      <c r="P151" s="112"/>
      <c r="Q151" s="112"/>
      <c r="R151" s="112"/>
      <c r="S151" s="112"/>
      <c r="T151" s="112"/>
      <c r="U151" s="112"/>
      <c r="V151" s="112"/>
    </row>
    <row r="152">
      <c r="A152" s="158" t="s">
        <v>100</v>
      </c>
      <c r="B152" s="144"/>
      <c r="C152" s="145">
        <v>45433.0</v>
      </c>
      <c r="D152" s="146" t="str">
        <f>VLOOKUP(C152,A3:B$380,2,FALSE)</f>
        <v>#N/A</v>
      </c>
      <c r="E152" s="146">
        <f t="shared" si="3"/>
        <v>81</v>
      </c>
      <c r="F152" s="146">
        <f t="shared" si="6"/>
        <v>81</v>
      </c>
      <c r="G152" s="146">
        <f t="shared" ref="G152:H152" si="152">((AVERAGE(F146:F152))+(MEDIAN(F146:F152))+E152)/3</f>
        <v>81</v>
      </c>
      <c r="H152" s="146">
        <f t="shared" si="152"/>
        <v>81</v>
      </c>
      <c r="I152" s="120"/>
      <c r="J152" s="180"/>
      <c r="K152" s="181"/>
      <c r="L152" s="182"/>
      <c r="M152" s="112"/>
      <c r="N152" s="112"/>
      <c r="O152" s="112"/>
      <c r="P152" s="112"/>
      <c r="Q152" s="112"/>
      <c r="R152" s="112"/>
      <c r="S152" s="112"/>
      <c r="T152" s="112"/>
      <c r="U152" s="112"/>
      <c r="V152" s="112"/>
    </row>
    <row r="153">
      <c r="A153" s="153" t="s">
        <v>100</v>
      </c>
      <c r="B153" s="154"/>
      <c r="C153" s="130">
        <v>45434.0</v>
      </c>
      <c r="D153" s="131" t="str">
        <f>VLOOKUP(C153,A3:B$380,2,FALSE)</f>
        <v>#N/A</v>
      </c>
      <c r="E153" s="131">
        <f t="shared" si="3"/>
        <v>81</v>
      </c>
      <c r="F153" s="131">
        <f t="shared" si="6"/>
        <v>81</v>
      </c>
      <c r="G153" s="131">
        <f t="shared" ref="G153:H153" si="153">((AVERAGE(F147:F153))+(MEDIAN(F147:F153))+E153)/3</f>
        <v>81</v>
      </c>
      <c r="H153" s="131">
        <f t="shared" si="153"/>
        <v>81</v>
      </c>
      <c r="I153" s="120"/>
      <c r="J153" s="180"/>
      <c r="K153" s="181"/>
      <c r="L153" s="182"/>
      <c r="M153" s="112"/>
      <c r="N153" s="112"/>
      <c r="O153" s="112"/>
      <c r="P153" s="112"/>
      <c r="Q153" s="112"/>
      <c r="R153" s="112"/>
      <c r="S153" s="112"/>
      <c r="T153" s="112"/>
      <c r="U153" s="112"/>
      <c r="V153" s="112"/>
    </row>
    <row r="154">
      <c r="A154" s="158" t="s">
        <v>100</v>
      </c>
      <c r="B154" s="144"/>
      <c r="C154" s="145">
        <v>45435.0</v>
      </c>
      <c r="D154" s="146" t="str">
        <f>VLOOKUP(C154,A3:B$380,2,FALSE)</f>
        <v>#N/A</v>
      </c>
      <c r="E154" s="146">
        <f t="shared" si="3"/>
        <v>81</v>
      </c>
      <c r="F154" s="146">
        <f t="shared" si="6"/>
        <v>81</v>
      </c>
      <c r="G154" s="146">
        <f t="shared" ref="G154:H154" si="154">((AVERAGE(F148:F154))+(MEDIAN(F148:F154))+E154)/3</f>
        <v>81</v>
      </c>
      <c r="H154" s="146">
        <f t="shared" si="154"/>
        <v>81</v>
      </c>
      <c r="I154" s="120"/>
      <c r="J154" s="180"/>
      <c r="K154" s="181"/>
      <c r="L154" s="182"/>
      <c r="M154" s="112"/>
      <c r="N154" s="112"/>
      <c r="O154" s="112"/>
      <c r="P154" s="112"/>
      <c r="Q154" s="112"/>
      <c r="R154" s="112"/>
      <c r="S154" s="112"/>
      <c r="T154" s="112"/>
      <c r="U154" s="112"/>
      <c r="V154" s="112"/>
    </row>
    <row r="155">
      <c r="A155" s="153" t="s">
        <v>100</v>
      </c>
      <c r="B155" s="154"/>
      <c r="C155" s="130">
        <v>45436.0</v>
      </c>
      <c r="D155" s="131" t="str">
        <f>VLOOKUP(C155,A3:B$380,2,FALSE)</f>
        <v>#N/A</v>
      </c>
      <c r="E155" s="131">
        <f t="shared" si="3"/>
        <v>81</v>
      </c>
      <c r="F155" s="131">
        <f t="shared" si="6"/>
        <v>81</v>
      </c>
      <c r="G155" s="131">
        <f t="shared" ref="G155:H155" si="155">((AVERAGE(F149:F155))+(MEDIAN(F149:F155))+E155)/3</f>
        <v>81</v>
      </c>
      <c r="H155" s="131">
        <f t="shared" si="155"/>
        <v>81</v>
      </c>
      <c r="I155" s="120"/>
      <c r="J155" s="180"/>
      <c r="K155" s="181"/>
      <c r="L155" s="182"/>
      <c r="M155" s="112"/>
      <c r="N155" s="112"/>
      <c r="O155" s="112"/>
      <c r="P155" s="112"/>
      <c r="Q155" s="112"/>
      <c r="R155" s="112"/>
      <c r="S155" s="112"/>
      <c r="T155" s="112"/>
      <c r="U155" s="112"/>
      <c r="V155" s="112"/>
    </row>
    <row r="156">
      <c r="A156" s="158" t="s">
        <v>100</v>
      </c>
      <c r="B156" s="144"/>
      <c r="C156" s="173">
        <v>45437.0</v>
      </c>
      <c r="D156" s="174" t="str">
        <f>VLOOKUP(C156,A3:B$380,2,FALSE)</f>
        <v>#N/A</v>
      </c>
      <c r="E156" s="174">
        <f t="shared" si="3"/>
        <v>81</v>
      </c>
      <c r="F156" s="174">
        <f t="shared" si="6"/>
        <v>81</v>
      </c>
      <c r="G156" s="174">
        <f t="shared" ref="G156:H156" si="156">((AVERAGE(F150:F156))+(MEDIAN(F150:F156))+E156)/3</f>
        <v>81</v>
      </c>
      <c r="H156" s="174">
        <f t="shared" si="156"/>
        <v>81</v>
      </c>
      <c r="I156" s="120"/>
      <c r="J156" s="180"/>
      <c r="K156" s="181"/>
      <c r="L156" s="182"/>
      <c r="M156" s="112"/>
      <c r="N156" s="112"/>
      <c r="O156" s="112"/>
      <c r="P156" s="112"/>
      <c r="Q156" s="112"/>
      <c r="R156" s="112"/>
      <c r="S156" s="112"/>
      <c r="T156" s="112"/>
      <c r="U156" s="112"/>
      <c r="V156" s="112"/>
    </row>
    <row r="157">
      <c r="A157" s="153" t="s">
        <v>100</v>
      </c>
      <c r="B157" s="154"/>
      <c r="C157" s="130">
        <v>45438.0</v>
      </c>
      <c r="D157" s="131" t="str">
        <f>VLOOKUP(C157,A3:B$380,2,FALSE)</f>
        <v>#N/A</v>
      </c>
      <c r="E157" s="131">
        <f t="shared" si="3"/>
        <v>81</v>
      </c>
      <c r="F157" s="131">
        <f t="shared" si="6"/>
        <v>81</v>
      </c>
      <c r="G157" s="131">
        <f t="shared" ref="G157:H157" si="157">((AVERAGE(F151:F157))+(MEDIAN(F151:F157))+E157)/3</f>
        <v>81</v>
      </c>
      <c r="H157" s="131">
        <f t="shared" si="157"/>
        <v>81</v>
      </c>
      <c r="I157" s="120"/>
      <c r="J157" s="180"/>
      <c r="K157" s="181"/>
      <c r="L157" s="182"/>
      <c r="M157" s="112"/>
      <c r="N157" s="112"/>
      <c r="O157" s="112"/>
      <c r="P157" s="112"/>
      <c r="Q157" s="112"/>
      <c r="R157" s="112"/>
      <c r="S157" s="112"/>
      <c r="T157" s="112"/>
      <c r="U157" s="112"/>
      <c r="V157" s="112"/>
    </row>
    <row r="158">
      <c r="A158" s="158" t="s">
        <v>100</v>
      </c>
      <c r="B158" s="144"/>
      <c r="C158" s="145">
        <v>45439.0</v>
      </c>
      <c r="D158" s="146" t="str">
        <f>VLOOKUP(C158,A3:B$380,2,FALSE)</f>
        <v>#N/A</v>
      </c>
      <c r="E158" s="146">
        <f t="shared" si="3"/>
        <v>81</v>
      </c>
      <c r="F158" s="146">
        <f t="shared" si="6"/>
        <v>81</v>
      </c>
      <c r="G158" s="146">
        <f t="shared" ref="G158:H158" si="158">((AVERAGE(F152:F158))+(MEDIAN(F152:F158))+E158)/3</f>
        <v>81</v>
      </c>
      <c r="H158" s="146">
        <f t="shared" si="158"/>
        <v>81</v>
      </c>
      <c r="I158" s="120"/>
      <c r="J158" s="180"/>
      <c r="K158" s="181"/>
      <c r="L158" s="182"/>
      <c r="M158" s="112"/>
      <c r="N158" s="112"/>
      <c r="O158" s="112"/>
      <c r="P158" s="112"/>
      <c r="Q158" s="112"/>
      <c r="R158" s="112"/>
      <c r="S158" s="112"/>
      <c r="T158" s="112"/>
      <c r="U158" s="112"/>
      <c r="V158" s="112"/>
    </row>
    <row r="159">
      <c r="A159" s="153" t="s">
        <v>100</v>
      </c>
      <c r="B159" s="154"/>
      <c r="C159" s="130">
        <v>45440.0</v>
      </c>
      <c r="D159" s="131" t="str">
        <f>VLOOKUP(C159,A3:B$380,2,FALSE)</f>
        <v>#N/A</v>
      </c>
      <c r="E159" s="131">
        <f t="shared" si="3"/>
        <v>81</v>
      </c>
      <c r="F159" s="131">
        <f t="shared" si="6"/>
        <v>81</v>
      </c>
      <c r="G159" s="131">
        <f t="shared" ref="G159:H159" si="159">((AVERAGE(F153:F159))+(MEDIAN(F153:F159))+E159)/3</f>
        <v>81</v>
      </c>
      <c r="H159" s="131">
        <f t="shared" si="159"/>
        <v>81</v>
      </c>
      <c r="I159" s="120"/>
      <c r="J159" s="180"/>
      <c r="K159" s="181"/>
      <c r="L159" s="182"/>
      <c r="M159" s="112"/>
      <c r="N159" s="112"/>
      <c r="O159" s="112"/>
      <c r="P159" s="112"/>
      <c r="Q159" s="112"/>
      <c r="R159" s="112"/>
      <c r="S159" s="112"/>
      <c r="T159" s="112"/>
      <c r="U159" s="112"/>
      <c r="V159" s="112"/>
    </row>
    <row r="160">
      <c r="A160" s="158" t="s">
        <v>100</v>
      </c>
      <c r="B160" s="144"/>
      <c r="C160" s="145">
        <v>45441.0</v>
      </c>
      <c r="D160" s="146" t="str">
        <f>VLOOKUP(C160,A3:B$380,2,FALSE)</f>
        <v>#N/A</v>
      </c>
      <c r="E160" s="146">
        <f t="shared" si="3"/>
        <v>81</v>
      </c>
      <c r="F160" s="146">
        <f t="shared" si="6"/>
        <v>81</v>
      </c>
      <c r="G160" s="146">
        <f t="shared" ref="G160:H160" si="160">((AVERAGE(F154:F160))+(MEDIAN(F154:F160))+E160)/3</f>
        <v>81</v>
      </c>
      <c r="H160" s="146">
        <f t="shared" si="160"/>
        <v>81</v>
      </c>
      <c r="I160" s="120"/>
      <c r="J160" s="180"/>
      <c r="K160" s="181"/>
      <c r="L160" s="182"/>
      <c r="M160" s="112"/>
      <c r="N160" s="112"/>
      <c r="O160" s="112"/>
      <c r="P160" s="112"/>
      <c r="Q160" s="112"/>
      <c r="R160" s="112"/>
      <c r="S160" s="112"/>
      <c r="T160" s="112"/>
      <c r="U160" s="112"/>
      <c r="V160" s="112"/>
    </row>
    <row r="161">
      <c r="A161" s="153" t="s">
        <v>100</v>
      </c>
      <c r="B161" s="154"/>
      <c r="C161" s="130">
        <v>45442.0</v>
      </c>
      <c r="D161" s="131" t="str">
        <f>VLOOKUP(C161,A3:B$380,2,FALSE)</f>
        <v>#N/A</v>
      </c>
      <c r="E161" s="131">
        <f t="shared" si="3"/>
        <v>81</v>
      </c>
      <c r="F161" s="131">
        <f t="shared" si="6"/>
        <v>81</v>
      </c>
      <c r="G161" s="131">
        <f t="shared" ref="G161:H161" si="161">((AVERAGE(F155:F161))+(MEDIAN(F155:F161))+E161)/3</f>
        <v>81</v>
      </c>
      <c r="H161" s="131">
        <f t="shared" si="161"/>
        <v>81</v>
      </c>
      <c r="I161" s="120"/>
      <c r="J161" s="180"/>
      <c r="K161" s="181"/>
      <c r="L161" s="182"/>
      <c r="M161" s="112"/>
      <c r="N161" s="112"/>
      <c r="O161" s="112"/>
      <c r="P161" s="112"/>
      <c r="Q161" s="112"/>
      <c r="R161" s="112"/>
      <c r="S161" s="112"/>
      <c r="T161" s="112"/>
      <c r="U161" s="112"/>
      <c r="V161" s="112"/>
    </row>
    <row r="162">
      <c r="A162" s="158" t="s">
        <v>100</v>
      </c>
      <c r="B162" s="144"/>
      <c r="C162" s="145">
        <v>45443.0</v>
      </c>
      <c r="D162" s="146" t="str">
        <f>VLOOKUP(C162,A3:B$380,2,FALSE)</f>
        <v>#N/A</v>
      </c>
      <c r="E162" s="146">
        <f t="shared" si="3"/>
        <v>81</v>
      </c>
      <c r="F162" s="146">
        <f t="shared" si="6"/>
        <v>81</v>
      </c>
      <c r="G162" s="146">
        <f t="shared" ref="G162:H162" si="162">((AVERAGE(F156:F162))+(MEDIAN(F156:F162))+E162)/3</f>
        <v>81</v>
      </c>
      <c r="H162" s="146">
        <f t="shared" si="162"/>
        <v>81</v>
      </c>
      <c r="I162" s="120"/>
      <c r="J162" s="180"/>
      <c r="K162" s="181"/>
      <c r="L162" s="182"/>
      <c r="M162" s="112"/>
      <c r="N162" s="112"/>
      <c r="O162" s="112"/>
      <c r="P162" s="112"/>
      <c r="Q162" s="112"/>
      <c r="R162" s="112"/>
      <c r="S162" s="112"/>
      <c r="T162" s="112"/>
      <c r="U162" s="112"/>
      <c r="V162" s="112"/>
    </row>
    <row r="163">
      <c r="A163" s="153" t="s">
        <v>100</v>
      </c>
      <c r="B163" s="154"/>
      <c r="C163" s="168">
        <v>45444.0</v>
      </c>
      <c r="D163" s="169" t="str">
        <f>VLOOKUP(C163,A3:B$380,2,FALSE)</f>
        <v>#N/A</v>
      </c>
      <c r="E163" s="169">
        <f t="shared" si="3"/>
        <v>81</v>
      </c>
      <c r="F163" s="169">
        <f t="shared" si="6"/>
        <v>81</v>
      </c>
      <c r="G163" s="169">
        <f t="shared" ref="G163:H163" si="163">((AVERAGE(F157:F163))+(MEDIAN(F157:F163))+E163)/3</f>
        <v>81</v>
      </c>
      <c r="H163" s="169">
        <f t="shared" si="163"/>
        <v>81</v>
      </c>
      <c r="I163" s="120"/>
      <c r="J163" s="180"/>
      <c r="K163" s="181"/>
      <c r="L163" s="182"/>
      <c r="M163" s="112"/>
      <c r="N163" s="112"/>
      <c r="O163" s="112"/>
      <c r="P163" s="112"/>
      <c r="Q163" s="112"/>
      <c r="R163" s="112"/>
      <c r="S163" s="112"/>
      <c r="T163" s="112"/>
      <c r="U163" s="112"/>
      <c r="V163" s="112"/>
    </row>
    <row r="164">
      <c r="A164" s="158" t="s">
        <v>100</v>
      </c>
      <c r="B164" s="144"/>
      <c r="C164" s="145">
        <v>45445.0</v>
      </c>
      <c r="D164" s="146" t="str">
        <f>VLOOKUP(C164,A3:B$380,2,FALSE)</f>
        <v>#N/A</v>
      </c>
      <c r="E164" s="146">
        <f t="shared" si="3"/>
        <v>81</v>
      </c>
      <c r="F164" s="146">
        <f t="shared" si="6"/>
        <v>81</v>
      </c>
      <c r="G164" s="146">
        <f t="shared" ref="G164:H164" si="164">((AVERAGE(F158:F164))+(MEDIAN(F158:F164))+E164)/3</f>
        <v>81</v>
      </c>
      <c r="H164" s="146">
        <f t="shared" si="164"/>
        <v>81</v>
      </c>
      <c r="I164" s="120"/>
      <c r="J164" s="180"/>
      <c r="K164" s="181"/>
      <c r="L164" s="182"/>
      <c r="M164" s="112"/>
      <c r="N164" s="112"/>
      <c r="O164" s="112"/>
      <c r="P164" s="112"/>
      <c r="Q164" s="112"/>
      <c r="R164" s="112"/>
      <c r="S164" s="112"/>
      <c r="T164" s="112"/>
      <c r="U164" s="112"/>
      <c r="V164" s="112"/>
    </row>
    <row r="165">
      <c r="A165" s="153" t="s">
        <v>100</v>
      </c>
      <c r="B165" s="154"/>
      <c r="C165" s="130">
        <v>45446.0</v>
      </c>
      <c r="D165" s="131" t="str">
        <f>VLOOKUP(C165,A3:B$380,2,FALSE)</f>
        <v>#N/A</v>
      </c>
      <c r="E165" s="131">
        <f t="shared" si="3"/>
        <v>81</v>
      </c>
      <c r="F165" s="131">
        <f t="shared" si="6"/>
        <v>81</v>
      </c>
      <c r="G165" s="131">
        <f t="shared" ref="G165:H165" si="165">((AVERAGE(F159:F165))+(MEDIAN(F159:F165))+E165)/3</f>
        <v>81</v>
      </c>
      <c r="H165" s="131">
        <f t="shared" si="165"/>
        <v>81</v>
      </c>
      <c r="I165" s="120"/>
      <c r="J165" s="180"/>
      <c r="K165" s="181"/>
      <c r="L165" s="182"/>
      <c r="M165" s="112"/>
      <c r="N165" s="112"/>
      <c r="O165" s="112"/>
      <c r="P165" s="112"/>
      <c r="Q165" s="112"/>
      <c r="R165" s="112"/>
      <c r="S165" s="112"/>
      <c r="T165" s="112"/>
      <c r="U165" s="112"/>
      <c r="V165" s="112"/>
    </row>
    <row r="166">
      <c r="A166" s="158" t="s">
        <v>100</v>
      </c>
      <c r="B166" s="144"/>
      <c r="C166" s="145">
        <v>45447.0</v>
      </c>
      <c r="D166" s="146" t="str">
        <f>VLOOKUP(C166,A3:B$380,2,FALSE)</f>
        <v>#N/A</v>
      </c>
      <c r="E166" s="146">
        <f t="shared" si="3"/>
        <v>81</v>
      </c>
      <c r="F166" s="146">
        <f t="shared" si="6"/>
        <v>81</v>
      </c>
      <c r="G166" s="146">
        <f t="shared" ref="G166:H166" si="166">((AVERAGE(F160:F166))+(MEDIAN(F160:F166))+E166)/3</f>
        <v>81</v>
      </c>
      <c r="H166" s="146">
        <f t="shared" si="166"/>
        <v>81</v>
      </c>
      <c r="I166" s="120"/>
      <c r="J166" s="180"/>
      <c r="K166" s="181"/>
      <c r="L166" s="182"/>
      <c r="M166" s="112"/>
      <c r="N166" s="112"/>
      <c r="O166" s="112"/>
      <c r="P166" s="112"/>
      <c r="Q166" s="112"/>
      <c r="R166" s="112"/>
      <c r="S166" s="112"/>
      <c r="T166" s="112"/>
      <c r="U166" s="112"/>
      <c r="V166" s="112"/>
    </row>
    <row r="167">
      <c r="A167" s="153" t="s">
        <v>100</v>
      </c>
      <c r="B167" s="154"/>
      <c r="C167" s="130">
        <v>45448.0</v>
      </c>
      <c r="D167" s="131" t="str">
        <f>VLOOKUP(C167,A3:B$380,2,FALSE)</f>
        <v>#N/A</v>
      </c>
      <c r="E167" s="131">
        <f t="shared" si="3"/>
        <v>81</v>
      </c>
      <c r="F167" s="131">
        <f t="shared" si="6"/>
        <v>81</v>
      </c>
      <c r="G167" s="131">
        <f t="shared" ref="G167:H167" si="167">((AVERAGE(F161:F167))+(MEDIAN(F161:F167))+E167)/3</f>
        <v>81</v>
      </c>
      <c r="H167" s="131">
        <f t="shared" si="167"/>
        <v>81</v>
      </c>
      <c r="I167" s="120"/>
      <c r="J167" s="180"/>
      <c r="K167" s="181"/>
      <c r="L167" s="182"/>
      <c r="M167" s="112"/>
      <c r="N167" s="112"/>
      <c r="O167" s="112"/>
      <c r="P167" s="112"/>
      <c r="Q167" s="112"/>
      <c r="R167" s="112"/>
      <c r="S167" s="112"/>
      <c r="T167" s="112"/>
      <c r="U167" s="112"/>
      <c r="V167" s="112"/>
    </row>
    <row r="168">
      <c r="A168" s="158" t="s">
        <v>100</v>
      </c>
      <c r="B168" s="144"/>
      <c r="C168" s="145">
        <v>45449.0</v>
      </c>
      <c r="D168" s="146" t="str">
        <f>VLOOKUP(C168,A3:B$380,2,FALSE)</f>
        <v>#N/A</v>
      </c>
      <c r="E168" s="146">
        <f t="shared" si="3"/>
        <v>81</v>
      </c>
      <c r="F168" s="146">
        <f t="shared" si="6"/>
        <v>81</v>
      </c>
      <c r="G168" s="146">
        <f t="shared" ref="G168:H168" si="168">((AVERAGE(F162:F168))+(MEDIAN(F162:F168))+E168)/3</f>
        <v>81</v>
      </c>
      <c r="H168" s="146">
        <f t="shared" si="168"/>
        <v>81</v>
      </c>
      <c r="I168" s="120"/>
      <c r="J168" s="180"/>
      <c r="K168" s="181"/>
      <c r="L168" s="182"/>
      <c r="M168" s="112"/>
      <c r="N168" s="112"/>
      <c r="O168" s="112"/>
      <c r="P168" s="112"/>
      <c r="Q168" s="112"/>
      <c r="R168" s="112"/>
      <c r="S168" s="112"/>
      <c r="T168" s="112"/>
      <c r="U168" s="112"/>
      <c r="V168" s="112"/>
    </row>
    <row r="169">
      <c r="A169" s="153" t="s">
        <v>100</v>
      </c>
      <c r="B169" s="154"/>
      <c r="C169" s="130">
        <v>45450.0</v>
      </c>
      <c r="D169" s="131" t="str">
        <f>VLOOKUP(C169,A3:B$380,2,FALSE)</f>
        <v>#N/A</v>
      </c>
      <c r="E169" s="131">
        <f t="shared" si="3"/>
        <v>81</v>
      </c>
      <c r="F169" s="131">
        <f t="shared" si="6"/>
        <v>81</v>
      </c>
      <c r="G169" s="131">
        <f t="shared" ref="G169:H169" si="169">((AVERAGE(F163:F169))+(MEDIAN(F163:F169))+E169)/3</f>
        <v>81</v>
      </c>
      <c r="H169" s="131">
        <f t="shared" si="169"/>
        <v>81</v>
      </c>
      <c r="I169" s="120"/>
      <c r="J169" s="180"/>
      <c r="K169" s="181"/>
      <c r="L169" s="182"/>
      <c r="M169" s="112"/>
      <c r="N169" s="112"/>
      <c r="O169" s="112"/>
      <c r="P169" s="112"/>
      <c r="Q169" s="112"/>
      <c r="R169" s="112"/>
      <c r="S169" s="112"/>
      <c r="T169" s="112"/>
      <c r="U169" s="112"/>
      <c r="V169" s="112"/>
    </row>
    <row r="170">
      <c r="A170" s="158" t="s">
        <v>100</v>
      </c>
      <c r="B170" s="144"/>
      <c r="C170" s="173">
        <v>45451.0</v>
      </c>
      <c r="D170" s="174" t="str">
        <f>VLOOKUP(C170,A3:B$380,2,FALSE)</f>
        <v>#N/A</v>
      </c>
      <c r="E170" s="174">
        <f t="shared" si="3"/>
        <v>81</v>
      </c>
      <c r="F170" s="174">
        <f t="shared" si="6"/>
        <v>81</v>
      </c>
      <c r="G170" s="174">
        <f t="shared" ref="G170:H170" si="170">((AVERAGE(F164:F170))+(MEDIAN(F164:F170))+E170)/3</f>
        <v>81</v>
      </c>
      <c r="H170" s="174">
        <f t="shared" si="170"/>
        <v>81</v>
      </c>
      <c r="I170" s="120"/>
      <c r="J170" s="180"/>
      <c r="K170" s="181"/>
      <c r="L170" s="182"/>
      <c r="M170" s="112"/>
      <c r="N170" s="112"/>
      <c r="O170" s="112"/>
      <c r="P170" s="112"/>
      <c r="Q170" s="112"/>
      <c r="R170" s="112"/>
      <c r="S170" s="112"/>
      <c r="T170" s="112"/>
      <c r="U170" s="112"/>
      <c r="V170" s="112"/>
    </row>
    <row r="171">
      <c r="A171" s="153" t="s">
        <v>100</v>
      </c>
      <c r="B171" s="154"/>
      <c r="C171" s="130">
        <v>45452.0</v>
      </c>
      <c r="D171" s="131" t="str">
        <f>VLOOKUP(C171,A3:B$380,2,FALSE)</f>
        <v>#N/A</v>
      </c>
      <c r="E171" s="131">
        <f t="shared" si="3"/>
        <v>81</v>
      </c>
      <c r="F171" s="131">
        <f t="shared" si="6"/>
        <v>81</v>
      </c>
      <c r="G171" s="131">
        <f t="shared" ref="G171:H171" si="171">((AVERAGE(F165:F171))+(MEDIAN(F165:F171))+E171)/3</f>
        <v>81</v>
      </c>
      <c r="H171" s="131">
        <f t="shared" si="171"/>
        <v>81</v>
      </c>
      <c r="I171" s="120"/>
      <c r="J171" s="180"/>
      <c r="K171" s="181"/>
      <c r="L171" s="182"/>
      <c r="M171" s="112"/>
      <c r="N171" s="112"/>
      <c r="O171" s="112"/>
      <c r="P171" s="112"/>
      <c r="Q171" s="112"/>
      <c r="R171" s="112"/>
      <c r="S171" s="112"/>
      <c r="T171" s="112"/>
      <c r="U171" s="112"/>
      <c r="V171" s="112"/>
    </row>
    <row r="172">
      <c r="A172" s="158" t="s">
        <v>100</v>
      </c>
      <c r="B172" s="144"/>
      <c r="C172" s="145">
        <v>45453.0</v>
      </c>
      <c r="D172" s="146" t="str">
        <f>VLOOKUP(C172,A3:B$380,2,FALSE)</f>
        <v>#N/A</v>
      </c>
      <c r="E172" s="146">
        <f t="shared" si="3"/>
        <v>81</v>
      </c>
      <c r="F172" s="146">
        <f t="shared" si="6"/>
        <v>81</v>
      </c>
      <c r="G172" s="146">
        <f t="shared" ref="G172:H172" si="172">((AVERAGE(F166:F172))+(MEDIAN(F166:F172))+E172)/3</f>
        <v>81</v>
      </c>
      <c r="H172" s="146">
        <f t="shared" si="172"/>
        <v>81</v>
      </c>
      <c r="I172" s="120"/>
      <c r="J172" s="180"/>
      <c r="K172" s="181"/>
      <c r="L172" s="182"/>
      <c r="M172" s="112"/>
      <c r="N172" s="112"/>
      <c r="O172" s="112"/>
      <c r="P172" s="112"/>
      <c r="Q172" s="112"/>
      <c r="R172" s="112"/>
      <c r="S172" s="112"/>
      <c r="T172" s="112"/>
      <c r="U172" s="112"/>
      <c r="V172" s="112"/>
    </row>
    <row r="173">
      <c r="A173" s="153" t="s">
        <v>100</v>
      </c>
      <c r="B173" s="154"/>
      <c r="C173" s="130">
        <v>45454.0</v>
      </c>
      <c r="D173" s="131" t="str">
        <f>VLOOKUP(C173,A3:B$380,2,FALSE)</f>
        <v>#N/A</v>
      </c>
      <c r="E173" s="131">
        <f t="shared" si="3"/>
        <v>81</v>
      </c>
      <c r="F173" s="131">
        <f t="shared" si="6"/>
        <v>81</v>
      </c>
      <c r="G173" s="131">
        <f t="shared" ref="G173:H173" si="173">((AVERAGE(F167:F173))+(MEDIAN(F167:F173))+E173)/3</f>
        <v>81</v>
      </c>
      <c r="H173" s="131">
        <f t="shared" si="173"/>
        <v>81</v>
      </c>
      <c r="I173" s="120"/>
      <c r="J173" s="180"/>
      <c r="K173" s="181"/>
      <c r="L173" s="182"/>
      <c r="M173" s="112"/>
      <c r="N173" s="112"/>
      <c r="O173" s="112"/>
      <c r="P173" s="112"/>
      <c r="Q173" s="112"/>
      <c r="R173" s="112"/>
      <c r="S173" s="112"/>
      <c r="T173" s="112"/>
      <c r="U173" s="112"/>
      <c r="V173" s="112"/>
    </row>
    <row r="174">
      <c r="A174" s="158" t="s">
        <v>100</v>
      </c>
      <c r="B174" s="144"/>
      <c r="C174" s="145">
        <v>45455.0</v>
      </c>
      <c r="D174" s="146" t="str">
        <f>VLOOKUP(C174,A3:B$380,2,FALSE)</f>
        <v>#N/A</v>
      </c>
      <c r="E174" s="146">
        <f t="shared" si="3"/>
        <v>81</v>
      </c>
      <c r="F174" s="146">
        <f t="shared" si="6"/>
        <v>81</v>
      </c>
      <c r="G174" s="146">
        <f t="shared" ref="G174:H174" si="174">((AVERAGE(F168:F174))+(MEDIAN(F168:F174))+E174)/3</f>
        <v>81</v>
      </c>
      <c r="H174" s="146">
        <f t="shared" si="174"/>
        <v>81</v>
      </c>
      <c r="I174" s="120"/>
      <c r="J174" s="180"/>
      <c r="K174" s="181"/>
      <c r="L174" s="182"/>
      <c r="M174" s="112"/>
      <c r="N174" s="112"/>
      <c r="O174" s="112"/>
      <c r="P174" s="112"/>
      <c r="Q174" s="112"/>
      <c r="R174" s="112"/>
      <c r="S174" s="112"/>
      <c r="T174" s="112"/>
      <c r="U174" s="112"/>
      <c r="V174" s="112"/>
    </row>
    <row r="175">
      <c r="A175" s="153" t="s">
        <v>100</v>
      </c>
      <c r="B175" s="154"/>
      <c r="C175" s="130">
        <v>45456.0</v>
      </c>
      <c r="D175" s="131" t="str">
        <f>VLOOKUP(C175,A3:B$380,2,FALSE)</f>
        <v>#N/A</v>
      </c>
      <c r="E175" s="131">
        <f t="shared" si="3"/>
        <v>81</v>
      </c>
      <c r="F175" s="131">
        <f t="shared" si="6"/>
        <v>81</v>
      </c>
      <c r="G175" s="131">
        <f t="shared" ref="G175:H175" si="175">((AVERAGE(F169:F175))+(MEDIAN(F169:F175))+E175)/3</f>
        <v>81</v>
      </c>
      <c r="H175" s="131">
        <f t="shared" si="175"/>
        <v>81</v>
      </c>
      <c r="I175" s="120"/>
      <c r="J175" s="180"/>
      <c r="K175" s="181"/>
      <c r="L175" s="182"/>
      <c r="M175" s="112"/>
      <c r="N175" s="112"/>
      <c r="O175" s="112"/>
      <c r="P175" s="112"/>
      <c r="Q175" s="112"/>
      <c r="R175" s="112"/>
      <c r="S175" s="112"/>
      <c r="T175" s="112"/>
      <c r="U175" s="112"/>
      <c r="V175" s="112"/>
    </row>
    <row r="176">
      <c r="A176" s="158" t="s">
        <v>100</v>
      </c>
      <c r="B176" s="144"/>
      <c r="C176" s="145">
        <v>45457.0</v>
      </c>
      <c r="D176" s="146" t="str">
        <f>VLOOKUP(C176,A3:B$380,2,FALSE)</f>
        <v>#N/A</v>
      </c>
      <c r="E176" s="146">
        <f t="shared" si="3"/>
        <v>81</v>
      </c>
      <c r="F176" s="146">
        <f t="shared" si="6"/>
        <v>81</v>
      </c>
      <c r="G176" s="146">
        <f t="shared" ref="G176:H176" si="176">((AVERAGE(F170:F176))+(MEDIAN(F170:F176))+E176)/3</f>
        <v>81</v>
      </c>
      <c r="H176" s="146">
        <f t="shared" si="176"/>
        <v>81</v>
      </c>
      <c r="I176" s="120"/>
      <c r="J176" s="180"/>
      <c r="K176" s="181"/>
      <c r="L176" s="182"/>
      <c r="M176" s="112"/>
      <c r="N176" s="112"/>
      <c r="O176" s="112"/>
      <c r="P176" s="112"/>
      <c r="Q176" s="112"/>
      <c r="R176" s="112"/>
      <c r="S176" s="112"/>
      <c r="T176" s="112"/>
      <c r="U176" s="112"/>
      <c r="V176" s="112"/>
    </row>
    <row r="177">
      <c r="A177" s="153" t="s">
        <v>100</v>
      </c>
      <c r="B177" s="154"/>
      <c r="C177" s="168">
        <v>45458.0</v>
      </c>
      <c r="D177" s="169" t="str">
        <f>VLOOKUP(C177,A3:B$380,2,FALSE)</f>
        <v>#N/A</v>
      </c>
      <c r="E177" s="169">
        <f t="shared" si="3"/>
        <v>81</v>
      </c>
      <c r="F177" s="169">
        <f t="shared" si="6"/>
        <v>81</v>
      </c>
      <c r="G177" s="169">
        <f t="shared" ref="G177:H177" si="177">((AVERAGE(F171:F177))+(MEDIAN(F171:F177))+E177)/3</f>
        <v>81</v>
      </c>
      <c r="H177" s="169">
        <f t="shared" si="177"/>
        <v>81</v>
      </c>
      <c r="I177" s="120"/>
      <c r="J177" s="180"/>
      <c r="K177" s="181"/>
      <c r="L177" s="182"/>
      <c r="M177" s="112"/>
      <c r="N177" s="112"/>
      <c r="O177" s="112"/>
      <c r="P177" s="112"/>
      <c r="Q177" s="112"/>
      <c r="R177" s="112"/>
      <c r="S177" s="112"/>
      <c r="T177" s="112"/>
      <c r="U177" s="112"/>
      <c r="V177" s="112"/>
    </row>
    <row r="178">
      <c r="A178" s="158" t="s">
        <v>100</v>
      </c>
      <c r="B178" s="144"/>
      <c r="C178" s="145">
        <v>45459.0</v>
      </c>
      <c r="D178" s="146" t="str">
        <f>VLOOKUP(C178,A3:B$380,2,FALSE)</f>
        <v>#N/A</v>
      </c>
      <c r="E178" s="146">
        <f t="shared" si="3"/>
        <v>81</v>
      </c>
      <c r="F178" s="146">
        <f t="shared" si="6"/>
        <v>81</v>
      </c>
      <c r="G178" s="146">
        <f t="shared" ref="G178:H178" si="178">((AVERAGE(F172:F178))+(MEDIAN(F172:F178))+E178)/3</f>
        <v>81</v>
      </c>
      <c r="H178" s="146">
        <f t="shared" si="178"/>
        <v>81</v>
      </c>
      <c r="I178" s="120"/>
      <c r="J178" s="180"/>
      <c r="K178" s="181"/>
      <c r="L178" s="182"/>
      <c r="M178" s="112"/>
      <c r="N178" s="112"/>
      <c r="O178" s="112"/>
      <c r="P178" s="112"/>
      <c r="Q178" s="112"/>
      <c r="R178" s="112"/>
      <c r="S178" s="112"/>
      <c r="T178" s="112"/>
      <c r="U178" s="112"/>
      <c r="V178" s="112"/>
    </row>
    <row r="179">
      <c r="A179" s="153" t="s">
        <v>100</v>
      </c>
      <c r="B179" s="154"/>
      <c r="C179" s="130">
        <v>45460.0</v>
      </c>
      <c r="D179" s="131" t="str">
        <f>VLOOKUP(C179,A3:B$380,2,FALSE)</f>
        <v>#N/A</v>
      </c>
      <c r="E179" s="131">
        <f t="shared" si="3"/>
        <v>81</v>
      </c>
      <c r="F179" s="131">
        <f t="shared" si="6"/>
        <v>81</v>
      </c>
      <c r="G179" s="131">
        <f t="shared" ref="G179:H179" si="179">((AVERAGE(F173:F179))+(MEDIAN(F173:F179))+E179)/3</f>
        <v>81</v>
      </c>
      <c r="H179" s="131">
        <f t="shared" si="179"/>
        <v>81</v>
      </c>
      <c r="I179" s="120"/>
      <c r="J179" s="180"/>
      <c r="K179" s="181"/>
      <c r="L179" s="182"/>
      <c r="M179" s="112"/>
      <c r="N179" s="112"/>
      <c r="O179" s="112"/>
      <c r="P179" s="112"/>
      <c r="Q179" s="112"/>
      <c r="R179" s="112"/>
      <c r="S179" s="112"/>
      <c r="T179" s="112"/>
      <c r="U179" s="112"/>
      <c r="V179" s="112"/>
    </row>
    <row r="180">
      <c r="A180" s="158" t="s">
        <v>100</v>
      </c>
      <c r="B180" s="144"/>
      <c r="C180" s="145">
        <v>45461.0</v>
      </c>
      <c r="D180" s="146" t="str">
        <f>VLOOKUP(C180,A3:B$380,2,FALSE)</f>
        <v>#N/A</v>
      </c>
      <c r="E180" s="146">
        <f t="shared" si="3"/>
        <v>81</v>
      </c>
      <c r="F180" s="146">
        <f t="shared" si="6"/>
        <v>81</v>
      </c>
      <c r="G180" s="146">
        <f t="shared" ref="G180:H180" si="180">((AVERAGE(F174:F180))+(MEDIAN(F174:F180))+E180)/3</f>
        <v>81</v>
      </c>
      <c r="H180" s="146">
        <f t="shared" si="180"/>
        <v>81</v>
      </c>
      <c r="I180" s="120"/>
      <c r="J180" s="180"/>
      <c r="K180" s="181"/>
      <c r="L180" s="182"/>
      <c r="M180" s="112"/>
      <c r="N180" s="112"/>
      <c r="O180" s="112"/>
      <c r="P180" s="112"/>
      <c r="Q180" s="112"/>
      <c r="R180" s="112"/>
      <c r="S180" s="112"/>
      <c r="T180" s="112"/>
      <c r="U180" s="112"/>
      <c r="V180" s="112"/>
    </row>
    <row r="181">
      <c r="A181" s="153" t="s">
        <v>100</v>
      </c>
      <c r="B181" s="154"/>
      <c r="C181" s="130">
        <v>45462.0</v>
      </c>
      <c r="D181" s="131" t="str">
        <f>VLOOKUP(C181,A3:B$380,2,FALSE)</f>
        <v>#N/A</v>
      </c>
      <c r="E181" s="131">
        <f t="shared" si="3"/>
        <v>81</v>
      </c>
      <c r="F181" s="131">
        <f t="shared" si="6"/>
        <v>81</v>
      </c>
      <c r="G181" s="131">
        <f t="shared" ref="G181:H181" si="181">((AVERAGE(F175:F181))+(MEDIAN(F175:F181))+E181)/3</f>
        <v>81</v>
      </c>
      <c r="H181" s="131">
        <f t="shared" si="181"/>
        <v>81</v>
      </c>
      <c r="I181" s="120"/>
      <c r="J181" s="180"/>
      <c r="K181" s="181"/>
      <c r="L181" s="182"/>
      <c r="M181" s="112"/>
      <c r="N181" s="112"/>
      <c r="O181" s="112"/>
      <c r="P181" s="112"/>
      <c r="Q181" s="112"/>
      <c r="R181" s="112"/>
      <c r="S181" s="112"/>
      <c r="T181" s="112"/>
      <c r="U181" s="112"/>
      <c r="V181" s="112"/>
    </row>
    <row r="182">
      <c r="A182" s="158" t="s">
        <v>100</v>
      </c>
      <c r="B182" s="144"/>
      <c r="C182" s="145">
        <v>45463.0</v>
      </c>
      <c r="D182" s="146" t="str">
        <f>VLOOKUP(C182,A3:B$380,2,FALSE)</f>
        <v>#N/A</v>
      </c>
      <c r="E182" s="146">
        <f t="shared" si="3"/>
        <v>81</v>
      </c>
      <c r="F182" s="146">
        <f t="shared" si="6"/>
        <v>81</v>
      </c>
      <c r="G182" s="146">
        <f t="shared" ref="G182:H182" si="182">((AVERAGE(F176:F182))+(MEDIAN(F176:F182))+E182)/3</f>
        <v>81</v>
      </c>
      <c r="H182" s="146">
        <f t="shared" si="182"/>
        <v>81</v>
      </c>
      <c r="I182" s="120"/>
      <c r="J182" s="180"/>
      <c r="K182" s="181"/>
      <c r="L182" s="182"/>
      <c r="M182" s="112"/>
      <c r="N182" s="112"/>
      <c r="O182" s="112"/>
      <c r="P182" s="112"/>
      <c r="Q182" s="112"/>
      <c r="R182" s="112"/>
      <c r="S182" s="112"/>
      <c r="T182" s="112"/>
      <c r="U182" s="112"/>
      <c r="V182" s="112"/>
    </row>
    <row r="183">
      <c r="A183" s="153" t="s">
        <v>100</v>
      </c>
      <c r="B183" s="154"/>
      <c r="C183" s="130">
        <v>45464.0</v>
      </c>
      <c r="D183" s="131" t="str">
        <f>VLOOKUP(C183,A3:B$380,2,FALSE)</f>
        <v>#N/A</v>
      </c>
      <c r="E183" s="131">
        <f t="shared" si="3"/>
        <v>81</v>
      </c>
      <c r="F183" s="131">
        <f t="shared" si="6"/>
        <v>81</v>
      </c>
      <c r="G183" s="131">
        <f t="shared" ref="G183:H183" si="183">((AVERAGE(F177:F183))+(MEDIAN(F177:F183))+E183)/3</f>
        <v>81</v>
      </c>
      <c r="H183" s="131">
        <f t="shared" si="183"/>
        <v>81</v>
      </c>
      <c r="I183" s="120"/>
      <c r="J183" s="180"/>
      <c r="K183" s="181"/>
      <c r="L183" s="182"/>
      <c r="M183" s="112"/>
      <c r="N183" s="112"/>
      <c r="O183" s="112"/>
      <c r="P183" s="112"/>
      <c r="Q183" s="112"/>
      <c r="R183" s="112"/>
      <c r="S183" s="112"/>
      <c r="T183" s="112"/>
      <c r="U183" s="112"/>
      <c r="V183" s="112"/>
    </row>
    <row r="184">
      <c r="A184" s="158" t="s">
        <v>100</v>
      </c>
      <c r="B184" s="144"/>
      <c r="C184" s="173">
        <v>45465.0</v>
      </c>
      <c r="D184" s="174" t="str">
        <f>VLOOKUP(C184,A3:B$380,2,FALSE)</f>
        <v>#N/A</v>
      </c>
      <c r="E184" s="174">
        <f t="shared" si="3"/>
        <v>81</v>
      </c>
      <c r="F184" s="174">
        <f t="shared" si="6"/>
        <v>81</v>
      </c>
      <c r="G184" s="174">
        <f t="shared" ref="G184:H184" si="184">((AVERAGE(F178:F184))+(MEDIAN(F178:F184))+E184)/3</f>
        <v>81</v>
      </c>
      <c r="H184" s="174">
        <f t="shared" si="184"/>
        <v>81</v>
      </c>
      <c r="I184" s="120"/>
      <c r="J184" s="180"/>
      <c r="K184" s="181"/>
      <c r="L184" s="182"/>
      <c r="M184" s="112"/>
      <c r="N184" s="112"/>
      <c r="O184" s="112"/>
      <c r="P184" s="112"/>
      <c r="Q184" s="112"/>
      <c r="R184" s="112"/>
      <c r="S184" s="112"/>
      <c r="T184" s="112"/>
      <c r="U184" s="112"/>
      <c r="V184" s="112"/>
    </row>
    <row r="185">
      <c r="A185" s="153" t="s">
        <v>100</v>
      </c>
      <c r="B185" s="154"/>
      <c r="C185" s="130">
        <v>45466.0</v>
      </c>
      <c r="D185" s="131" t="str">
        <f>VLOOKUP(C185,A3:B$380,2,FALSE)</f>
        <v>#N/A</v>
      </c>
      <c r="E185" s="131">
        <f t="shared" si="3"/>
        <v>81</v>
      </c>
      <c r="F185" s="131">
        <f t="shared" si="6"/>
        <v>81</v>
      </c>
      <c r="G185" s="131">
        <f t="shared" ref="G185:H185" si="185">((AVERAGE(F179:F185))+(MEDIAN(F179:F185))+E185)/3</f>
        <v>81</v>
      </c>
      <c r="H185" s="131">
        <f t="shared" si="185"/>
        <v>81</v>
      </c>
      <c r="I185" s="120"/>
      <c r="J185" s="180"/>
      <c r="K185" s="181"/>
      <c r="L185" s="182"/>
      <c r="M185" s="112"/>
      <c r="N185" s="112"/>
      <c r="O185" s="112"/>
      <c r="P185" s="112"/>
      <c r="Q185" s="112"/>
      <c r="R185" s="112"/>
      <c r="S185" s="112"/>
      <c r="T185" s="112"/>
      <c r="U185" s="112"/>
      <c r="V185" s="112"/>
    </row>
    <row r="186">
      <c r="A186" s="158" t="s">
        <v>100</v>
      </c>
      <c r="B186" s="144"/>
      <c r="C186" s="145">
        <v>45467.0</v>
      </c>
      <c r="D186" s="146" t="str">
        <f>VLOOKUP(C186,A3:B$380,2,FALSE)</f>
        <v>#N/A</v>
      </c>
      <c r="E186" s="146">
        <f t="shared" si="3"/>
        <v>81</v>
      </c>
      <c r="F186" s="146">
        <f t="shared" si="6"/>
        <v>81</v>
      </c>
      <c r="G186" s="146">
        <f t="shared" ref="G186:H186" si="186">((AVERAGE(F180:F186))+(MEDIAN(F180:F186))+E186)/3</f>
        <v>81</v>
      </c>
      <c r="H186" s="146">
        <f t="shared" si="186"/>
        <v>81</v>
      </c>
      <c r="I186" s="120"/>
      <c r="J186" s="180"/>
      <c r="K186" s="181"/>
      <c r="L186" s="182"/>
      <c r="M186" s="112"/>
      <c r="N186" s="112"/>
      <c r="O186" s="112"/>
      <c r="P186" s="112"/>
      <c r="Q186" s="112"/>
      <c r="R186" s="112"/>
      <c r="S186" s="112"/>
      <c r="T186" s="112"/>
      <c r="U186" s="112"/>
      <c r="V186" s="112"/>
    </row>
    <row r="187">
      <c r="A187" s="153" t="s">
        <v>100</v>
      </c>
      <c r="B187" s="154"/>
      <c r="C187" s="130">
        <v>45468.0</v>
      </c>
      <c r="D187" s="131" t="str">
        <f>VLOOKUP(C187,A3:B$380,2,FALSE)</f>
        <v>#N/A</v>
      </c>
      <c r="E187" s="131">
        <f t="shared" si="3"/>
        <v>81</v>
      </c>
      <c r="F187" s="131">
        <f t="shared" si="6"/>
        <v>81</v>
      </c>
      <c r="G187" s="131">
        <f t="shared" ref="G187:H187" si="187">((AVERAGE(F181:F187))+(MEDIAN(F181:F187))+E187)/3</f>
        <v>81</v>
      </c>
      <c r="H187" s="131">
        <f t="shared" si="187"/>
        <v>81</v>
      </c>
      <c r="I187" s="120"/>
      <c r="J187" s="180"/>
      <c r="K187" s="181"/>
      <c r="L187" s="182"/>
      <c r="M187" s="112"/>
      <c r="N187" s="112"/>
      <c r="O187" s="112"/>
      <c r="P187" s="112"/>
      <c r="Q187" s="112"/>
      <c r="R187" s="112"/>
      <c r="S187" s="112"/>
      <c r="T187" s="112"/>
      <c r="U187" s="112"/>
      <c r="V187" s="112"/>
    </row>
    <row r="188">
      <c r="A188" s="158" t="s">
        <v>100</v>
      </c>
      <c r="B188" s="144"/>
      <c r="C188" s="145">
        <v>45469.0</v>
      </c>
      <c r="D188" s="146" t="str">
        <f>VLOOKUP(C188,A3:B$380,2,FALSE)</f>
        <v>#N/A</v>
      </c>
      <c r="E188" s="146">
        <f t="shared" si="3"/>
        <v>81</v>
      </c>
      <c r="F188" s="146">
        <f t="shared" si="6"/>
        <v>81</v>
      </c>
      <c r="G188" s="146">
        <f t="shared" ref="G188:H188" si="188">((AVERAGE(F182:F188))+(MEDIAN(F182:F188))+E188)/3</f>
        <v>81</v>
      </c>
      <c r="H188" s="146">
        <f t="shared" si="188"/>
        <v>81</v>
      </c>
      <c r="I188" s="120"/>
      <c r="J188" s="180"/>
      <c r="K188" s="181"/>
      <c r="L188" s="182"/>
      <c r="M188" s="112"/>
      <c r="N188" s="112"/>
      <c r="O188" s="112"/>
      <c r="P188" s="112"/>
      <c r="Q188" s="112"/>
      <c r="R188" s="112"/>
      <c r="S188" s="112"/>
      <c r="T188" s="112"/>
      <c r="U188" s="112"/>
      <c r="V188" s="112"/>
    </row>
    <row r="189">
      <c r="A189" s="153" t="s">
        <v>100</v>
      </c>
      <c r="B189" s="154"/>
      <c r="C189" s="130">
        <v>45470.0</v>
      </c>
      <c r="D189" s="131" t="str">
        <f>VLOOKUP(C189,A3:B$380,2,FALSE)</f>
        <v>#N/A</v>
      </c>
      <c r="E189" s="131">
        <f t="shared" si="3"/>
        <v>81</v>
      </c>
      <c r="F189" s="131">
        <f t="shared" si="6"/>
        <v>81</v>
      </c>
      <c r="G189" s="131">
        <f t="shared" ref="G189:H189" si="189">((AVERAGE(F183:F189))+(MEDIAN(F183:F189))+E189)/3</f>
        <v>81</v>
      </c>
      <c r="H189" s="131">
        <f t="shared" si="189"/>
        <v>81</v>
      </c>
      <c r="I189" s="120"/>
      <c r="J189" s="180"/>
      <c r="K189" s="181"/>
      <c r="L189" s="182"/>
      <c r="M189" s="112"/>
      <c r="N189" s="112"/>
      <c r="O189" s="112"/>
      <c r="P189" s="112"/>
      <c r="Q189" s="112"/>
      <c r="R189" s="112"/>
      <c r="S189" s="112"/>
      <c r="T189" s="112"/>
      <c r="U189" s="112"/>
      <c r="V189" s="112"/>
    </row>
    <row r="190">
      <c r="A190" s="158" t="s">
        <v>100</v>
      </c>
      <c r="B190" s="144"/>
      <c r="C190" s="145">
        <v>45471.0</v>
      </c>
      <c r="D190" s="146" t="str">
        <f>VLOOKUP(C190,A3:B$380,2,FALSE)</f>
        <v>#N/A</v>
      </c>
      <c r="E190" s="146">
        <f t="shared" si="3"/>
        <v>81</v>
      </c>
      <c r="F190" s="146">
        <f t="shared" si="6"/>
        <v>81</v>
      </c>
      <c r="G190" s="146">
        <f t="shared" ref="G190:H190" si="190">((AVERAGE(F184:F190))+(MEDIAN(F184:F190))+E190)/3</f>
        <v>81</v>
      </c>
      <c r="H190" s="146">
        <f t="shared" si="190"/>
        <v>81</v>
      </c>
      <c r="I190" s="120"/>
      <c r="J190" s="180"/>
      <c r="K190" s="181"/>
      <c r="L190" s="182"/>
      <c r="M190" s="112"/>
      <c r="N190" s="112"/>
      <c r="O190" s="112"/>
      <c r="P190" s="112"/>
      <c r="Q190" s="112"/>
      <c r="R190" s="112"/>
      <c r="S190" s="112"/>
      <c r="T190" s="112"/>
      <c r="U190" s="112"/>
      <c r="V190" s="112"/>
    </row>
    <row r="191">
      <c r="A191" s="153" t="s">
        <v>100</v>
      </c>
      <c r="B191" s="154"/>
      <c r="C191" s="168">
        <v>45472.0</v>
      </c>
      <c r="D191" s="169" t="str">
        <f>VLOOKUP(C191,A3:B$380,2,FALSE)</f>
        <v>#N/A</v>
      </c>
      <c r="E191" s="169">
        <f t="shared" si="3"/>
        <v>81</v>
      </c>
      <c r="F191" s="169">
        <f t="shared" si="6"/>
        <v>81</v>
      </c>
      <c r="G191" s="169">
        <f t="shared" ref="G191:H191" si="191">((AVERAGE(F185:F191))+(MEDIAN(F185:F191))+E191)/3</f>
        <v>81</v>
      </c>
      <c r="H191" s="169">
        <f t="shared" si="191"/>
        <v>81</v>
      </c>
      <c r="I191" s="120"/>
      <c r="J191" s="180"/>
      <c r="K191" s="181"/>
      <c r="L191" s="182"/>
      <c r="M191" s="112"/>
      <c r="N191" s="112"/>
      <c r="O191" s="112"/>
      <c r="P191" s="112"/>
      <c r="Q191" s="112"/>
      <c r="R191" s="112"/>
      <c r="S191" s="112"/>
      <c r="T191" s="112"/>
      <c r="U191" s="112"/>
      <c r="V191" s="112"/>
    </row>
    <row r="192">
      <c r="A192" s="158" t="s">
        <v>100</v>
      </c>
      <c r="B192" s="144"/>
      <c r="C192" s="145">
        <v>45473.0</v>
      </c>
      <c r="D192" s="146" t="str">
        <f>VLOOKUP(C192,A3:B$380,2,FALSE)</f>
        <v>#N/A</v>
      </c>
      <c r="E192" s="146">
        <f t="shared" si="3"/>
        <v>81</v>
      </c>
      <c r="F192" s="146">
        <f t="shared" si="6"/>
        <v>81</v>
      </c>
      <c r="G192" s="146">
        <f t="shared" ref="G192:H192" si="192">((AVERAGE(F186:F192))+(MEDIAN(F186:F192))+E192)/3</f>
        <v>81</v>
      </c>
      <c r="H192" s="146">
        <f t="shared" si="192"/>
        <v>81</v>
      </c>
      <c r="I192" s="120"/>
      <c r="J192" s="180"/>
      <c r="K192" s="181"/>
      <c r="L192" s="182"/>
      <c r="M192" s="112"/>
      <c r="N192" s="112"/>
      <c r="O192" s="112"/>
      <c r="P192" s="112"/>
      <c r="Q192" s="112"/>
      <c r="R192" s="112"/>
      <c r="S192" s="112"/>
      <c r="T192" s="112"/>
      <c r="U192" s="112"/>
      <c r="V192" s="112"/>
    </row>
    <row r="193">
      <c r="A193" s="153" t="s">
        <v>100</v>
      </c>
      <c r="B193" s="154"/>
      <c r="C193" s="130">
        <v>45474.0</v>
      </c>
      <c r="D193" s="131" t="str">
        <f>VLOOKUP(C193,A3:B$380,2,FALSE)</f>
        <v>#N/A</v>
      </c>
      <c r="E193" s="131">
        <f t="shared" si="3"/>
        <v>81</v>
      </c>
      <c r="F193" s="131">
        <f t="shared" si="6"/>
        <v>81</v>
      </c>
      <c r="G193" s="131">
        <f t="shared" ref="G193:H193" si="193">((AVERAGE(F187:F193))+(MEDIAN(F187:F193))+E193)/3</f>
        <v>81</v>
      </c>
      <c r="H193" s="131">
        <f t="shared" si="193"/>
        <v>81</v>
      </c>
      <c r="I193" s="120"/>
      <c r="J193" s="180"/>
      <c r="K193" s="181"/>
      <c r="L193" s="182"/>
      <c r="M193" s="112"/>
      <c r="N193" s="112"/>
      <c r="O193" s="112"/>
      <c r="P193" s="112"/>
      <c r="Q193" s="112"/>
      <c r="R193" s="112"/>
      <c r="S193" s="112"/>
      <c r="T193" s="112"/>
      <c r="U193" s="112"/>
      <c r="V193" s="112"/>
    </row>
    <row r="194">
      <c r="A194" s="158" t="s">
        <v>100</v>
      </c>
      <c r="B194" s="144"/>
      <c r="C194" s="145">
        <v>45475.0</v>
      </c>
      <c r="D194" s="146" t="str">
        <f>VLOOKUP(C194,A3:B$380,2,FALSE)</f>
        <v>#N/A</v>
      </c>
      <c r="E194" s="146">
        <f t="shared" si="3"/>
        <v>81</v>
      </c>
      <c r="F194" s="146">
        <f t="shared" si="6"/>
        <v>81</v>
      </c>
      <c r="G194" s="146">
        <f t="shared" ref="G194:H194" si="194">((AVERAGE(F188:F194))+(MEDIAN(F188:F194))+E194)/3</f>
        <v>81</v>
      </c>
      <c r="H194" s="146">
        <f t="shared" si="194"/>
        <v>81</v>
      </c>
      <c r="I194" s="120"/>
      <c r="J194" s="180"/>
      <c r="K194" s="181"/>
      <c r="L194" s="182"/>
      <c r="M194" s="112"/>
      <c r="N194" s="112"/>
      <c r="O194" s="112"/>
      <c r="P194" s="112"/>
      <c r="Q194" s="112"/>
      <c r="R194" s="112"/>
      <c r="S194" s="112"/>
      <c r="T194" s="112"/>
      <c r="U194" s="112"/>
      <c r="V194" s="112"/>
    </row>
    <row r="195">
      <c r="A195" s="153" t="s">
        <v>100</v>
      </c>
      <c r="B195" s="154"/>
      <c r="C195" s="130">
        <v>45476.0</v>
      </c>
      <c r="D195" s="131" t="str">
        <f>VLOOKUP(C195,A3:B$380,2,FALSE)</f>
        <v>#N/A</v>
      </c>
      <c r="E195" s="131">
        <f t="shared" si="3"/>
        <v>81</v>
      </c>
      <c r="F195" s="131">
        <f t="shared" si="6"/>
        <v>81</v>
      </c>
      <c r="G195" s="131">
        <f t="shared" ref="G195:H195" si="195">((AVERAGE(F189:F195))+(MEDIAN(F189:F195))+E195)/3</f>
        <v>81</v>
      </c>
      <c r="H195" s="131">
        <f t="shared" si="195"/>
        <v>81</v>
      </c>
      <c r="I195" s="120"/>
      <c r="J195" s="180"/>
      <c r="K195" s="181"/>
      <c r="L195" s="182"/>
      <c r="M195" s="112"/>
      <c r="N195" s="112"/>
      <c r="O195" s="112"/>
      <c r="P195" s="112"/>
      <c r="Q195" s="112"/>
      <c r="R195" s="112"/>
      <c r="S195" s="112"/>
      <c r="T195" s="112"/>
      <c r="U195" s="112"/>
      <c r="V195" s="112"/>
    </row>
    <row r="196">
      <c r="A196" s="158" t="s">
        <v>100</v>
      </c>
      <c r="B196" s="144"/>
      <c r="C196" s="145">
        <v>45477.0</v>
      </c>
      <c r="D196" s="146" t="str">
        <f>VLOOKUP(C196,A3:B$380,2,FALSE)</f>
        <v>#N/A</v>
      </c>
      <c r="E196" s="146">
        <f t="shared" si="3"/>
        <v>81</v>
      </c>
      <c r="F196" s="146">
        <f t="shared" si="6"/>
        <v>81</v>
      </c>
      <c r="G196" s="146">
        <f t="shared" ref="G196:H196" si="196">((AVERAGE(F190:F196))+(MEDIAN(F190:F196))+E196)/3</f>
        <v>81</v>
      </c>
      <c r="H196" s="146">
        <f t="shared" si="196"/>
        <v>81</v>
      </c>
      <c r="I196" s="120"/>
      <c r="J196" s="180"/>
      <c r="K196" s="181"/>
      <c r="L196" s="182"/>
      <c r="M196" s="112"/>
      <c r="N196" s="112"/>
      <c r="O196" s="112"/>
      <c r="P196" s="112"/>
      <c r="Q196" s="112"/>
      <c r="R196" s="112"/>
      <c r="S196" s="112"/>
      <c r="T196" s="112"/>
      <c r="U196" s="112"/>
      <c r="V196" s="112"/>
    </row>
    <row r="197">
      <c r="A197" s="153" t="s">
        <v>100</v>
      </c>
      <c r="B197" s="154"/>
      <c r="C197" s="130">
        <v>45478.0</v>
      </c>
      <c r="D197" s="131" t="str">
        <f>VLOOKUP(C197,A3:B$380,2,FALSE)</f>
        <v>#N/A</v>
      </c>
      <c r="E197" s="131">
        <f t="shared" si="3"/>
        <v>81</v>
      </c>
      <c r="F197" s="131">
        <f t="shared" si="6"/>
        <v>81</v>
      </c>
      <c r="G197" s="131">
        <f t="shared" ref="G197:H197" si="197">((AVERAGE(F191:F197))+(MEDIAN(F191:F197))+E197)/3</f>
        <v>81</v>
      </c>
      <c r="H197" s="131">
        <f t="shared" si="197"/>
        <v>81</v>
      </c>
      <c r="I197" s="120"/>
      <c r="J197" s="180"/>
      <c r="K197" s="181"/>
      <c r="L197" s="182"/>
      <c r="M197" s="112"/>
      <c r="N197" s="112"/>
      <c r="O197" s="112"/>
      <c r="P197" s="112"/>
      <c r="Q197" s="112"/>
      <c r="R197" s="112"/>
      <c r="S197" s="112"/>
      <c r="T197" s="112"/>
      <c r="U197" s="112"/>
      <c r="V197" s="112"/>
    </row>
    <row r="198">
      <c r="A198" s="158" t="s">
        <v>100</v>
      </c>
      <c r="B198" s="144"/>
      <c r="C198" s="173">
        <v>45479.0</v>
      </c>
      <c r="D198" s="174" t="str">
        <f>VLOOKUP(C198,A3:B$380,2,FALSE)</f>
        <v>#N/A</v>
      </c>
      <c r="E198" s="174">
        <f t="shared" si="3"/>
        <v>81</v>
      </c>
      <c r="F198" s="174">
        <f t="shared" si="6"/>
        <v>81</v>
      </c>
      <c r="G198" s="174">
        <f t="shared" ref="G198:H198" si="198">((AVERAGE(F192:F198))+(MEDIAN(F192:F198))+E198)/3</f>
        <v>81</v>
      </c>
      <c r="H198" s="174">
        <f t="shared" si="198"/>
        <v>81</v>
      </c>
      <c r="I198" s="120"/>
      <c r="J198" s="180"/>
      <c r="K198" s="181"/>
      <c r="L198" s="182"/>
      <c r="M198" s="112"/>
      <c r="N198" s="112"/>
      <c r="O198" s="112"/>
      <c r="P198" s="112"/>
      <c r="Q198" s="112"/>
      <c r="R198" s="112"/>
      <c r="S198" s="112"/>
      <c r="T198" s="112"/>
      <c r="U198" s="112"/>
      <c r="V198" s="112"/>
    </row>
    <row r="199">
      <c r="A199" s="153" t="s">
        <v>100</v>
      </c>
      <c r="B199" s="154"/>
      <c r="C199" s="130">
        <v>45480.0</v>
      </c>
      <c r="D199" s="131" t="str">
        <f>VLOOKUP(C199,A3:B$380,2,FALSE)</f>
        <v>#N/A</v>
      </c>
      <c r="E199" s="131">
        <f t="shared" si="3"/>
        <v>81</v>
      </c>
      <c r="F199" s="131">
        <f t="shared" si="6"/>
        <v>81</v>
      </c>
      <c r="G199" s="131">
        <f t="shared" ref="G199:H199" si="199">((AVERAGE(F193:F199))+(MEDIAN(F193:F199))+E199)/3</f>
        <v>81</v>
      </c>
      <c r="H199" s="131">
        <f t="shared" si="199"/>
        <v>81</v>
      </c>
      <c r="I199" s="120"/>
      <c r="J199" s="180"/>
      <c r="K199" s="181"/>
      <c r="L199" s="182"/>
      <c r="M199" s="112"/>
      <c r="N199" s="112"/>
      <c r="O199" s="112"/>
      <c r="P199" s="112"/>
      <c r="Q199" s="112"/>
      <c r="R199" s="112"/>
      <c r="S199" s="112"/>
      <c r="T199" s="112"/>
      <c r="U199" s="112"/>
      <c r="V199" s="112"/>
    </row>
    <row r="200">
      <c r="A200" s="158" t="s">
        <v>100</v>
      </c>
      <c r="B200" s="144"/>
      <c r="C200" s="145">
        <v>45481.0</v>
      </c>
      <c r="D200" s="146" t="str">
        <f>VLOOKUP(C200,A3:B$380,2,FALSE)</f>
        <v>#N/A</v>
      </c>
      <c r="E200" s="146">
        <f t="shared" si="3"/>
        <v>81</v>
      </c>
      <c r="F200" s="146">
        <f t="shared" si="6"/>
        <v>81</v>
      </c>
      <c r="G200" s="146">
        <f t="shared" ref="G200:H200" si="200">((AVERAGE(F194:F200))+(MEDIAN(F194:F200))+E200)/3</f>
        <v>81</v>
      </c>
      <c r="H200" s="146">
        <f t="shared" si="200"/>
        <v>81</v>
      </c>
      <c r="I200" s="120"/>
      <c r="J200" s="180"/>
      <c r="K200" s="181"/>
      <c r="L200" s="182"/>
      <c r="M200" s="112"/>
      <c r="N200" s="112"/>
      <c r="O200" s="112"/>
      <c r="P200" s="112"/>
      <c r="Q200" s="112"/>
      <c r="R200" s="112"/>
      <c r="S200" s="112"/>
      <c r="T200" s="112"/>
      <c r="U200" s="112"/>
      <c r="V200" s="112"/>
    </row>
    <row r="201">
      <c r="A201" s="153" t="s">
        <v>100</v>
      </c>
      <c r="B201" s="154"/>
      <c r="C201" s="130">
        <v>45482.0</v>
      </c>
      <c r="D201" s="131" t="str">
        <f>VLOOKUP(C201,A3:B$380,2,FALSE)</f>
        <v>#N/A</v>
      </c>
      <c r="E201" s="131">
        <f t="shared" si="3"/>
        <v>81</v>
      </c>
      <c r="F201" s="131">
        <f t="shared" si="6"/>
        <v>81</v>
      </c>
      <c r="G201" s="131">
        <f t="shared" ref="G201:H201" si="201">((AVERAGE(F195:F201))+(MEDIAN(F195:F201))+E201)/3</f>
        <v>81</v>
      </c>
      <c r="H201" s="131">
        <f t="shared" si="201"/>
        <v>81</v>
      </c>
      <c r="I201" s="120"/>
      <c r="J201" s="180"/>
      <c r="K201" s="181"/>
      <c r="L201" s="182"/>
      <c r="M201" s="112"/>
      <c r="N201" s="112"/>
      <c r="O201" s="112"/>
      <c r="P201" s="112"/>
      <c r="Q201" s="112"/>
      <c r="R201" s="112"/>
      <c r="S201" s="112"/>
      <c r="T201" s="112"/>
      <c r="U201" s="112"/>
      <c r="V201" s="112"/>
    </row>
    <row r="202">
      <c r="A202" s="158" t="s">
        <v>100</v>
      </c>
      <c r="B202" s="144"/>
      <c r="C202" s="145">
        <v>45483.0</v>
      </c>
      <c r="D202" s="146" t="str">
        <f>VLOOKUP(C202,A3:B$380,2,FALSE)</f>
        <v>#N/A</v>
      </c>
      <c r="E202" s="146">
        <f t="shared" si="3"/>
        <v>81</v>
      </c>
      <c r="F202" s="146">
        <f t="shared" si="6"/>
        <v>81</v>
      </c>
      <c r="G202" s="146">
        <f t="shared" ref="G202:H202" si="202">((AVERAGE(F196:F202))+(MEDIAN(F196:F202))+E202)/3</f>
        <v>81</v>
      </c>
      <c r="H202" s="146">
        <f t="shared" si="202"/>
        <v>81</v>
      </c>
      <c r="I202" s="120"/>
      <c r="J202" s="180"/>
      <c r="K202" s="181"/>
      <c r="L202" s="182"/>
      <c r="M202" s="112"/>
      <c r="N202" s="112"/>
      <c r="O202" s="112"/>
      <c r="P202" s="112"/>
      <c r="Q202" s="112"/>
      <c r="R202" s="112"/>
      <c r="S202" s="112"/>
      <c r="T202" s="112"/>
      <c r="U202" s="112"/>
      <c r="V202" s="112"/>
    </row>
    <row r="203">
      <c r="A203" s="153" t="s">
        <v>100</v>
      </c>
      <c r="B203" s="154"/>
      <c r="C203" s="130">
        <v>45484.0</v>
      </c>
      <c r="D203" s="131" t="str">
        <f>VLOOKUP(C203,A3:B$380,2,FALSE)</f>
        <v>#N/A</v>
      </c>
      <c r="E203" s="131">
        <f t="shared" si="3"/>
        <v>81</v>
      </c>
      <c r="F203" s="131">
        <f t="shared" si="6"/>
        <v>81</v>
      </c>
      <c r="G203" s="131">
        <f t="shared" ref="G203:H203" si="203">((AVERAGE(F197:F203))+(MEDIAN(F197:F203))+E203)/3</f>
        <v>81</v>
      </c>
      <c r="H203" s="131">
        <f t="shared" si="203"/>
        <v>81</v>
      </c>
      <c r="I203" s="120"/>
      <c r="J203" s="180"/>
      <c r="K203" s="181"/>
      <c r="L203" s="182"/>
      <c r="M203" s="112"/>
      <c r="N203" s="112"/>
      <c r="O203" s="112"/>
      <c r="P203" s="112"/>
      <c r="Q203" s="112"/>
      <c r="R203" s="112"/>
      <c r="S203" s="112"/>
      <c r="T203" s="112"/>
      <c r="U203" s="112"/>
      <c r="V203" s="112"/>
    </row>
    <row r="204">
      <c r="A204" s="158" t="s">
        <v>100</v>
      </c>
      <c r="B204" s="144"/>
      <c r="C204" s="145">
        <v>45485.0</v>
      </c>
      <c r="D204" s="146" t="str">
        <f>VLOOKUP(C204,A3:B$380,2,FALSE)</f>
        <v>#N/A</v>
      </c>
      <c r="E204" s="146">
        <f t="shared" si="3"/>
        <v>81</v>
      </c>
      <c r="F204" s="146">
        <f t="shared" si="6"/>
        <v>81</v>
      </c>
      <c r="G204" s="146">
        <f t="shared" ref="G204:H204" si="204">((AVERAGE(F198:F204))+(MEDIAN(F198:F204))+E204)/3</f>
        <v>81</v>
      </c>
      <c r="H204" s="146">
        <f t="shared" si="204"/>
        <v>81</v>
      </c>
      <c r="I204" s="120"/>
      <c r="J204" s="180"/>
      <c r="K204" s="181"/>
      <c r="L204" s="182"/>
      <c r="M204" s="112"/>
      <c r="N204" s="112"/>
      <c r="O204" s="112"/>
      <c r="P204" s="112"/>
      <c r="Q204" s="112"/>
      <c r="R204" s="112"/>
      <c r="S204" s="112"/>
      <c r="T204" s="112"/>
      <c r="U204" s="112"/>
      <c r="V204" s="112"/>
    </row>
    <row r="205">
      <c r="A205" s="153" t="s">
        <v>100</v>
      </c>
      <c r="B205" s="154"/>
      <c r="C205" s="168">
        <v>45486.0</v>
      </c>
      <c r="D205" s="169" t="str">
        <f>VLOOKUP(C205,A3:B$380,2,FALSE)</f>
        <v>#N/A</v>
      </c>
      <c r="E205" s="169">
        <f t="shared" si="3"/>
        <v>81</v>
      </c>
      <c r="F205" s="169">
        <f t="shared" si="6"/>
        <v>81</v>
      </c>
      <c r="G205" s="169">
        <f t="shared" ref="G205:H205" si="205">((AVERAGE(F199:F205))+(MEDIAN(F199:F205))+E205)/3</f>
        <v>81</v>
      </c>
      <c r="H205" s="169">
        <f t="shared" si="205"/>
        <v>81</v>
      </c>
      <c r="I205" s="120"/>
      <c r="J205" s="180"/>
      <c r="K205" s="181"/>
      <c r="L205" s="182"/>
      <c r="M205" s="112"/>
      <c r="N205" s="112"/>
      <c r="O205" s="112"/>
      <c r="P205" s="112"/>
      <c r="Q205" s="112"/>
      <c r="R205" s="112"/>
      <c r="S205" s="112"/>
      <c r="T205" s="112"/>
      <c r="U205" s="112"/>
      <c r="V205" s="112"/>
    </row>
    <row r="206">
      <c r="A206" s="158" t="s">
        <v>100</v>
      </c>
      <c r="B206" s="144"/>
      <c r="C206" s="145">
        <v>45487.0</v>
      </c>
      <c r="D206" s="146" t="str">
        <f>VLOOKUP(C206,A3:B$380,2,FALSE)</f>
        <v>#N/A</v>
      </c>
      <c r="E206" s="146">
        <f t="shared" si="3"/>
        <v>81</v>
      </c>
      <c r="F206" s="146">
        <f t="shared" si="6"/>
        <v>81</v>
      </c>
      <c r="G206" s="146">
        <f t="shared" ref="G206:H206" si="206">((AVERAGE(F200:F206))+(MEDIAN(F200:F206))+E206)/3</f>
        <v>81</v>
      </c>
      <c r="H206" s="146">
        <f t="shared" si="206"/>
        <v>81</v>
      </c>
      <c r="I206" s="120"/>
      <c r="J206" s="180"/>
      <c r="K206" s="181"/>
      <c r="L206" s="182"/>
      <c r="M206" s="112"/>
      <c r="N206" s="112"/>
      <c r="O206" s="112"/>
      <c r="P206" s="112"/>
      <c r="Q206" s="112"/>
      <c r="R206" s="112"/>
      <c r="S206" s="112"/>
      <c r="T206" s="112"/>
      <c r="U206" s="112"/>
      <c r="V206" s="112"/>
    </row>
    <row r="207">
      <c r="A207" s="153" t="s">
        <v>100</v>
      </c>
      <c r="B207" s="154"/>
      <c r="C207" s="130">
        <v>45488.0</v>
      </c>
      <c r="D207" s="131" t="str">
        <f>VLOOKUP(C207,A3:B$380,2,FALSE)</f>
        <v>#N/A</v>
      </c>
      <c r="E207" s="131">
        <f t="shared" si="3"/>
        <v>81</v>
      </c>
      <c r="F207" s="131">
        <f t="shared" si="6"/>
        <v>81</v>
      </c>
      <c r="G207" s="131">
        <f t="shared" ref="G207:H207" si="207">((AVERAGE(F201:F207))+(MEDIAN(F201:F207))+E207)/3</f>
        <v>81</v>
      </c>
      <c r="H207" s="131">
        <f t="shared" si="207"/>
        <v>81</v>
      </c>
      <c r="I207" s="120"/>
      <c r="J207" s="180"/>
      <c r="K207" s="181"/>
      <c r="L207" s="182"/>
      <c r="M207" s="112"/>
      <c r="N207" s="112"/>
      <c r="O207" s="112"/>
      <c r="P207" s="112"/>
      <c r="Q207" s="112"/>
      <c r="R207" s="112"/>
      <c r="S207" s="112"/>
      <c r="T207" s="112"/>
      <c r="U207" s="112"/>
      <c r="V207" s="112"/>
    </row>
    <row r="208">
      <c r="A208" s="158" t="s">
        <v>100</v>
      </c>
      <c r="B208" s="144"/>
      <c r="C208" s="145">
        <v>45489.0</v>
      </c>
      <c r="D208" s="146" t="str">
        <f>VLOOKUP(C208,A3:B$380,2,FALSE)</f>
        <v>#N/A</v>
      </c>
      <c r="E208" s="146">
        <f t="shared" si="3"/>
        <v>81</v>
      </c>
      <c r="F208" s="146">
        <f t="shared" si="6"/>
        <v>81</v>
      </c>
      <c r="G208" s="146">
        <f t="shared" ref="G208:H208" si="208">((AVERAGE(F202:F208))+(MEDIAN(F202:F208))+E208)/3</f>
        <v>81</v>
      </c>
      <c r="H208" s="146">
        <f t="shared" si="208"/>
        <v>81</v>
      </c>
      <c r="I208" s="120"/>
      <c r="J208" s="180"/>
      <c r="K208" s="181"/>
      <c r="L208" s="182"/>
      <c r="M208" s="112"/>
      <c r="N208" s="112"/>
      <c r="O208" s="112"/>
      <c r="P208" s="112"/>
      <c r="Q208" s="112"/>
      <c r="R208" s="112"/>
      <c r="S208" s="112"/>
      <c r="T208" s="112"/>
      <c r="U208" s="112"/>
      <c r="V208" s="112"/>
    </row>
    <row r="209">
      <c r="A209" s="153" t="s">
        <v>100</v>
      </c>
      <c r="B209" s="154"/>
      <c r="C209" s="130">
        <v>45490.0</v>
      </c>
      <c r="D209" s="131" t="str">
        <f>VLOOKUP(C209,A3:B$380,2,FALSE)</f>
        <v>#N/A</v>
      </c>
      <c r="E209" s="131">
        <f t="shared" si="3"/>
        <v>81</v>
      </c>
      <c r="F209" s="131">
        <f t="shared" si="6"/>
        <v>81</v>
      </c>
      <c r="G209" s="131">
        <f t="shared" ref="G209:H209" si="209">((AVERAGE(F203:F209))+(MEDIAN(F203:F209))+E209)/3</f>
        <v>81</v>
      </c>
      <c r="H209" s="131">
        <f t="shared" si="209"/>
        <v>81</v>
      </c>
      <c r="I209" s="120"/>
      <c r="J209" s="180"/>
      <c r="K209" s="181"/>
      <c r="L209" s="182"/>
      <c r="M209" s="112"/>
      <c r="N209" s="112"/>
      <c r="O209" s="112"/>
      <c r="P209" s="112"/>
      <c r="Q209" s="112"/>
      <c r="R209" s="112"/>
      <c r="S209" s="112"/>
      <c r="T209" s="112"/>
      <c r="U209" s="112"/>
      <c r="V209" s="112"/>
    </row>
    <row r="210">
      <c r="A210" s="158" t="s">
        <v>100</v>
      </c>
      <c r="B210" s="144"/>
      <c r="C210" s="145">
        <v>45491.0</v>
      </c>
      <c r="D210" s="146" t="str">
        <f>VLOOKUP(C210,A3:B$380,2,FALSE)</f>
        <v>#N/A</v>
      </c>
      <c r="E210" s="146">
        <f t="shared" si="3"/>
        <v>81</v>
      </c>
      <c r="F210" s="146">
        <f t="shared" si="6"/>
        <v>81</v>
      </c>
      <c r="G210" s="146">
        <f t="shared" ref="G210:H210" si="210">((AVERAGE(F204:F210))+(MEDIAN(F204:F210))+E210)/3</f>
        <v>81</v>
      </c>
      <c r="H210" s="146">
        <f t="shared" si="210"/>
        <v>81</v>
      </c>
      <c r="I210" s="120"/>
      <c r="J210" s="180"/>
      <c r="K210" s="181"/>
      <c r="L210" s="182"/>
      <c r="M210" s="112"/>
      <c r="N210" s="112"/>
      <c r="O210" s="112"/>
      <c r="P210" s="112"/>
      <c r="Q210" s="112"/>
      <c r="R210" s="112"/>
      <c r="S210" s="112"/>
      <c r="T210" s="112"/>
      <c r="U210" s="112"/>
      <c r="V210" s="112"/>
    </row>
    <row r="211">
      <c r="A211" s="153" t="s">
        <v>100</v>
      </c>
      <c r="B211" s="154"/>
      <c r="C211" s="130">
        <v>45492.0</v>
      </c>
      <c r="D211" s="131" t="str">
        <f>VLOOKUP(C211,A3:B$380,2,FALSE)</f>
        <v>#N/A</v>
      </c>
      <c r="E211" s="131">
        <f t="shared" si="3"/>
        <v>81</v>
      </c>
      <c r="F211" s="131">
        <f t="shared" si="6"/>
        <v>81</v>
      </c>
      <c r="G211" s="131">
        <f t="shared" ref="G211:H211" si="211">((AVERAGE(F205:F211))+(MEDIAN(F205:F211))+E211)/3</f>
        <v>81</v>
      </c>
      <c r="H211" s="131">
        <f t="shared" si="211"/>
        <v>81</v>
      </c>
      <c r="I211" s="120"/>
      <c r="J211" s="180"/>
      <c r="K211" s="181"/>
      <c r="L211" s="182"/>
      <c r="M211" s="112"/>
      <c r="N211" s="112"/>
      <c r="O211" s="112"/>
      <c r="P211" s="112"/>
      <c r="Q211" s="112"/>
      <c r="R211" s="112"/>
      <c r="S211" s="112"/>
      <c r="T211" s="112"/>
      <c r="U211" s="112"/>
      <c r="V211" s="112"/>
    </row>
    <row r="212">
      <c r="A212" s="158" t="s">
        <v>100</v>
      </c>
      <c r="B212" s="144"/>
      <c r="C212" s="173">
        <v>45493.0</v>
      </c>
      <c r="D212" s="174" t="str">
        <f>VLOOKUP(C212,A3:B$380,2,FALSE)</f>
        <v>#N/A</v>
      </c>
      <c r="E212" s="174">
        <f t="shared" si="3"/>
        <v>81</v>
      </c>
      <c r="F212" s="174">
        <f t="shared" si="6"/>
        <v>81</v>
      </c>
      <c r="G212" s="174">
        <f t="shared" ref="G212:H212" si="212">((AVERAGE(F206:F212))+(MEDIAN(F206:F212))+E212)/3</f>
        <v>81</v>
      </c>
      <c r="H212" s="174">
        <f t="shared" si="212"/>
        <v>81</v>
      </c>
      <c r="I212" s="120"/>
      <c r="J212" s="180"/>
      <c r="K212" s="181"/>
      <c r="L212" s="182"/>
      <c r="M212" s="112"/>
      <c r="N212" s="112"/>
      <c r="O212" s="112"/>
      <c r="P212" s="112"/>
      <c r="Q212" s="112"/>
      <c r="R212" s="112"/>
      <c r="S212" s="112"/>
      <c r="T212" s="112"/>
      <c r="U212" s="112"/>
      <c r="V212" s="112"/>
    </row>
    <row r="213">
      <c r="A213" s="153" t="s">
        <v>100</v>
      </c>
      <c r="B213" s="154"/>
      <c r="C213" s="130">
        <v>45494.0</v>
      </c>
      <c r="D213" s="131" t="str">
        <f>VLOOKUP(C213,A3:B$380,2,FALSE)</f>
        <v>#N/A</v>
      </c>
      <c r="E213" s="131">
        <f t="shared" si="3"/>
        <v>81</v>
      </c>
      <c r="F213" s="131">
        <f t="shared" si="6"/>
        <v>81</v>
      </c>
      <c r="G213" s="131">
        <f t="shared" ref="G213:H213" si="213">((AVERAGE(F207:F213))+(MEDIAN(F207:F213))+E213)/3</f>
        <v>81</v>
      </c>
      <c r="H213" s="131">
        <f t="shared" si="213"/>
        <v>81</v>
      </c>
      <c r="I213" s="120"/>
      <c r="J213" s="180"/>
      <c r="K213" s="181"/>
      <c r="L213" s="182"/>
      <c r="M213" s="112"/>
      <c r="N213" s="112"/>
      <c r="O213" s="112"/>
      <c r="P213" s="112"/>
      <c r="Q213" s="112"/>
      <c r="R213" s="112"/>
      <c r="S213" s="112"/>
      <c r="T213" s="112"/>
      <c r="U213" s="112"/>
      <c r="V213" s="112"/>
    </row>
    <row r="214">
      <c r="A214" s="158" t="s">
        <v>100</v>
      </c>
      <c r="B214" s="144"/>
      <c r="C214" s="145">
        <v>45495.0</v>
      </c>
      <c r="D214" s="146" t="str">
        <f>VLOOKUP(C214,A3:B$380,2,FALSE)</f>
        <v>#N/A</v>
      </c>
      <c r="E214" s="146">
        <f t="shared" si="3"/>
        <v>81</v>
      </c>
      <c r="F214" s="146">
        <f t="shared" si="6"/>
        <v>81</v>
      </c>
      <c r="G214" s="146">
        <f t="shared" ref="G214:H214" si="214">((AVERAGE(F208:F214))+(MEDIAN(F208:F214))+E214)/3</f>
        <v>81</v>
      </c>
      <c r="H214" s="146">
        <f t="shared" si="214"/>
        <v>81</v>
      </c>
      <c r="I214" s="120"/>
      <c r="J214" s="180"/>
      <c r="K214" s="181"/>
      <c r="L214" s="182"/>
      <c r="M214" s="112"/>
      <c r="N214" s="112"/>
      <c r="O214" s="112"/>
      <c r="P214" s="112"/>
      <c r="Q214" s="112"/>
      <c r="R214" s="112"/>
      <c r="S214" s="112"/>
      <c r="T214" s="112"/>
      <c r="U214" s="112"/>
      <c r="V214" s="112"/>
    </row>
    <row r="215">
      <c r="A215" s="153" t="s">
        <v>100</v>
      </c>
      <c r="B215" s="154"/>
      <c r="C215" s="130">
        <v>45496.0</v>
      </c>
      <c r="D215" s="131" t="str">
        <f>VLOOKUP(C215,A3:B$380,2,FALSE)</f>
        <v>#N/A</v>
      </c>
      <c r="E215" s="131">
        <f t="shared" si="3"/>
        <v>81</v>
      </c>
      <c r="F215" s="131">
        <f t="shared" si="6"/>
        <v>81</v>
      </c>
      <c r="G215" s="131">
        <f t="shared" ref="G215:H215" si="215">((AVERAGE(F209:F215))+(MEDIAN(F209:F215))+E215)/3</f>
        <v>81</v>
      </c>
      <c r="H215" s="131">
        <f t="shared" si="215"/>
        <v>81</v>
      </c>
      <c r="I215" s="120"/>
      <c r="J215" s="180"/>
      <c r="K215" s="181"/>
      <c r="L215" s="182"/>
      <c r="M215" s="112"/>
      <c r="N215" s="112"/>
      <c r="O215" s="112"/>
      <c r="P215" s="112"/>
      <c r="Q215" s="112"/>
      <c r="R215" s="112"/>
      <c r="S215" s="112"/>
      <c r="T215" s="112"/>
      <c r="U215" s="112"/>
      <c r="V215" s="112"/>
    </row>
    <row r="216">
      <c r="A216" s="158" t="s">
        <v>100</v>
      </c>
      <c r="B216" s="144"/>
      <c r="C216" s="145">
        <v>45497.0</v>
      </c>
      <c r="D216" s="146" t="str">
        <f>VLOOKUP(C216,A3:B$380,2,FALSE)</f>
        <v>#N/A</v>
      </c>
      <c r="E216" s="146">
        <f t="shared" si="3"/>
        <v>81</v>
      </c>
      <c r="F216" s="146">
        <f t="shared" si="6"/>
        <v>81</v>
      </c>
      <c r="G216" s="146">
        <f t="shared" ref="G216:H216" si="216">((AVERAGE(F210:F216))+(MEDIAN(F210:F216))+E216)/3</f>
        <v>81</v>
      </c>
      <c r="H216" s="146">
        <f t="shared" si="216"/>
        <v>81</v>
      </c>
      <c r="I216" s="120"/>
      <c r="J216" s="180"/>
      <c r="K216" s="181"/>
      <c r="L216" s="182"/>
      <c r="M216" s="112"/>
      <c r="N216" s="112"/>
      <c r="O216" s="112"/>
      <c r="P216" s="112"/>
      <c r="Q216" s="112"/>
      <c r="R216" s="112"/>
      <c r="S216" s="112"/>
      <c r="T216" s="112"/>
      <c r="U216" s="112"/>
      <c r="V216" s="112"/>
    </row>
    <row r="217">
      <c r="A217" s="153" t="s">
        <v>100</v>
      </c>
      <c r="B217" s="154"/>
      <c r="C217" s="130">
        <v>45498.0</v>
      </c>
      <c r="D217" s="131" t="str">
        <f>VLOOKUP(C217,A3:B$380,2,FALSE)</f>
        <v>#N/A</v>
      </c>
      <c r="E217" s="131">
        <f t="shared" si="3"/>
        <v>81</v>
      </c>
      <c r="F217" s="131">
        <f t="shared" si="6"/>
        <v>81</v>
      </c>
      <c r="G217" s="131">
        <f t="shared" ref="G217:H217" si="217">((AVERAGE(F211:F217))+(MEDIAN(F211:F217))+E217)/3</f>
        <v>81</v>
      </c>
      <c r="H217" s="131">
        <f t="shared" si="217"/>
        <v>81</v>
      </c>
      <c r="I217" s="120"/>
      <c r="J217" s="180"/>
      <c r="K217" s="181"/>
      <c r="L217" s="182"/>
      <c r="M217" s="112"/>
      <c r="N217" s="112"/>
      <c r="O217" s="112"/>
      <c r="P217" s="112"/>
      <c r="Q217" s="112"/>
      <c r="R217" s="112"/>
      <c r="S217" s="112"/>
      <c r="T217" s="112"/>
      <c r="U217" s="112"/>
      <c r="V217" s="112"/>
    </row>
    <row r="218">
      <c r="A218" s="158" t="s">
        <v>100</v>
      </c>
      <c r="B218" s="144"/>
      <c r="C218" s="145">
        <v>45499.0</v>
      </c>
      <c r="D218" s="146" t="str">
        <f>VLOOKUP(C218,A3:B$380,2,FALSE)</f>
        <v>#N/A</v>
      </c>
      <c r="E218" s="146">
        <f t="shared" si="3"/>
        <v>81</v>
      </c>
      <c r="F218" s="146">
        <f t="shared" si="6"/>
        <v>81</v>
      </c>
      <c r="G218" s="146">
        <f t="shared" ref="G218:H218" si="218">((AVERAGE(F212:F218))+(MEDIAN(F212:F218))+E218)/3</f>
        <v>81</v>
      </c>
      <c r="H218" s="146">
        <f t="shared" si="218"/>
        <v>81</v>
      </c>
      <c r="I218" s="120"/>
      <c r="J218" s="180"/>
      <c r="K218" s="181"/>
      <c r="L218" s="182"/>
      <c r="M218" s="112"/>
      <c r="N218" s="112"/>
      <c r="O218" s="112"/>
      <c r="P218" s="112"/>
      <c r="Q218" s="112"/>
      <c r="R218" s="112"/>
      <c r="S218" s="112"/>
      <c r="T218" s="112"/>
      <c r="U218" s="112"/>
      <c r="V218" s="112"/>
    </row>
    <row r="219">
      <c r="A219" s="153" t="s">
        <v>100</v>
      </c>
      <c r="B219" s="154"/>
      <c r="C219" s="168">
        <v>45500.0</v>
      </c>
      <c r="D219" s="169" t="str">
        <f>VLOOKUP(C219,A3:B$380,2,FALSE)</f>
        <v>#N/A</v>
      </c>
      <c r="E219" s="169">
        <f t="shared" si="3"/>
        <v>81</v>
      </c>
      <c r="F219" s="169">
        <f t="shared" si="6"/>
        <v>81</v>
      </c>
      <c r="G219" s="169">
        <f t="shared" ref="G219:H219" si="219">((AVERAGE(F213:F219))+(MEDIAN(F213:F219))+E219)/3</f>
        <v>81</v>
      </c>
      <c r="H219" s="169">
        <f t="shared" si="219"/>
        <v>81</v>
      </c>
      <c r="I219" s="120"/>
      <c r="J219" s="180"/>
      <c r="K219" s="181"/>
      <c r="L219" s="182"/>
      <c r="M219" s="112"/>
      <c r="N219" s="112"/>
      <c r="O219" s="112"/>
      <c r="P219" s="112"/>
      <c r="Q219" s="112"/>
      <c r="R219" s="112"/>
      <c r="S219" s="112"/>
      <c r="T219" s="112"/>
      <c r="U219" s="112"/>
      <c r="V219" s="112"/>
    </row>
    <row r="220">
      <c r="A220" s="158" t="s">
        <v>100</v>
      </c>
      <c r="B220" s="144"/>
      <c r="C220" s="145">
        <v>45501.0</v>
      </c>
      <c r="D220" s="146" t="str">
        <f>VLOOKUP(C220,A3:B$380,2,FALSE)</f>
        <v>#N/A</v>
      </c>
      <c r="E220" s="146">
        <f t="shared" si="3"/>
        <v>81</v>
      </c>
      <c r="F220" s="146">
        <f t="shared" si="6"/>
        <v>81</v>
      </c>
      <c r="G220" s="146">
        <f t="shared" ref="G220:H220" si="220">((AVERAGE(F214:F220))+(MEDIAN(F214:F220))+E220)/3</f>
        <v>81</v>
      </c>
      <c r="H220" s="146">
        <f t="shared" si="220"/>
        <v>81</v>
      </c>
      <c r="I220" s="120"/>
      <c r="J220" s="180"/>
      <c r="K220" s="181"/>
      <c r="L220" s="182"/>
      <c r="M220" s="112"/>
      <c r="N220" s="112"/>
      <c r="O220" s="112"/>
      <c r="P220" s="112"/>
      <c r="Q220" s="112"/>
      <c r="R220" s="112"/>
      <c r="S220" s="112"/>
      <c r="T220" s="112"/>
      <c r="U220" s="112"/>
      <c r="V220" s="112"/>
    </row>
    <row r="221">
      <c r="A221" s="153" t="s">
        <v>100</v>
      </c>
      <c r="B221" s="154"/>
      <c r="C221" s="130">
        <v>45502.0</v>
      </c>
      <c r="D221" s="131" t="str">
        <f>VLOOKUP(C221,A3:B$380,2,FALSE)</f>
        <v>#N/A</v>
      </c>
      <c r="E221" s="131">
        <f t="shared" si="3"/>
        <v>81</v>
      </c>
      <c r="F221" s="131">
        <f t="shared" si="6"/>
        <v>81</v>
      </c>
      <c r="G221" s="131">
        <f t="shared" ref="G221:H221" si="221">((AVERAGE(F215:F221))+(MEDIAN(F215:F221))+E221)/3</f>
        <v>81</v>
      </c>
      <c r="H221" s="131">
        <f t="shared" si="221"/>
        <v>81</v>
      </c>
      <c r="I221" s="120"/>
      <c r="J221" s="180"/>
      <c r="K221" s="181"/>
      <c r="L221" s="182"/>
      <c r="M221" s="112"/>
      <c r="N221" s="112"/>
      <c r="O221" s="112"/>
      <c r="P221" s="112"/>
      <c r="Q221" s="112"/>
      <c r="R221" s="112"/>
      <c r="S221" s="112"/>
      <c r="T221" s="112"/>
      <c r="U221" s="112"/>
      <c r="V221" s="112"/>
    </row>
    <row r="222">
      <c r="A222" s="158" t="s">
        <v>100</v>
      </c>
      <c r="B222" s="144"/>
      <c r="C222" s="145">
        <v>45503.0</v>
      </c>
      <c r="D222" s="146" t="str">
        <f>VLOOKUP(C222,A3:B$380,2,FALSE)</f>
        <v>#N/A</v>
      </c>
      <c r="E222" s="146">
        <f t="shared" si="3"/>
        <v>81</v>
      </c>
      <c r="F222" s="146">
        <f t="shared" si="6"/>
        <v>81</v>
      </c>
      <c r="G222" s="146">
        <f t="shared" ref="G222:H222" si="222">((AVERAGE(F216:F222))+(MEDIAN(F216:F222))+E222)/3</f>
        <v>81</v>
      </c>
      <c r="H222" s="146">
        <f t="shared" si="222"/>
        <v>81</v>
      </c>
      <c r="I222" s="120"/>
      <c r="J222" s="180"/>
      <c r="K222" s="181"/>
      <c r="L222" s="182"/>
      <c r="M222" s="112"/>
      <c r="N222" s="112"/>
      <c r="O222" s="112"/>
      <c r="P222" s="112"/>
      <c r="Q222" s="112"/>
      <c r="R222" s="112"/>
      <c r="S222" s="112"/>
      <c r="T222" s="112"/>
      <c r="U222" s="112"/>
      <c r="V222" s="112"/>
    </row>
    <row r="223">
      <c r="A223" s="153" t="s">
        <v>100</v>
      </c>
      <c r="B223" s="154"/>
      <c r="C223" s="130">
        <v>45504.0</v>
      </c>
      <c r="D223" s="131" t="str">
        <f>VLOOKUP(C223,A3:B$380,2,FALSE)</f>
        <v>#N/A</v>
      </c>
      <c r="E223" s="131">
        <f t="shared" si="3"/>
        <v>81</v>
      </c>
      <c r="F223" s="131">
        <f t="shared" si="6"/>
        <v>81</v>
      </c>
      <c r="G223" s="131">
        <f t="shared" ref="G223:H223" si="223">((AVERAGE(F217:F223))+(MEDIAN(F217:F223))+E223)/3</f>
        <v>81</v>
      </c>
      <c r="H223" s="131">
        <f t="shared" si="223"/>
        <v>81</v>
      </c>
      <c r="I223" s="120"/>
      <c r="J223" s="180"/>
      <c r="K223" s="181"/>
      <c r="L223" s="182"/>
      <c r="M223" s="112"/>
      <c r="N223" s="112"/>
      <c r="O223" s="112"/>
      <c r="P223" s="112"/>
      <c r="Q223" s="112"/>
      <c r="R223" s="112"/>
      <c r="S223" s="112"/>
      <c r="T223" s="112"/>
      <c r="U223" s="112"/>
      <c r="V223" s="112"/>
    </row>
    <row r="224">
      <c r="A224" s="158" t="s">
        <v>100</v>
      </c>
      <c r="B224" s="144"/>
      <c r="C224" s="145">
        <v>45505.0</v>
      </c>
      <c r="D224" s="146" t="str">
        <f>VLOOKUP(C224,A3:B$380,2,FALSE)</f>
        <v>#N/A</v>
      </c>
      <c r="E224" s="146">
        <f t="shared" si="3"/>
        <v>81</v>
      </c>
      <c r="F224" s="146">
        <f t="shared" si="6"/>
        <v>81</v>
      </c>
      <c r="G224" s="146">
        <f t="shared" ref="G224:H224" si="224">((AVERAGE(F218:F224))+(MEDIAN(F218:F224))+E224)/3</f>
        <v>81</v>
      </c>
      <c r="H224" s="146">
        <f t="shared" si="224"/>
        <v>81</v>
      </c>
      <c r="I224" s="120"/>
      <c r="J224" s="180"/>
      <c r="K224" s="181"/>
      <c r="L224" s="182"/>
      <c r="M224" s="112"/>
      <c r="N224" s="112"/>
      <c r="O224" s="112"/>
      <c r="P224" s="112"/>
      <c r="Q224" s="112"/>
      <c r="R224" s="112"/>
      <c r="S224" s="112"/>
      <c r="T224" s="112"/>
      <c r="U224" s="112"/>
      <c r="V224" s="112"/>
    </row>
    <row r="225">
      <c r="A225" s="153" t="s">
        <v>100</v>
      </c>
      <c r="B225" s="154"/>
      <c r="C225" s="130">
        <v>45506.0</v>
      </c>
      <c r="D225" s="131" t="str">
        <f>VLOOKUP(C225,A3:B$380,2,FALSE)</f>
        <v>#N/A</v>
      </c>
      <c r="E225" s="131">
        <f t="shared" si="3"/>
        <v>81</v>
      </c>
      <c r="F225" s="131">
        <f t="shared" si="6"/>
        <v>81</v>
      </c>
      <c r="G225" s="131">
        <f t="shared" ref="G225:H225" si="225">((AVERAGE(F219:F225))+(MEDIAN(F219:F225))+E225)/3</f>
        <v>81</v>
      </c>
      <c r="H225" s="131">
        <f t="shared" si="225"/>
        <v>81</v>
      </c>
      <c r="I225" s="120"/>
      <c r="J225" s="180"/>
      <c r="K225" s="181"/>
      <c r="L225" s="182"/>
      <c r="M225" s="112"/>
      <c r="N225" s="112"/>
      <c r="O225" s="112"/>
      <c r="P225" s="112"/>
      <c r="Q225" s="112"/>
      <c r="R225" s="112"/>
      <c r="S225" s="112"/>
      <c r="T225" s="112"/>
      <c r="U225" s="112"/>
      <c r="V225" s="112"/>
    </row>
    <row r="226">
      <c r="A226" s="158" t="s">
        <v>100</v>
      </c>
      <c r="B226" s="144"/>
      <c r="C226" s="173">
        <v>45507.0</v>
      </c>
      <c r="D226" s="174" t="str">
        <f>VLOOKUP(C226,A3:B$380,2,FALSE)</f>
        <v>#N/A</v>
      </c>
      <c r="E226" s="174">
        <f t="shared" si="3"/>
        <v>81</v>
      </c>
      <c r="F226" s="174">
        <f t="shared" si="6"/>
        <v>81</v>
      </c>
      <c r="G226" s="174">
        <f t="shared" ref="G226:H226" si="226">((AVERAGE(F220:F226))+(MEDIAN(F220:F226))+E226)/3</f>
        <v>81</v>
      </c>
      <c r="H226" s="174">
        <f t="shared" si="226"/>
        <v>81</v>
      </c>
      <c r="I226" s="120"/>
      <c r="J226" s="180"/>
      <c r="K226" s="181"/>
      <c r="L226" s="182"/>
      <c r="M226" s="112"/>
      <c r="N226" s="112"/>
      <c r="O226" s="112"/>
      <c r="P226" s="112"/>
      <c r="Q226" s="112"/>
      <c r="R226" s="112"/>
      <c r="S226" s="112"/>
      <c r="T226" s="112"/>
      <c r="U226" s="112"/>
      <c r="V226" s="112"/>
    </row>
    <row r="227">
      <c r="A227" s="153" t="s">
        <v>100</v>
      </c>
      <c r="B227" s="154"/>
      <c r="C227" s="130">
        <v>45508.0</v>
      </c>
      <c r="D227" s="131" t="str">
        <f>VLOOKUP(C227,A3:B$380,2,FALSE)</f>
        <v>#N/A</v>
      </c>
      <c r="E227" s="131">
        <f t="shared" si="3"/>
        <v>81</v>
      </c>
      <c r="F227" s="131">
        <f t="shared" si="6"/>
        <v>81</v>
      </c>
      <c r="G227" s="131">
        <f t="shared" ref="G227:H227" si="227">((AVERAGE(F221:F227))+(MEDIAN(F221:F227))+E227)/3</f>
        <v>81</v>
      </c>
      <c r="H227" s="131">
        <f t="shared" si="227"/>
        <v>81</v>
      </c>
      <c r="I227" s="120"/>
      <c r="J227" s="180"/>
      <c r="K227" s="181"/>
      <c r="L227" s="182"/>
      <c r="M227" s="112"/>
      <c r="N227" s="112"/>
      <c r="O227" s="112"/>
      <c r="P227" s="112"/>
      <c r="Q227" s="112"/>
      <c r="R227" s="112"/>
      <c r="S227" s="112"/>
      <c r="T227" s="112"/>
      <c r="U227" s="112"/>
      <c r="V227" s="112"/>
    </row>
    <row r="228">
      <c r="A228" s="158" t="s">
        <v>100</v>
      </c>
      <c r="B228" s="144"/>
      <c r="C228" s="145">
        <v>45509.0</v>
      </c>
      <c r="D228" s="146" t="str">
        <f>VLOOKUP(C228,A3:B$380,2,FALSE)</f>
        <v>#N/A</v>
      </c>
      <c r="E228" s="146">
        <f t="shared" si="3"/>
        <v>81</v>
      </c>
      <c r="F228" s="146">
        <f t="shared" si="6"/>
        <v>81</v>
      </c>
      <c r="G228" s="146">
        <f t="shared" ref="G228:H228" si="228">((AVERAGE(F222:F228))+(MEDIAN(F222:F228))+E228)/3</f>
        <v>81</v>
      </c>
      <c r="H228" s="146">
        <f t="shared" si="228"/>
        <v>81</v>
      </c>
      <c r="I228" s="120"/>
      <c r="J228" s="180"/>
      <c r="K228" s="181"/>
      <c r="L228" s="182"/>
      <c r="M228" s="112"/>
      <c r="N228" s="112"/>
      <c r="O228" s="112"/>
      <c r="P228" s="112"/>
      <c r="Q228" s="112"/>
      <c r="R228" s="112"/>
      <c r="S228" s="112"/>
      <c r="T228" s="112"/>
      <c r="U228" s="112"/>
      <c r="V228" s="112"/>
    </row>
    <row r="229">
      <c r="A229" s="153" t="s">
        <v>100</v>
      </c>
      <c r="B229" s="154"/>
      <c r="C229" s="130">
        <v>45510.0</v>
      </c>
      <c r="D229" s="131" t="str">
        <f>VLOOKUP(C229,A3:B$380,2,FALSE)</f>
        <v>#N/A</v>
      </c>
      <c r="E229" s="131">
        <f t="shared" si="3"/>
        <v>81</v>
      </c>
      <c r="F229" s="131">
        <f t="shared" si="6"/>
        <v>81</v>
      </c>
      <c r="G229" s="131">
        <f t="shared" ref="G229:H229" si="229">((AVERAGE(F223:F229))+(MEDIAN(F223:F229))+E229)/3</f>
        <v>81</v>
      </c>
      <c r="H229" s="131">
        <f t="shared" si="229"/>
        <v>81</v>
      </c>
      <c r="I229" s="120"/>
      <c r="J229" s="180"/>
      <c r="K229" s="181"/>
      <c r="L229" s="182"/>
      <c r="M229" s="112"/>
      <c r="N229" s="112"/>
      <c r="O229" s="112"/>
      <c r="P229" s="112"/>
      <c r="Q229" s="112"/>
      <c r="R229" s="112"/>
      <c r="S229" s="112"/>
      <c r="T229" s="112"/>
      <c r="U229" s="112"/>
      <c r="V229" s="112"/>
    </row>
    <row r="230">
      <c r="A230" s="158" t="s">
        <v>100</v>
      </c>
      <c r="B230" s="144"/>
      <c r="C230" s="145">
        <v>45511.0</v>
      </c>
      <c r="D230" s="146" t="str">
        <f>VLOOKUP(C230,A3:B$380,2,FALSE)</f>
        <v>#N/A</v>
      </c>
      <c r="E230" s="146">
        <f t="shared" si="3"/>
        <v>81</v>
      </c>
      <c r="F230" s="146">
        <f t="shared" si="6"/>
        <v>81</v>
      </c>
      <c r="G230" s="146">
        <f t="shared" ref="G230:H230" si="230">((AVERAGE(F224:F230))+(MEDIAN(F224:F230))+E230)/3</f>
        <v>81</v>
      </c>
      <c r="H230" s="146">
        <f t="shared" si="230"/>
        <v>81</v>
      </c>
      <c r="I230" s="120"/>
      <c r="J230" s="180"/>
      <c r="K230" s="181"/>
      <c r="L230" s="182"/>
      <c r="M230" s="112"/>
      <c r="N230" s="112"/>
      <c r="O230" s="112"/>
      <c r="P230" s="112"/>
      <c r="Q230" s="112"/>
      <c r="R230" s="112"/>
      <c r="S230" s="112"/>
      <c r="T230" s="112"/>
      <c r="U230" s="112"/>
      <c r="V230" s="112"/>
    </row>
    <row r="231">
      <c r="A231" s="153" t="s">
        <v>100</v>
      </c>
      <c r="B231" s="154"/>
      <c r="C231" s="130">
        <v>45512.0</v>
      </c>
      <c r="D231" s="131" t="str">
        <f>VLOOKUP(C231,A3:B$380,2,FALSE)</f>
        <v>#N/A</v>
      </c>
      <c r="E231" s="131">
        <f t="shared" si="3"/>
        <v>81</v>
      </c>
      <c r="F231" s="131">
        <f t="shared" si="6"/>
        <v>81</v>
      </c>
      <c r="G231" s="131">
        <f t="shared" ref="G231:H231" si="231">((AVERAGE(F225:F231))+(MEDIAN(F225:F231))+E231)/3</f>
        <v>81</v>
      </c>
      <c r="H231" s="131">
        <f t="shared" si="231"/>
        <v>81</v>
      </c>
      <c r="I231" s="120"/>
      <c r="J231" s="180"/>
      <c r="K231" s="181"/>
      <c r="L231" s="182"/>
      <c r="M231" s="112"/>
      <c r="N231" s="112"/>
      <c r="O231" s="112"/>
      <c r="P231" s="112"/>
      <c r="Q231" s="112"/>
      <c r="R231" s="112"/>
      <c r="S231" s="112"/>
      <c r="T231" s="112"/>
      <c r="U231" s="112"/>
      <c r="V231" s="112"/>
    </row>
    <row r="232">
      <c r="A232" s="158" t="s">
        <v>100</v>
      </c>
      <c r="B232" s="144"/>
      <c r="C232" s="145">
        <v>45513.0</v>
      </c>
      <c r="D232" s="146" t="str">
        <f>VLOOKUP(C232,A3:B$380,2,FALSE)</f>
        <v>#N/A</v>
      </c>
      <c r="E232" s="146">
        <f t="shared" si="3"/>
        <v>81</v>
      </c>
      <c r="F232" s="146">
        <f t="shared" si="6"/>
        <v>81</v>
      </c>
      <c r="G232" s="146">
        <f t="shared" ref="G232:H232" si="232">((AVERAGE(F226:F232))+(MEDIAN(F226:F232))+E232)/3</f>
        <v>81</v>
      </c>
      <c r="H232" s="146">
        <f t="shared" si="232"/>
        <v>81</v>
      </c>
      <c r="I232" s="120"/>
      <c r="J232" s="180"/>
      <c r="K232" s="181"/>
      <c r="L232" s="182"/>
      <c r="M232" s="112"/>
      <c r="N232" s="112"/>
      <c r="O232" s="112"/>
      <c r="P232" s="112"/>
      <c r="Q232" s="112"/>
      <c r="R232" s="112"/>
      <c r="S232" s="112"/>
      <c r="T232" s="112"/>
      <c r="U232" s="112"/>
      <c r="V232" s="112"/>
    </row>
    <row r="233">
      <c r="A233" s="153" t="s">
        <v>100</v>
      </c>
      <c r="B233" s="154"/>
      <c r="C233" s="168">
        <v>45514.0</v>
      </c>
      <c r="D233" s="169" t="str">
        <f>VLOOKUP(C233,A3:B$380,2,FALSE)</f>
        <v>#N/A</v>
      </c>
      <c r="E233" s="169">
        <f t="shared" si="3"/>
        <v>81</v>
      </c>
      <c r="F233" s="169">
        <f t="shared" si="6"/>
        <v>81</v>
      </c>
      <c r="G233" s="169">
        <f t="shared" ref="G233:H233" si="233">((AVERAGE(F227:F233))+(MEDIAN(F227:F233))+E233)/3</f>
        <v>81</v>
      </c>
      <c r="H233" s="169">
        <f t="shared" si="233"/>
        <v>81</v>
      </c>
      <c r="I233" s="120"/>
      <c r="J233" s="180"/>
      <c r="K233" s="181"/>
      <c r="L233" s="182"/>
      <c r="M233" s="112"/>
      <c r="N233" s="112"/>
      <c r="O233" s="112"/>
      <c r="P233" s="112"/>
      <c r="Q233" s="112"/>
      <c r="R233" s="112"/>
      <c r="S233" s="112"/>
      <c r="T233" s="112"/>
      <c r="U233" s="112"/>
      <c r="V233" s="112"/>
    </row>
    <row r="234">
      <c r="A234" s="158" t="s">
        <v>100</v>
      </c>
      <c r="B234" s="144"/>
      <c r="C234" s="145">
        <v>45515.0</v>
      </c>
      <c r="D234" s="146" t="str">
        <f>VLOOKUP(C234,A3:B$380,2,FALSE)</f>
        <v>#N/A</v>
      </c>
      <c r="E234" s="146">
        <f t="shared" si="3"/>
        <v>81</v>
      </c>
      <c r="F234" s="146">
        <f t="shared" si="6"/>
        <v>81</v>
      </c>
      <c r="G234" s="146">
        <f t="shared" ref="G234:H234" si="234">((AVERAGE(F228:F234))+(MEDIAN(F228:F234))+E234)/3</f>
        <v>81</v>
      </c>
      <c r="H234" s="146">
        <f t="shared" si="234"/>
        <v>81</v>
      </c>
      <c r="I234" s="120"/>
      <c r="J234" s="180"/>
      <c r="K234" s="181"/>
      <c r="L234" s="182"/>
      <c r="M234" s="112"/>
      <c r="N234" s="112"/>
      <c r="O234" s="112"/>
      <c r="P234" s="112"/>
      <c r="Q234" s="112"/>
      <c r="R234" s="112"/>
      <c r="S234" s="112"/>
      <c r="T234" s="112"/>
      <c r="U234" s="112"/>
      <c r="V234" s="112"/>
    </row>
    <row r="235">
      <c r="A235" s="153" t="s">
        <v>100</v>
      </c>
      <c r="B235" s="154"/>
      <c r="C235" s="130">
        <v>45516.0</v>
      </c>
      <c r="D235" s="131" t="str">
        <f>VLOOKUP(C235,A3:B$380,2,FALSE)</f>
        <v>#N/A</v>
      </c>
      <c r="E235" s="131">
        <f t="shared" si="3"/>
        <v>81</v>
      </c>
      <c r="F235" s="131">
        <f t="shared" si="6"/>
        <v>81</v>
      </c>
      <c r="G235" s="131">
        <f t="shared" ref="G235:H235" si="235">((AVERAGE(F229:F235))+(MEDIAN(F229:F235))+E235)/3</f>
        <v>81</v>
      </c>
      <c r="H235" s="131">
        <f t="shared" si="235"/>
        <v>81</v>
      </c>
      <c r="I235" s="120"/>
      <c r="J235" s="180"/>
      <c r="K235" s="181"/>
      <c r="L235" s="182"/>
      <c r="M235" s="112"/>
      <c r="N235" s="112"/>
      <c r="O235" s="112"/>
      <c r="P235" s="112"/>
      <c r="Q235" s="112"/>
      <c r="R235" s="112"/>
      <c r="S235" s="112"/>
      <c r="T235" s="112"/>
      <c r="U235" s="112"/>
      <c r="V235" s="112"/>
    </row>
    <row r="236">
      <c r="A236" s="158" t="s">
        <v>100</v>
      </c>
      <c r="B236" s="144"/>
      <c r="C236" s="145">
        <v>45517.0</v>
      </c>
      <c r="D236" s="146" t="str">
        <f>VLOOKUP(C236,A3:B$380,2,FALSE)</f>
        <v>#N/A</v>
      </c>
      <c r="E236" s="146">
        <f t="shared" si="3"/>
        <v>81</v>
      </c>
      <c r="F236" s="146">
        <f t="shared" si="6"/>
        <v>81</v>
      </c>
      <c r="G236" s="146">
        <f t="shared" ref="G236:H236" si="236">((AVERAGE(F230:F236))+(MEDIAN(F230:F236))+E236)/3</f>
        <v>81</v>
      </c>
      <c r="H236" s="146">
        <f t="shared" si="236"/>
        <v>81</v>
      </c>
      <c r="I236" s="120"/>
      <c r="J236" s="180"/>
      <c r="K236" s="181"/>
      <c r="L236" s="182"/>
      <c r="M236" s="112"/>
      <c r="N236" s="112"/>
      <c r="O236" s="112"/>
      <c r="P236" s="112"/>
      <c r="Q236" s="112"/>
      <c r="R236" s="112"/>
      <c r="S236" s="112"/>
      <c r="T236" s="112"/>
      <c r="U236" s="112"/>
      <c r="V236" s="112"/>
    </row>
    <row r="237">
      <c r="A237" s="153" t="s">
        <v>100</v>
      </c>
      <c r="B237" s="154"/>
      <c r="C237" s="130">
        <v>45518.0</v>
      </c>
      <c r="D237" s="131" t="str">
        <f>VLOOKUP(C237,A3:B$380,2,FALSE)</f>
        <v>#N/A</v>
      </c>
      <c r="E237" s="131">
        <f t="shared" si="3"/>
        <v>81</v>
      </c>
      <c r="F237" s="131">
        <f t="shared" si="6"/>
        <v>81</v>
      </c>
      <c r="G237" s="131">
        <f t="shared" ref="G237:H237" si="237">((AVERAGE(F231:F237))+(MEDIAN(F231:F237))+E237)/3</f>
        <v>81</v>
      </c>
      <c r="H237" s="131">
        <f t="shared" si="237"/>
        <v>81</v>
      </c>
      <c r="I237" s="120"/>
      <c r="J237" s="180"/>
      <c r="K237" s="181"/>
      <c r="L237" s="182"/>
      <c r="M237" s="112"/>
      <c r="N237" s="112"/>
      <c r="O237" s="112"/>
      <c r="P237" s="112"/>
      <c r="Q237" s="112"/>
      <c r="R237" s="112"/>
      <c r="S237" s="112"/>
      <c r="T237" s="112"/>
      <c r="U237" s="112"/>
      <c r="V237" s="112"/>
    </row>
    <row r="238">
      <c r="A238" s="158" t="s">
        <v>100</v>
      </c>
      <c r="B238" s="144"/>
      <c r="C238" s="145">
        <v>45519.0</v>
      </c>
      <c r="D238" s="146" t="str">
        <f>VLOOKUP(C238,A3:B$380,2,FALSE)</f>
        <v>#N/A</v>
      </c>
      <c r="E238" s="146">
        <f t="shared" si="3"/>
        <v>81</v>
      </c>
      <c r="F238" s="146">
        <f t="shared" si="6"/>
        <v>81</v>
      </c>
      <c r="G238" s="146">
        <f t="shared" ref="G238:H238" si="238">((AVERAGE(F232:F238))+(MEDIAN(F232:F238))+E238)/3</f>
        <v>81</v>
      </c>
      <c r="H238" s="146">
        <f t="shared" si="238"/>
        <v>81</v>
      </c>
      <c r="I238" s="120"/>
      <c r="J238" s="180"/>
      <c r="K238" s="181"/>
      <c r="L238" s="182"/>
      <c r="M238" s="112"/>
      <c r="N238" s="112"/>
      <c r="O238" s="112"/>
      <c r="P238" s="112"/>
      <c r="Q238" s="112"/>
      <c r="R238" s="112"/>
      <c r="S238" s="112"/>
      <c r="T238" s="112"/>
      <c r="U238" s="112"/>
      <c r="V238" s="112"/>
    </row>
    <row r="239">
      <c r="A239" s="153" t="s">
        <v>100</v>
      </c>
      <c r="B239" s="154"/>
      <c r="C239" s="130">
        <v>45520.0</v>
      </c>
      <c r="D239" s="131" t="str">
        <f>VLOOKUP(C239,A3:B$380,2,FALSE)</f>
        <v>#N/A</v>
      </c>
      <c r="E239" s="131">
        <f t="shared" si="3"/>
        <v>81</v>
      </c>
      <c r="F239" s="131">
        <f t="shared" si="6"/>
        <v>81</v>
      </c>
      <c r="G239" s="131">
        <f t="shared" ref="G239:H239" si="239">((AVERAGE(F233:F239))+(MEDIAN(F233:F239))+E239)/3</f>
        <v>81</v>
      </c>
      <c r="H239" s="131">
        <f t="shared" si="239"/>
        <v>81</v>
      </c>
      <c r="I239" s="120"/>
      <c r="J239" s="180"/>
      <c r="K239" s="181"/>
      <c r="L239" s="182"/>
      <c r="M239" s="112"/>
      <c r="N239" s="112"/>
      <c r="O239" s="112"/>
      <c r="P239" s="112"/>
      <c r="Q239" s="112"/>
      <c r="R239" s="112"/>
      <c r="S239" s="112"/>
      <c r="T239" s="112"/>
      <c r="U239" s="112"/>
      <c r="V239" s="112"/>
    </row>
    <row r="240">
      <c r="A240" s="158" t="s">
        <v>100</v>
      </c>
      <c r="B240" s="144"/>
      <c r="C240" s="173">
        <v>45521.0</v>
      </c>
      <c r="D240" s="174" t="str">
        <f>VLOOKUP(C240,A3:B$380,2,FALSE)</f>
        <v>#N/A</v>
      </c>
      <c r="E240" s="174">
        <f t="shared" si="3"/>
        <v>81</v>
      </c>
      <c r="F240" s="174">
        <f t="shared" si="6"/>
        <v>81</v>
      </c>
      <c r="G240" s="174">
        <f t="shared" ref="G240:H240" si="240">((AVERAGE(F234:F240))+(MEDIAN(F234:F240))+E240)/3</f>
        <v>81</v>
      </c>
      <c r="H240" s="174">
        <f t="shared" si="240"/>
        <v>81</v>
      </c>
      <c r="I240" s="120"/>
      <c r="J240" s="180"/>
      <c r="K240" s="181"/>
      <c r="L240" s="182"/>
      <c r="M240" s="112"/>
      <c r="N240" s="112"/>
      <c r="O240" s="112"/>
      <c r="P240" s="112"/>
      <c r="Q240" s="112"/>
      <c r="R240" s="112"/>
      <c r="S240" s="112"/>
      <c r="T240" s="112"/>
      <c r="U240" s="112"/>
      <c r="V240" s="112"/>
    </row>
    <row r="241">
      <c r="A241" s="153" t="s">
        <v>100</v>
      </c>
      <c r="B241" s="154"/>
      <c r="C241" s="130">
        <v>45522.0</v>
      </c>
      <c r="D241" s="131" t="str">
        <f>VLOOKUP(C241,A3:B$380,2,FALSE)</f>
        <v>#N/A</v>
      </c>
      <c r="E241" s="131">
        <f t="shared" si="3"/>
        <v>81</v>
      </c>
      <c r="F241" s="131">
        <f t="shared" si="6"/>
        <v>81</v>
      </c>
      <c r="G241" s="131">
        <f t="shared" ref="G241:H241" si="241">((AVERAGE(F235:F241))+(MEDIAN(F235:F241))+E241)/3</f>
        <v>81</v>
      </c>
      <c r="H241" s="131">
        <f t="shared" si="241"/>
        <v>81</v>
      </c>
      <c r="I241" s="120"/>
      <c r="J241" s="180"/>
      <c r="K241" s="181"/>
      <c r="L241" s="182"/>
      <c r="M241" s="112"/>
      <c r="N241" s="112"/>
      <c r="O241" s="112"/>
      <c r="P241" s="112"/>
      <c r="Q241" s="112"/>
      <c r="R241" s="112"/>
      <c r="S241" s="112"/>
      <c r="T241" s="112"/>
      <c r="U241" s="112"/>
      <c r="V241" s="112"/>
    </row>
    <row r="242">
      <c r="A242" s="158" t="s">
        <v>100</v>
      </c>
      <c r="B242" s="144"/>
      <c r="C242" s="145">
        <v>45523.0</v>
      </c>
      <c r="D242" s="146" t="str">
        <f>VLOOKUP(C242,A3:B$380,2,FALSE)</f>
        <v>#N/A</v>
      </c>
      <c r="E242" s="146">
        <f t="shared" si="3"/>
        <v>81</v>
      </c>
      <c r="F242" s="146">
        <f t="shared" si="6"/>
        <v>81</v>
      </c>
      <c r="G242" s="146">
        <f t="shared" ref="G242:H242" si="242">((AVERAGE(F236:F242))+(MEDIAN(F236:F242))+E242)/3</f>
        <v>81</v>
      </c>
      <c r="H242" s="146">
        <f t="shared" si="242"/>
        <v>81</v>
      </c>
      <c r="I242" s="120"/>
      <c r="J242" s="180"/>
      <c r="K242" s="181"/>
      <c r="L242" s="182"/>
      <c r="M242" s="112"/>
      <c r="N242" s="112"/>
      <c r="O242" s="112"/>
      <c r="P242" s="112"/>
      <c r="Q242" s="112"/>
      <c r="R242" s="112"/>
      <c r="S242" s="112"/>
      <c r="T242" s="112"/>
      <c r="U242" s="112"/>
      <c r="V242" s="112"/>
    </row>
    <row r="243">
      <c r="A243" s="153" t="s">
        <v>100</v>
      </c>
      <c r="B243" s="154"/>
      <c r="C243" s="130">
        <v>45524.0</v>
      </c>
      <c r="D243" s="131" t="str">
        <f>VLOOKUP(C243,A3:B$380,2,FALSE)</f>
        <v>#N/A</v>
      </c>
      <c r="E243" s="131">
        <f t="shared" si="3"/>
        <v>81</v>
      </c>
      <c r="F243" s="131">
        <f t="shared" si="6"/>
        <v>81</v>
      </c>
      <c r="G243" s="131">
        <f t="shared" ref="G243:H243" si="243">((AVERAGE(F237:F243))+(MEDIAN(F237:F243))+E243)/3</f>
        <v>81</v>
      </c>
      <c r="H243" s="131">
        <f t="shared" si="243"/>
        <v>81</v>
      </c>
      <c r="I243" s="120"/>
      <c r="J243" s="180"/>
      <c r="K243" s="181"/>
      <c r="L243" s="182"/>
      <c r="M243" s="112"/>
      <c r="N243" s="112"/>
      <c r="O243" s="112"/>
      <c r="P243" s="112"/>
      <c r="Q243" s="112"/>
      <c r="R243" s="112"/>
      <c r="S243" s="112"/>
      <c r="T243" s="112"/>
      <c r="U243" s="112"/>
      <c r="V243" s="112"/>
    </row>
    <row r="244">
      <c r="A244" s="158" t="s">
        <v>100</v>
      </c>
      <c r="B244" s="144"/>
      <c r="C244" s="145">
        <v>45525.0</v>
      </c>
      <c r="D244" s="146" t="str">
        <f>VLOOKUP(C244,A3:B$380,2,FALSE)</f>
        <v>#N/A</v>
      </c>
      <c r="E244" s="146">
        <f t="shared" si="3"/>
        <v>81</v>
      </c>
      <c r="F244" s="146">
        <f t="shared" si="6"/>
        <v>81</v>
      </c>
      <c r="G244" s="146">
        <f t="shared" ref="G244:H244" si="244">((AVERAGE(F238:F244))+(MEDIAN(F238:F244))+E244)/3</f>
        <v>81</v>
      </c>
      <c r="H244" s="146">
        <f t="shared" si="244"/>
        <v>81</v>
      </c>
      <c r="I244" s="120"/>
      <c r="J244" s="180"/>
      <c r="K244" s="181"/>
      <c r="L244" s="182"/>
      <c r="M244" s="112"/>
      <c r="N244" s="112"/>
      <c r="O244" s="112"/>
      <c r="P244" s="112"/>
      <c r="Q244" s="112"/>
      <c r="R244" s="112"/>
      <c r="S244" s="112"/>
      <c r="T244" s="112"/>
      <c r="U244" s="112"/>
      <c r="V244" s="112"/>
    </row>
    <row r="245">
      <c r="A245" s="153" t="s">
        <v>100</v>
      </c>
      <c r="B245" s="154"/>
      <c r="C245" s="130">
        <v>45526.0</v>
      </c>
      <c r="D245" s="131" t="str">
        <f>VLOOKUP(C245,A3:B$380,2,FALSE)</f>
        <v>#N/A</v>
      </c>
      <c r="E245" s="131">
        <f t="shared" si="3"/>
        <v>81</v>
      </c>
      <c r="F245" s="131">
        <f t="shared" si="6"/>
        <v>81</v>
      </c>
      <c r="G245" s="131">
        <f t="shared" ref="G245:H245" si="245">((AVERAGE(F239:F245))+(MEDIAN(F239:F245))+E245)/3</f>
        <v>81</v>
      </c>
      <c r="H245" s="131">
        <f t="shared" si="245"/>
        <v>81</v>
      </c>
      <c r="I245" s="120"/>
      <c r="J245" s="180"/>
      <c r="K245" s="181"/>
      <c r="L245" s="182"/>
      <c r="M245" s="112"/>
      <c r="N245" s="112"/>
      <c r="O245" s="112"/>
      <c r="P245" s="112"/>
      <c r="Q245" s="112"/>
      <c r="R245" s="112"/>
      <c r="S245" s="112"/>
      <c r="T245" s="112"/>
      <c r="U245" s="112"/>
      <c r="V245" s="112"/>
    </row>
    <row r="246">
      <c r="A246" s="158" t="s">
        <v>100</v>
      </c>
      <c r="B246" s="144"/>
      <c r="C246" s="145">
        <v>45527.0</v>
      </c>
      <c r="D246" s="146" t="str">
        <f>VLOOKUP(C246,A3:B$380,2,FALSE)</f>
        <v>#N/A</v>
      </c>
      <c r="E246" s="146">
        <f t="shared" si="3"/>
        <v>81</v>
      </c>
      <c r="F246" s="146">
        <f t="shared" si="6"/>
        <v>81</v>
      </c>
      <c r="G246" s="146">
        <f t="shared" ref="G246:H246" si="246">((AVERAGE(F240:F246))+(MEDIAN(F240:F246))+E246)/3</f>
        <v>81</v>
      </c>
      <c r="H246" s="146">
        <f t="shared" si="246"/>
        <v>81</v>
      </c>
      <c r="I246" s="120"/>
      <c r="J246" s="180"/>
      <c r="K246" s="181"/>
      <c r="L246" s="182"/>
      <c r="M246" s="112"/>
      <c r="N246" s="112"/>
      <c r="O246" s="112"/>
      <c r="P246" s="112"/>
      <c r="Q246" s="112"/>
      <c r="R246" s="112"/>
      <c r="S246" s="112"/>
      <c r="T246" s="112"/>
      <c r="U246" s="112"/>
      <c r="V246" s="112"/>
    </row>
    <row r="247">
      <c r="A247" s="153" t="s">
        <v>100</v>
      </c>
      <c r="B247" s="154"/>
      <c r="C247" s="168">
        <v>45528.0</v>
      </c>
      <c r="D247" s="169" t="str">
        <f>VLOOKUP(C247,A3:B$380,2,FALSE)</f>
        <v>#N/A</v>
      </c>
      <c r="E247" s="169">
        <f t="shared" si="3"/>
        <v>81</v>
      </c>
      <c r="F247" s="169">
        <f t="shared" si="6"/>
        <v>81</v>
      </c>
      <c r="G247" s="169">
        <f t="shared" ref="G247:H247" si="247">((AVERAGE(F241:F247))+(MEDIAN(F241:F247))+E247)/3</f>
        <v>81</v>
      </c>
      <c r="H247" s="169">
        <f t="shared" si="247"/>
        <v>81</v>
      </c>
      <c r="I247" s="120"/>
      <c r="J247" s="180"/>
      <c r="K247" s="181"/>
      <c r="L247" s="182"/>
      <c r="M247" s="112"/>
      <c r="N247" s="112"/>
      <c r="O247" s="112"/>
      <c r="P247" s="112"/>
      <c r="Q247" s="112"/>
      <c r="R247" s="112"/>
      <c r="S247" s="112"/>
      <c r="T247" s="112"/>
      <c r="U247" s="112"/>
      <c r="V247" s="112"/>
    </row>
    <row r="248">
      <c r="A248" s="158" t="s">
        <v>100</v>
      </c>
      <c r="B248" s="144"/>
      <c r="C248" s="145">
        <v>45529.0</v>
      </c>
      <c r="D248" s="146" t="str">
        <f>VLOOKUP(C248,A3:B$380,2,FALSE)</f>
        <v>#N/A</v>
      </c>
      <c r="E248" s="146">
        <f t="shared" si="3"/>
        <v>81</v>
      </c>
      <c r="F248" s="146">
        <f t="shared" si="6"/>
        <v>81</v>
      </c>
      <c r="G248" s="146">
        <f t="shared" ref="G248:H248" si="248">((AVERAGE(F242:F248))+(MEDIAN(F242:F248))+E248)/3</f>
        <v>81</v>
      </c>
      <c r="H248" s="146">
        <f t="shared" si="248"/>
        <v>81</v>
      </c>
      <c r="I248" s="120"/>
      <c r="J248" s="180"/>
      <c r="K248" s="181"/>
      <c r="L248" s="182"/>
      <c r="M248" s="112"/>
      <c r="N248" s="112"/>
      <c r="O248" s="112"/>
      <c r="P248" s="112"/>
      <c r="Q248" s="112"/>
      <c r="R248" s="112"/>
      <c r="S248" s="112"/>
      <c r="T248" s="112"/>
      <c r="U248" s="112"/>
      <c r="V248" s="112"/>
    </row>
    <row r="249">
      <c r="A249" s="153" t="s">
        <v>100</v>
      </c>
      <c r="B249" s="154"/>
      <c r="C249" s="130">
        <v>45530.0</v>
      </c>
      <c r="D249" s="131" t="str">
        <f>VLOOKUP(C249,A3:B$380,2,FALSE)</f>
        <v>#N/A</v>
      </c>
      <c r="E249" s="131">
        <f t="shared" si="3"/>
        <v>81</v>
      </c>
      <c r="F249" s="131">
        <f t="shared" si="6"/>
        <v>81</v>
      </c>
      <c r="G249" s="131">
        <f t="shared" ref="G249:H249" si="249">((AVERAGE(F243:F249))+(MEDIAN(F243:F249))+E249)/3</f>
        <v>81</v>
      </c>
      <c r="H249" s="131">
        <f t="shared" si="249"/>
        <v>81</v>
      </c>
      <c r="I249" s="120"/>
      <c r="J249" s="180"/>
      <c r="K249" s="181"/>
      <c r="L249" s="182"/>
      <c r="M249" s="112"/>
      <c r="N249" s="112"/>
      <c r="O249" s="112"/>
      <c r="P249" s="112"/>
      <c r="Q249" s="112"/>
      <c r="R249" s="112"/>
      <c r="S249" s="112"/>
      <c r="T249" s="112"/>
      <c r="U249" s="112"/>
      <c r="V249" s="112"/>
    </row>
    <row r="250">
      <c r="A250" s="158" t="s">
        <v>100</v>
      </c>
      <c r="B250" s="144"/>
      <c r="C250" s="145">
        <v>45531.0</v>
      </c>
      <c r="D250" s="146" t="str">
        <f>VLOOKUP(C250,A3:B$380,2,FALSE)</f>
        <v>#N/A</v>
      </c>
      <c r="E250" s="146">
        <f t="shared" si="3"/>
        <v>81</v>
      </c>
      <c r="F250" s="146">
        <f t="shared" si="6"/>
        <v>81</v>
      </c>
      <c r="G250" s="146">
        <f t="shared" ref="G250:H250" si="250">((AVERAGE(F244:F250))+(MEDIAN(F244:F250))+E250)/3</f>
        <v>81</v>
      </c>
      <c r="H250" s="146">
        <f t="shared" si="250"/>
        <v>81</v>
      </c>
      <c r="I250" s="120"/>
      <c r="J250" s="180"/>
      <c r="K250" s="181"/>
      <c r="L250" s="182"/>
      <c r="M250" s="112"/>
      <c r="N250" s="112"/>
      <c r="O250" s="112"/>
      <c r="P250" s="112"/>
      <c r="Q250" s="112"/>
      <c r="R250" s="112"/>
      <c r="S250" s="112"/>
      <c r="T250" s="112"/>
      <c r="U250" s="112"/>
      <c r="V250" s="112"/>
    </row>
    <row r="251">
      <c r="A251" s="153" t="s">
        <v>100</v>
      </c>
      <c r="B251" s="154"/>
      <c r="C251" s="130">
        <v>45532.0</v>
      </c>
      <c r="D251" s="131" t="str">
        <f>VLOOKUP(C251,A3:B$380,2,FALSE)</f>
        <v>#N/A</v>
      </c>
      <c r="E251" s="131">
        <f t="shared" si="3"/>
        <v>81</v>
      </c>
      <c r="F251" s="131">
        <f t="shared" si="6"/>
        <v>81</v>
      </c>
      <c r="G251" s="131">
        <f t="shared" ref="G251:H251" si="251">((AVERAGE(F245:F251))+(MEDIAN(F245:F251))+E251)/3</f>
        <v>81</v>
      </c>
      <c r="H251" s="131">
        <f t="shared" si="251"/>
        <v>81</v>
      </c>
      <c r="I251" s="120"/>
      <c r="J251" s="180"/>
      <c r="K251" s="181"/>
      <c r="L251" s="182"/>
      <c r="M251" s="112"/>
      <c r="N251" s="112"/>
      <c r="O251" s="112"/>
      <c r="P251" s="112"/>
      <c r="Q251" s="112"/>
      <c r="R251" s="112"/>
      <c r="S251" s="112"/>
      <c r="T251" s="112"/>
      <c r="U251" s="112"/>
      <c r="V251" s="112"/>
    </row>
    <row r="252">
      <c r="A252" s="158" t="s">
        <v>100</v>
      </c>
      <c r="B252" s="144"/>
      <c r="C252" s="145">
        <v>45533.0</v>
      </c>
      <c r="D252" s="146" t="str">
        <f>VLOOKUP(C252,A3:B$380,2,FALSE)</f>
        <v>#N/A</v>
      </c>
      <c r="E252" s="146">
        <f t="shared" si="3"/>
        <v>81</v>
      </c>
      <c r="F252" s="146">
        <f t="shared" si="6"/>
        <v>81</v>
      </c>
      <c r="G252" s="146">
        <f t="shared" ref="G252:H252" si="252">((AVERAGE(F246:F252))+(MEDIAN(F246:F252))+E252)/3</f>
        <v>81</v>
      </c>
      <c r="H252" s="146">
        <f t="shared" si="252"/>
        <v>81</v>
      </c>
      <c r="I252" s="120"/>
      <c r="J252" s="180"/>
      <c r="K252" s="181"/>
      <c r="L252" s="182"/>
      <c r="M252" s="112"/>
      <c r="N252" s="112"/>
      <c r="O252" s="112"/>
      <c r="P252" s="112"/>
      <c r="Q252" s="112"/>
      <c r="R252" s="112"/>
      <c r="S252" s="112"/>
      <c r="T252" s="112"/>
      <c r="U252" s="112"/>
      <c r="V252" s="112"/>
    </row>
    <row r="253">
      <c r="A253" s="153" t="s">
        <v>100</v>
      </c>
      <c r="B253" s="154"/>
      <c r="C253" s="130">
        <v>45534.0</v>
      </c>
      <c r="D253" s="131" t="str">
        <f>VLOOKUP(C253,A3:B$380,2,FALSE)</f>
        <v>#N/A</v>
      </c>
      <c r="E253" s="131">
        <f t="shared" si="3"/>
        <v>81</v>
      </c>
      <c r="F253" s="131">
        <f t="shared" si="6"/>
        <v>81</v>
      </c>
      <c r="G253" s="131">
        <f t="shared" ref="G253:H253" si="253">((AVERAGE(F247:F253))+(MEDIAN(F247:F253))+E253)/3</f>
        <v>81</v>
      </c>
      <c r="H253" s="131">
        <f t="shared" si="253"/>
        <v>81</v>
      </c>
      <c r="I253" s="120"/>
      <c r="J253" s="180"/>
      <c r="K253" s="181"/>
      <c r="L253" s="182"/>
      <c r="M253" s="112"/>
      <c r="N253" s="112"/>
      <c r="O253" s="112"/>
      <c r="P253" s="112"/>
      <c r="Q253" s="112"/>
      <c r="R253" s="112"/>
      <c r="S253" s="112"/>
      <c r="T253" s="112"/>
      <c r="U253" s="112"/>
      <c r="V253" s="112"/>
    </row>
    <row r="254">
      <c r="A254" s="158" t="s">
        <v>100</v>
      </c>
      <c r="B254" s="144"/>
      <c r="C254" s="173">
        <v>45535.0</v>
      </c>
      <c r="D254" s="174" t="str">
        <f>VLOOKUP(C254,A3:B$380,2,FALSE)</f>
        <v>#N/A</v>
      </c>
      <c r="E254" s="174">
        <f t="shared" si="3"/>
        <v>81</v>
      </c>
      <c r="F254" s="174">
        <f t="shared" si="6"/>
        <v>81</v>
      </c>
      <c r="G254" s="174">
        <f t="shared" ref="G254:H254" si="254">((AVERAGE(F248:F254))+(MEDIAN(F248:F254))+E254)/3</f>
        <v>81</v>
      </c>
      <c r="H254" s="174">
        <f t="shared" si="254"/>
        <v>81</v>
      </c>
      <c r="I254" s="120"/>
      <c r="J254" s="180"/>
      <c r="K254" s="181"/>
      <c r="L254" s="182"/>
      <c r="M254" s="112"/>
      <c r="N254" s="112"/>
      <c r="O254" s="112"/>
      <c r="P254" s="112"/>
      <c r="Q254" s="112"/>
      <c r="R254" s="112"/>
      <c r="S254" s="112"/>
      <c r="T254" s="112"/>
      <c r="U254" s="112"/>
      <c r="V254" s="112"/>
    </row>
    <row r="255">
      <c r="A255" s="153" t="s">
        <v>100</v>
      </c>
      <c r="B255" s="154"/>
      <c r="C255" s="130">
        <v>45536.0</v>
      </c>
      <c r="D255" s="131" t="str">
        <f>VLOOKUP(C255,A3:B$380,2,FALSE)</f>
        <v>#N/A</v>
      </c>
      <c r="E255" s="131">
        <f t="shared" si="3"/>
        <v>81</v>
      </c>
      <c r="F255" s="131">
        <f t="shared" si="6"/>
        <v>81</v>
      </c>
      <c r="G255" s="131">
        <f t="shared" ref="G255:H255" si="255">((AVERAGE(F249:F255))+(MEDIAN(F249:F255))+E255)/3</f>
        <v>81</v>
      </c>
      <c r="H255" s="131">
        <f t="shared" si="255"/>
        <v>81</v>
      </c>
      <c r="I255" s="120"/>
      <c r="J255" s="180"/>
      <c r="K255" s="181"/>
      <c r="L255" s="182"/>
      <c r="M255" s="112"/>
      <c r="N255" s="112"/>
      <c r="O255" s="112"/>
      <c r="P255" s="112"/>
      <c r="Q255" s="112"/>
      <c r="R255" s="112"/>
      <c r="S255" s="112"/>
      <c r="T255" s="112"/>
      <c r="U255" s="112"/>
      <c r="V255" s="112"/>
    </row>
    <row r="256">
      <c r="A256" s="158" t="s">
        <v>100</v>
      </c>
      <c r="B256" s="144"/>
      <c r="C256" s="145">
        <v>45537.0</v>
      </c>
      <c r="D256" s="146" t="str">
        <f>VLOOKUP(C256,A3:B$380,2,FALSE)</f>
        <v>#N/A</v>
      </c>
      <c r="E256" s="146">
        <f t="shared" si="3"/>
        <v>81</v>
      </c>
      <c r="F256" s="146">
        <f t="shared" si="6"/>
        <v>81</v>
      </c>
      <c r="G256" s="146">
        <f t="shared" ref="G256:H256" si="256">((AVERAGE(F250:F256))+(MEDIAN(F250:F256))+E256)/3</f>
        <v>81</v>
      </c>
      <c r="H256" s="146">
        <f t="shared" si="256"/>
        <v>81</v>
      </c>
      <c r="I256" s="120"/>
      <c r="J256" s="180"/>
      <c r="K256" s="181"/>
      <c r="L256" s="182"/>
      <c r="M256" s="112"/>
      <c r="N256" s="112"/>
      <c r="O256" s="112"/>
      <c r="P256" s="112"/>
      <c r="Q256" s="112"/>
      <c r="R256" s="112"/>
      <c r="S256" s="112"/>
      <c r="T256" s="112"/>
      <c r="U256" s="112"/>
      <c r="V256" s="112"/>
    </row>
    <row r="257">
      <c r="A257" s="153" t="s">
        <v>100</v>
      </c>
      <c r="B257" s="154"/>
      <c r="C257" s="130">
        <v>45538.0</v>
      </c>
      <c r="D257" s="131" t="str">
        <f>VLOOKUP(C257,A3:B$380,2,FALSE)</f>
        <v>#N/A</v>
      </c>
      <c r="E257" s="131">
        <f t="shared" si="3"/>
        <v>81</v>
      </c>
      <c r="F257" s="131">
        <f t="shared" si="6"/>
        <v>81</v>
      </c>
      <c r="G257" s="131">
        <f t="shared" ref="G257:H257" si="257">((AVERAGE(F251:F257))+(MEDIAN(F251:F257))+E257)/3</f>
        <v>81</v>
      </c>
      <c r="H257" s="131">
        <f t="shared" si="257"/>
        <v>81</v>
      </c>
      <c r="I257" s="120"/>
      <c r="J257" s="180"/>
      <c r="K257" s="181"/>
      <c r="L257" s="182"/>
      <c r="M257" s="112"/>
      <c r="N257" s="112"/>
      <c r="O257" s="112"/>
      <c r="P257" s="112"/>
      <c r="Q257" s="112"/>
      <c r="R257" s="112"/>
      <c r="S257" s="112"/>
      <c r="T257" s="112"/>
      <c r="U257" s="112"/>
      <c r="V257" s="112"/>
    </row>
    <row r="258">
      <c r="A258" s="158" t="s">
        <v>100</v>
      </c>
      <c r="B258" s="144"/>
      <c r="C258" s="145">
        <v>45539.0</v>
      </c>
      <c r="D258" s="146" t="str">
        <f>VLOOKUP(C258,A3:B$380,2,FALSE)</f>
        <v>#N/A</v>
      </c>
      <c r="E258" s="146">
        <f t="shared" si="3"/>
        <v>81</v>
      </c>
      <c r="F258" s="146">
        <f t="shared" si="6"/>
        <v>81</v>
      </c>
      <c r="G258" s="146">
        <f t="shared" ref="G258:H258" si="258">((AVERAGE(F252:F258))+(MEDIAN(F252:F258))+E258)/3</f>
        <v>81</v>
      </c>
      <c r="H258" s="146">
        <f t="shared" si="258"/>
        <v>81</v>
      </c>
      <c r="I258" s="120"/>
      <c r="J258" s="180"/>
      <c r="K258" s="181"/>
      <c r="L258" s="182"/>
      <c r="M258" s="112"/>
      <c r="N258" s="112"/>
      <c r="O258" s="112"/>
      <c r="P258" s="112"/>
      <c r="Q258" s="112"/>
      <c r="R258" s="112"/>
      <c r="S258" s="112"/>
      <c r="T258" s="112"/>
      <c r="U258" s="112"/>
      <c r="V258" s="112"/>
    </row>
    <row r="259">
      <c r="A259" s="153" t="s">
        <v>100</v>
      </c>
      <c r="B259" s="154"/>
      <c r="C259" s="130">
        <v>45540.0</v>
      </c>
      <c r="D259" s="131" t="str">
        <f>VLOOKUP(C259,A3:B$380,2,FALSE)</f>
        <v>#N/A</v>
      </c>
      <c r="E259" s="131">
        <f t="shared" si="3"/>
        <v>81</v>
      </c>
      <c r="F259" s="131">
        <f t="shared" si="6"/>
        <v>81</v>
      </c>
      <c r="G259" s="131">
        <f t="shared" ref="G259:H259" si="259">((AVERAGE(F253:F259))+(MEDIAN(F253:F259))+E259)/3</f>
        <v>81</v>
      </c>
      <c r="H259" s="131">
        <f t="shared" si="259"/>
        <v>81</v>
      </c>
      <c r="I259" s="120"/>
      <c r="J259" s="180"/>
      <c r="K259" s="181"/>
      <c r="L259" s="182"/>
      <c r="M259" s="112"/>
      <c r="N259" s="112"/>
      <c r="O259" s="112"/>
      <c r="P259" s="112"/>
      <c r="Q259" s="112"/>
      <c r="R259" s="112"/>
      <c r="S259" s="112"/>
      <c r="T259" s="112"/>
      <c r="U259" s="112"/>
      <c r="V259" s="112"/>
    </row>
    <row r="260">
      <c r="A260" s="158" t="s">
        <v>100</v>
      </c>
      <c r="B260" s="144"/>
      <c r="C260" s="145">
        <v>45541.0</v>
      </c>
      <c r="D260" s="146" t="str">
        <f>VLOOKUP(C260,A3:B$380,2,FALSE)</f>
        <v>#N/A</v>
      </c>
      <c r="E260" s="146">
        <f t="shared" si="3"/>
        <v>81</v>
      </c>
      <c r="F260" s="146">
        <f t="shared" si="6"/>
        <v>81</v>
      </c>
      <c r="G260" s="146">
        <f t="shared" ref="G260:H260" si="260">((AVERAGE(F254:F260))+(MEDIAN(F254:F260))+E260)/3</f>
        <v>81</v>
      </c>
      <c r="H260" s="146">
        <f t="shared" si="260"/>
        <v>81</v>
      </c>
      <c r="I260" s="120"/>
      <c r="J260" s="180"/>
      <c r="K260" s="181"/>
      <c r="L260" s="182"/>
      <c r="M260" s="112"/>
      <c r="N260" s="112"/>
      <c r="O260" s="112"/>
      <c r="P260" s="112"/>
      <c r="Q260" s="112"/>
      <c r="R260" s="112"/>
      <c r="S260" s="112"/>
      <c r="T260" s="112"/>
      <c r="U260" s="112"/>
      <c r="V260" s="112"/>
    </row>
    <row r="261">
      <c r="A261" s="153" t="s">
        <v>100</v>
      </c>
      <c r="B261" s="154"/>
      <c r="C261" s="168">
        <v>45542.0</v>
      </c>
      <c r="D261" s="169" t="str">
        <f>VLOOKUP(C261,A3:B$380,2,FALSE)</f>
        <v>#N/A</v>
      </c>
      <c r="E261" s="169">
        <f t="shared" si="3"/>
        <v>81</v>
      </c>
      <c r="F261" s="169">
        <f t="shared" si="6"/>
        <v>81</v>
      </c>
      <c r="G261" s="169">
        <f t="shared" ref="G261:H261" si="261">((AVERAGE(F255:F261))+(MEDIAN(F255:F261))+E261)/3</f>
        <v>81</v>
      </c>
      <c r="H261" s="169">
        <f t="shared" si="261"/>
        <v>81</v>
      </c>
      <c r="I261" s="120"/>
      <c r="J261" s="180"/>
      <c r="K261" s="181"/>
      <c r="L261" s="182"/>
      <c r="M261" s="112"/>
      <c r="N261" s="112"/>
      <c r="O261" s="112"/>
      <c r="P261" s="112"/>
      <c r="Q261" s="112"/>
      <c r="R261" s="112"/>
      <c r="S261" s="112"/>
      <c r="T261" s="112"/>
      <c r="U261" s="112"/>
      <c r="V261" s="112"/>
    </row>
    <row r="262">
      <c r="A262" s="158" t="s">
        <v>100</v>
      </c>
      <c r="B262" s="144"/>
      <c r="C262" s="145">
        <v>45543.0</v>
      </c>
      <c r="D262" s="146" t="str">
        <f>VLOOKUP(C262,A3:B$380,2,FALSE)</f>
        <v>#N/A</v>
      </c>
      <c r="E262" s="146">
        <f t="shared" si="3"/>
        <v>81</v>
      </c>
      <c r="F262" s="146">
        <f t="shared" si="6"/>
        <v>81</v>
      </c>
      <c r="G262" s="146">
        <f t="shared" ref="G262:H262" si="262">((AVERAGE(F256:F262))+(MEDIAN(F256:F262))+E262)/3</f>
        <v>81</v>
      </c>
      <c r="H262" s="146">
        <f t="shared" si="262"/>
        <v>81</v>
      </c>
      <c r="I262" s="120"/>
      <c r="J262" s="180"/>
      <c r="K262" s="181"/>
      <c r="L262" s="182"/>
      <c r="M262" s="112"/>
      <c r="N262" s="112"/>
      <c r="O262" s="112"/>
      <c r="P262" s="112"/>
      <c r="Q262" s="112"/>
      <c r="R262" s="112"/>
      <c r="S262" s="112"/>
      <c r="T262" s="112"/>
      <c r="U262" s="112"/>
      <c r="V262" s="112"/>
    </row>
    <row r="263">
      <c r="A263" s="153" t="s">
        <v>100</v>
      </c>
      <c r="B263" s="154"/>
      <c r="C263" s="130">
        <v>45544.0</v>
      </c>
      <c r="D263" s="131" t="str">
        <f>VLOOKUP(C263,A3:B$380,2,FALSE)</f>
        <v>#N/A</v>
      </c>
      <c r="E263" s="131">
        <f t="shared" si="3"/>
        <v>81</v>
      </c>
      <c r="F263" s="131">
        <f t="shared" si="6"/>
        <v>81</v>
      </c>
      <c r="G263" s="131">
        <f t="shared" ref="G263:H263" si="263">((AVERAGE(F257:F263))+(MEDIAN(F257:F263))+E263)/3</f>
        <v>81</v>
      </c>
      <c r="H263" s="131">
        <f t="shared" si="263"/>
        <v>81</v>
      </c>
      <c r="I263" s="120"/>
      <c r="J263" s="180"/>
      <c r="K263" s="181"/>
      <c r="L263" s="182"/>
      <c r="M263" s="112"/>
      <c r="N263" s="112"/>
      <c r="O263" s="112"/>
      <c r="P263" s="112"/>
      <c r="Q263" s="112"/>
      <c r="R263" s="112"/>
      <c r="S263" s="112"/>
      <c r="T263" s="112"/>
      <c r="U263" s="112"/>
      <c r="V263" s="112"/>
    </row>
    <row r="264">
      <c r="A264" s="158" t="s">
        <v>100</v>
      </c>
      <c r="B264" s="144"/>
      <c r="C264" s="145">
        <v>45545.0</v>
      </c>
      <c r="D264" s="146" t="str">
        <f>VLOOKUP(C264,A3:B$380,2,FALSE)</f>
        <v>#N/A</v>
      </c>
      <c r="E264" s="146">
        <f t="shared" si="3"/>
        <v>81</v>
      </c>
      <c r="F264" s="146">
        <f t="shared" si="6"/>
        <v>81</v>
      </c>
      <c r="G264" s="146">
        <f t="shared" ref="G264:H264" si="264">((AVERAGE(F258:F264))+(MEDIAN(F258:F264))+E264)/3</f>
        <v>81</v>
      </c>
      <c r="H264" s="146">
        <f t="shared" si="264"/>
        <v>81</v>
      </c>
      <c r="I264" s="120"/>
      <c r="J264" s="180"/>
      <c r="K264" s="181"/>
      <c r="L264" s="182"/>
      <c r="M264" s="112"/>
      <c r="N264" s="112"/>
      <c r="O264" s="112"/>
      <c r="P264" s="112"/>
      <c r="Q264" s="112"/>
      <c r="R264" s="112"/>
      <c r="S264" s="112"/>
      <c r="T264" s="112"/>
      <c r="U264" s="112"/>
      <c r="V264" s="112"/>
    </row>
    <row r="265">
      <c r="A265" s="153" t="s">
        <v>100</v>
      </c>
      <c r="B265" s="154"/>
      <c r="C265" s="130">
        <v>45546.0</v>
      </c>
      <c r="D265" s="131" t="str">
        <f>VLOOKUP(C265,A3:B$380,2,FALSE)</f>
        <v>#N/A</v>
      </c>
      <c r="E265" s="131">
        <f t="shared" si="3"/>
        <v>81</v>
      </c>
      <c r="F265" s="131">
        <f t="shared" si="6"/>
        <v>81</v>
      </c>
      <c r="G265" s="131">
        <f t="shared" ref="G265:H265" si="265">((AVERAGE(F259:F265))+(MEDIAN(F259:F265))+E265)/3</f>
        <v>81</v>
      </c>
      <c r="H265" s="131">
        <f t="shared" si="265"/>
        <v>81</v>
      </c>
      <c r="I265" s="120"/>
      <c r="J265" s="180"/>
      <c r="K265" s="181"/>
      <c r="L265" s="182"/>
      <c r="M265" s="112"/>
      <c r="N265" s="112"/>
      <c r="O265" s="112"/>
      <c r="P265" s="112"/>
      <c r="Q265" s="112"/>
      <c r="R265" s="112"/>
      <c r="S265" s="112"/>
      <c r="T265" s="112"/>
      <c r="U265" s="112"/>
      <c r="V265" s="112"/>
    </row>
    <row r="266">
      <c r="A266" s="158" t="s">
        <v>100</v>
      </c>
      <c r="B266" s="144"/>
      <c r="C266" s="145">
        <v>45547.0</v>
      </c>
      <c r="D266" s="146" t="str">
        <f>VLOOKUP(C266,A3:B$380,2,FALSE)</f>
        <v>#N/A</v>
      </c>
      <c r="E266" s="146">
        <f t="shared" si="3"/>
        <v>81</v>
      </c>
      <c r="F266" s="146">
        <f t="shared" si="6"/>
        <v>81</v>
      </c>
      <c r="G266" s="146">
        <f t="shared" ref="G266:H266" si="266">((AVERAGE(F260:F266))+(MEDIAN(F260:F266))+E266)/3</f>
        <v>81</v>
      </c>
      <c r="H266" s="146">
        <f t="shared" si="266"/>
        <v>81</v>
      </c>
      <c r="I266" s="120"/>
      <c r="J266" s="180"/>
      <c r="K266" s="181"/>
      <c r="L266" s="182"/>
      <c r="M266" s="112"/>
      <c r="N266" s="112"/>
      <c r="O266" s="112"/>
      <c r="P266" s="112"/>
      <c r="Q266" s="112"/>
      <c r="R266" s="112"/>
      <c r="S266" s="112"/>
      <c r="T266" s="112"/>
      <c r="U266" s="112"/>
      <c r="V266" s="112"/>
    </row>
    <row r="267">
      <c r="A267" s="153" t="s">
        <v>100</v>
      </c>
      <c r="B267" s="154"/>
      <c r="C267" s="130">
        <v>45548.0</v>
      </c>
      <c r="D267" s="131" t="str">
        <f>VLOOKUP(C267,A3:B$380,2,FALSE)</f>
        <v>#N/A</v>
      </c>
      <c r="E267" s="131">
        <f t="shared" si="3"/>
        <v>81</v>
      </c>
      <c r="F267" s="131">
        <f t="shared" si="6"/>
        <v>81</v>
      </c>
      <c r="G267" s="131">
        <f t="shared" ref="G267:H267" si="267">((AVERAGE(F261:F267))+(MEDIAN(F261:F267))+E267)/3</f>
        <v>81</v>
      </c>
      <c r="H267" s="131">
        <f t="shared" si="267"/>
        <v>81</v>
      </c>
      <c r="I267" s="120"/>
      <c r="J267" s="180"/>
      <c r="K267" s="181"/>
      <c r="L267" s="182"/>
      <c r="M267" s="112"/>
      <c r="N267" s="112"/>
      <c r="O267" s="112"/>
      <c r="P267" s="112"/>
      <c r="Q267" s="112"/>
      <c r="R267" s="112"/>
      <c r="S267" s="112"/>
      <c r="T267" s="112"/>
      <c r="U267" s="112"/>
      <c r="V267" s="112"/>
    </row>
    <row r="268">
      <c r="A268" s="158" t="s">
        <v>100</v>
      </c>
      <c r="B268" s="144"/>
      <c r="C268" s="173">
        <v>45549.0</v>
      </c>
      <c r="D268" s="174" t="str">
        <f>VLOOKUP(C268,A3:B$380,2,FALSE)</f>
        <v>#N/A</v>
      </c>
      <c r="E268" s="174">
        <f t="shared" si="3"/>
        <v>81</v>
      </c>
      <c r="F268" s="174">
        <f t="shared" si="6"/>
        <v>81</v>
      </c>
      <c r="G268" s="174">
        <f t="shared" ref="G268:H268" si="268">((AVERAGE(F262:F268))+(MEDIAN(F262:F268))+E268)/3</f>
        <v>81</v>
      </c>
      <c r="H268" s="174">
        <f t="shared" si="268"/>
        <v>81</v>
      </c>
      <c r="I268" s="120"/>
      <c r="J268" s="180"/>
      <c r="K268" s="181"/>
      <c r="L268" s="182"/>
      <c r="M268" s="112"/>
      <c r="N268" s="112"/>
      <c r="O268" s="112"/>
      <c r="P268" s="112"/>
      <c r="Q268" s="112"/>
      <c r="R268" s="112"/>
      <c r="S268" s="112"/>
      <c r="T268" s="112"/>
      <c r="U268" s="112"/>
      <c r="V268" s="112"/>
    </row>
    <row r="269">
      <c r="A269" s="153" t="s">
        <v>100</v>
      </c>
      <c r="B269" s="154"/>
      <c r="C269" s="130">
        <v>45550.0</v>
      </c>
      <c r="D269" s="131" t="str">
        <f>VLOOKUP(C269,A3:B$380,2,FALSE)</f>
        <v>#N/A</v>
      </c>
      <c r="E269" s="131">
        <f t="shared" si="3"/>
        <v>81</v>
      </c>
      <c r="F269" s="131">
        <f t="shared" si="6"/>
        <v>81</v>
      </c>
      <c r="G269" s="131">
        <f t="shared" ref="G269:H269" si="269">((AVERAGE(F263:F269))+(MEDIAN(F263:F269))+E269)/3</f>
        <v>81</v>
      </c>
      <c r="H269" s="131">
        <f t="shared" si="269"/>
        <v>81</v>
      </c>
      <c r="I269" s="120"/>
      <c r="J269" s="180"/>
      <c r="K269" s="181"/>
      <c r="L269" s="182"/>
      <c r="M269" s="112"/>
      <c r="N269" s="112"/>
      <c r="O269" s="112"/>
      <c r="P269" s="112"/>
      <c r="Q269" s="112"/>
      <c r="R269" s="112"/>
      <c r="S269" s="112"/>
      <c r="T269" s="112"/>
      <c r="U269" s="112"/>
      <c r="V269" s="112"/>
    </row>
    <row r="270">
      <c r="A270" s="158" t="s">
        <v>100</v>
      </c>
      <c r="B270" s="144"/>
      <c r="C270" s="145">
        <v>45551.0</v>
      </c>
      <c r="D270" s="146" t="str">
        <f>VLOOKUP(C270,A3:B$380,2,FALSE)</f>
        <v>#N/A</v>
      </c>
      <c r="E270" s="146">
        <f t="shared" si="3"/>
        <v>81</v>
      </c>
      <c r="F270" s="146">
        <f t="shared" si="6"/>
        <v>81</v>
      </c>
      <c r="G270" s="146">
        <f t="shared" ref="G270:H270" si="270">((AVERAGE(F264:F270))+(MEDIAN(F264:F270))+E270)/3</f>
        <v>81</v>
      </c>
      <c r="H270" s="146">
        <f t="shared" si="270"/>
        <v>81</v>
      </c>
      <c r="I270" s="120"/>
      <c r="J270" s="180"/>
      <c r="K270" s="181"/>
      <c r="L270" s="182"/>
      <c r="M270" s="112"/>
      <c r="N270" s="112"/>
      <c r="O270" s="112"/>
      <c r="P270" s="112"/>
      <c r="Q270" s="112"/>
      <c r="R270" s="112"/>
      <c r="S270" s="112"/>
      <c r="T270" s="112"/>
      <c r="U270" s="112"/>
      <c r="V270" s="112"/>
    </row>
    <row r="271">
      <c r="A271" s="153" t="s">
        <v>100</v>
      </c>
      <c r="B271" s="154"/>
      <c r="C271" s="130">
        <v>45552.0</v>
      </c>
      <c r="D271" s="131" t="str">
        <f>VLOOKUP(C271,A3:B$380,2,FALSE)</f>
        <v>#N/A</v>
      </c>
      <c r="E271" s="131">
        <f t="shared" si="3"/>
        <v>81</v>
      </c>
      <c r="F271" s="131">
        <f t="shared" si="6"/>
        <v>81</v>
      </c>
      <c r="G271" s="131">
        <f t="shared" ref="G271:H271" si="271">((AVERAGE(F265:F271))+(MEDIAN(F265:F271))+E271)/3</f>
        <v>81</v>
      </c>
      <c r="H271" s="131">
        <f t="shared" si="271"/>
        <v>81</v>
      </c>
      <c r="I271" s="120"/>
      <c r="J271" s="180"/>
      <c r="K271" s="181"/>
      <c r="L271" s="182"/>
      <c r="M271" s="112"/>
      <c r="N271" s="112"/>
      <c r="O271" s="112"/>
      <c r="P271" s="112"/>
      <c r="Q271" s="112"/>
      <c r="R271" s="112"/>
      <c r="S271" s="112"/>
      <c r="T271" s="112"/>
      <c r="U271" s="112"/>
      <c r="V271" s="112"/>
    </row>
    <row r="272">
      <c r="A272" s="158" t="s">
        <v>100</v>
      </c>
      <c r="B272" s="144"/>
      <c r="C272" s="145">
        <v>45553.0</v>
      </c>
      <c r="D272" s="146" t="str">
        <f>VLOOKUP(C272,A3:B$380,2,FALSE)</f>
        <v>#N/A</v>
      </c>
      <c r="E272" s="146">
        <f t="shared" si="3"/>
        <v>81</v>
      </c>
      <c r="F272" s="146">
        <f t="shared" si="6"/>
        <v>81</v>
      </c>
      <c r="G272" s="146">
        <f t="shared" ref="G272:H272" si="272">((AVERAGE(F266:F272))+(MEDIAN(F266:F272))+E272)/3</f>
        <v>81</v>
      </c>
      <c r="H272" s="146">
        <f t="shared" si="272"/>
        <v>81</v>
      </c>
      <c r="I272" s="120"/>
      <c r="J272" s="180"/>
      <c r="K272" s="181"/>
      <c r="L272" s="182"/>
      <c r="M272" s="112"/>
      <c r="N272" s="112"/>
      <c r="O272" s="112"/>
      <c r="P272" s="112"/>
      <c r="Q272" s="112"/>
      <c r="R272" s="112"/>
      <c r="S272" s="112"/>
      <c r="T272" s="112"/>
      <c r="U272" s="112"/>
      <c r="V272" s="112"/>
    </row>
    <row r="273">
      <c r="A273" s="153" t="s">
        <v>100</v>
      </c>
      <c r="B273" s="154"/>
      <c r="C273" s="130">
        <v>45554.0</v>
      </c>
      <c r="D273" s="131" t="str">
        <f>VLOOKUP(C273,A3:B$380,2,FALSE)</f>
        <v>#N/A</v>
      </c>
      <c r="E273" s="131">
        <f t="shared" si="3"/>
        <v>81</v>
      </c>
      <c r="F273" s="131">
        <f t="shared" si="6"/>
        <v>81</v>
      </c>
      <c r="G273" s="131">
        <f t="shared" ref="G273:H273" si="273">((AVERAGE(F267:F273))+(MEDIAN(F267:F273))+E273)/3</f>
        <v>81</v>
      </c>
      <c r="H273" s="131">
        <f t="shared" si="273"/>
        <v>81</v>
      </c>
      <c r="I273" s="120"/>
      <c r="J273" s="180"/>
      <c r="K273" s="181"/>
      <c r="L273" s="182"/>
      <c r="M273" s="112"/>
      <c r="N273" s="112"/>
      <c r="O273" s="112"/>
      <c r="P273" s="112"/>
      <c r="Q273" s="112"/>
      <c r="R273" s="112"/>
      <c r="S273" s="112"/>
      <c r="T273" s="112"/>
      <c r="U273" s="112"/>
      <c r="V273" s="112"/>
    </row>
    <row r="274">
      <c r="A274" s="158" t="s">
        <v>100</v>
      </c>
      <c r="B274" s="144"/>
      <c r="C274" s="145">
        <v>45555.0</v>
      </c>
      <c r="D274" s="146" t="str">
        <f>VLOOKUP(C274,A3:B$380,2,FALSE)</f>
        <v>#N/A</v>
      </c>
      <c r="E274" s="146">
        <f t="shared" si="3"/>
        <v>81</v>
      </c>
      <c r="F274" s="146">
        <f t="shared" si="6"/>
        <v>81</v>
      </c>
      <c r="G274" s="146">
        <f t="shared" ref="G274:H274" si="274">((AVERAGE(F268:F274))+(MEDIAN(F268:F274))+E274)/3</f>
        <v>81</v>
      </c>
      <c r="H274" s="146">
        <f t="shared" si="274"/>
        <v>81</v>
      </c>
      <c r="I274" s="120"/>
      <c r="J274" s="180"/>
      <c r="K274" s="181"/>
      <c r="L274" s="182"/>
      <c r="M274" s="112"/>
      <c r="N274" s="112"/>
      <c r="O274" s="112"/>
      <c r="P274" s="112"/>
      <c r="Q274" s="112"/>
      <c r="R274" s="112"/>
      <c r="S274" s="112"/>
      <c r="T274" s="112"/>
      <c r="U274" s="112"/>
      <c r="V274" s="112"/>
    </row>
    <row r="275">
      <c r="A275" s="153" t="s">
        <v>100</v>
      </c>
      <c r="B275" s="154"/>
      <c r="C275" s="168">
        <v>45556.0</v>
      </c>
      <c r="D275" s="169" t="str">
        <f>VLOOKUP(C275,A3:B$380,2,FALSE)</f>
        <v>#N/A</v>
      </c>
      <c r="E275" s="169">
        <f t="shared" si="3"/>
        <v>81</v>
      </c>
      <c r="F275" s="169">
        <f t="shared" si="6"/>
        <v>81</v>
      </c>
      <c r="G275" s="169">
        <f t="shared" ref="G275:H275" si="275">((AVERAGE(F269:F275))+(MEDIAN(F269:F275))+E275)/3</f>
        <v>81</v>
      </c>
      <c r="H275" s="169">
        <f t="shared" si="275"/>
        <v>81</v>
      </c>
      <c r="I275" s="120"/>
      <c r="J275" s="180"/>
      <c r="K275" s="181"/>
      <c r="L275" s="182"/>
      <c r="M275" s="112"/>
      <c r="N275" s="112"/>
      <c r="O275" s="112"/>
      <c r="P275" s="112"/>
      <c r="Q275" s="112"/>
      <c r="R275" s="112"/>
      <c r="S275" s="112"/>
      <c r="T275" s="112"/>
      <c r="U275" s="112"/>
      <c r="V275" s="112"/>
    </row>
    <row r="276">
      <c r="A276" s="158" t="s">
        <v>100</v>
      </c>
      <c r="B276" s="144"/>
      <c r="C276" s="145">
        <v>45557.0</v>
      </c>
      <c r="D276" s="146" t="str">
        <f>VLOOKUP(C276,A3:B$380,2,FALSE)</f>
        <v>#N/A</v>
      </c>
      <c r="E276" s="146">
        <f t="shared" si="3"/>
        <v>81</v>
      </c>
      <c r="F276" s="146">
        <f t="shared" si="6"/>
        <v>81</v>
      </c>
      <c r="G276" s="146">
        <f t="shared" ref="G276:H276" si="276">((AVERAGE(F270:F276))+(MEDIAN(F270:F276))+E276)/3</f>
        <v>81</v>
      </c>
      <c r="H276" s="146">
        <f t="shared" si="276"/>
        <v>81</v>
      </c>
      <c r="I276" s="120"/>
      <c r="J276" s="180"/>
      <c r="K276" s="181"/>
      <c r="L276" s="182"/>
      <c r="M276" s="112"/>
      <c r="N276" s="112"/>
      <c r="O276" s="112"/>
      <c r="P276" s="112"/>
      <c r="Q276" s="112"/>
      <c r="R276" s="112"/>
      <c r="S276" s="112"/>
      <c r="T276" s="112"/>
      <c r="U276" s="112"/>
      <c r="V276" s="112"/>
    </row>
    <row r="277">
      <c r="A277" s="153" t="s">
        <v>100</v>
      </c>
      <c r="B277" s="154"/>
      <c r="C277" s="130">
        <v>45558.0</v>
      </c>
      <c r="D277" s="131" t="str">
        <f>VLOOKUP(C277,A3:B$380,2,FALSE)</f>
        <v>#N/A</v>
      </c>
      <c r="E277" s="131">
        <f t="shared" si="3"/>
        <v>81</v>
      </c>
      <c r="F277" s="131">
        <f t="shared" si="6"/>
        <v>81</v>
      </c>
      <c r="G277" s="131">
        <f t="shared" ref="G277:H277" si="277">((AVERAGE(F271:F277))+(MEDIAN(F271:F277))+E277)/3</f>
        <v>81</v>
      </c>
      <c r="H277" s="131">
        <f t="shared" si="277"/>
        <v>81</v>
      </c>
      <c r="I277" s="120"/>
      <c r="J277" s="180"/>
      <c r="K277" s="181"/>
      <c r="L277" s="182"/>
      <c r="M277" s="112"/>
      <c r="N277" s="112"/>
      <c r="O277" s="112"/>
      <c r="P277" s="112"/>
      <c r="Q277" s="112"/>
      <c r="R277" s="112"/>
      <c r="S277" s="112"/>
      <c r="T277" s="112"/>
      <c r="U277" s="112"/>
      <c r="V277" s="112"/>
    </row>
    <row r="278">
      <c r="A278" s="158" t="s">
        <v>100</v>
      </c>
      <c r="B278" s="144"/>
      <c r="C278" s="145">
        <v>45559.0</v>
      </c>
      <c r="D278" s="146" t="str">
        <f>VLOOKUP(C278,A3:B$380,2,FALSE)</f>
        <v>#N/A</v>
      </c>
      <c r="E278" s="146">
        <f t="shared" si="3"/>
        <v>81</v>
      </c>
      <c r="F278" s="146">
        <f t="shared" si="6"/>
        <v>81</v>
      </c>
      <c r="G278" s="146">
        <f t="shared" ref="G278:H278" si="278">((AVERAGE(F272:F278))+(MEDIAN(F272:F278))+E278)/3</f>
        <v>81</v>
      </c>
      <c r="H278" s="146">
        <f t="shared" si="278"/>
        <v>81</v>
      </c>
      <c r="I278" s="120"/>
      <c r="J278" s="180"/>
      <c r="K278" s="181"/>
      <c r="L278" s="182"/>
      <c r="M278" s="112"/>
      <c r="N278" s="112"/>
      <c r="O278" s="112"/>
      <c r="P278" s="112"/>
      <c r="Q278" s="112"/>
      <c r="R278" s="112"/>
      <c r="S278" s="112"/>
      <c r="T278" s="112"/>
      <c r="U278" s="112"/>
      <c r="V278" s="112"/>
    </row>
    <row r="279">
      <c r="A279" s="153" t="s">
        <v>100</v>
      </c>
      <c r="B279" s="154"/>
      <c r="C279" s="130">
        <v>45560.0</v>
      </c>
      <c r="D279" s="131" t="str">
        <f>VLOOKUP(C279,A3:B$380,2,FALSE)</f>
        <v>#N/A</v>
      </c>
      <c r="E279" s="131">
        <f t="shared" si="3"/>
        <v>81</v>
      </c>
      <c r="F279" s="131">
        <f t="shared" si="6"/>
        <v>81</v>
      </c>
      <c r="G279" s="131">
        <f t="shared" ref="G279:H279" si="279">((AVERAGE(F273:F279))+(MEDIAN(F273:F279))+E279)/3</f>
        <v>81</v>
      </c>
      <c r="H279" s="131">
        <f t="shared" si="279"/>
        <v>81</v>
      </c>
      <c r="I279" s="120"/>
      <c r="J279" s="180"/>
      <c r="K279" s="181"/>
      <c r="L279" s="182"/>
      <c r="M279" s="112"/>
      <c r="N279" s="112"/>
      <c r="O279" s="112"/>
      <c r="P279" s="112"/>
      <c r="Q279" s="112"/>
      <c r="R279" s="112"/>
      <c r="S279" s="112"/>
      <c r="T279" s="112"/>
      <c r="U279" s="112"/>
      <c r="V279" s="112"/>
    </row>
    <row r="280">
      <c r="A280" s="158" t="s">
        <v>100</v>
      </c>
      <c r="B280" s="144"/>
      <c r="C280" s="145">
        <v>45561.0</v>
      </c>
      <c r="D280" s="146" t="str">
        <f>VLOOKUP(C280,A3:B$380,2,FALSE)</f>
        <v>#N/A</v>
      </c>
      <c r="E280" s="146">
        <f t="shared" si="3"/>
        <v>81</v>
      </c>
      <c r="F280" s="146">
        <f t="shared" si="6"/>
        <v>81</v>
      </c>
      <c r="G280" s="146">
        <f t="shared" ref="G280:H280" si="280">((AVERAGE(F274:F280))+(MEDIAN(F274:F280))+E280)/3</f>
        <v>81</v>
      </c>
      <c r="H280" s="146">
        <f t="shared" si="280"/>
        <v>81</v>
      </c>
      <c r="I280" s="120"/>
      <c r="J280" s="180"/>
      <c r="K280" s="181"/>
      <c r="L280" s="182"/>
      <c r="M280" s="112"/>
      <c r="N280" s="112"/>
      <c r="O280" s="112"/>
      <c r="P280" s="112"/>
      <c r="Q280" s="112"/>
      <c r="R280" s="112"/>
      <c r="S280" s="112"/>
      <c r="T280" s="112"/>
      <c r="U280" s="112"/>
      <c r="V280" s="112"/>
    </row>
    <row r="281">
      <c r="A281" s="153" t="s">
        <v>100</v>
      </c>
      <c r="B281" s="154"/>
      <c r="C281" s="130">
        <v>45562.0</v>
      </c>
      <c r="D281" s="131" t="str">
        <f>VLOOKUP(C281,A3:B$380,2,FALSE)</f>
        <v>#N/A</v>
      </c>
      <c r="E281" s="131">
        <f t="shared" si="3"/>
        <v>81</v>
      </c>
      <c r="F281" s="131">
        <f t="shared" si="6"/>
        <v>81</v>
      </c>
      <c r="G281" s="131">
        <f t="shared" ref="G281:H281" si="281">((AVERAGE(F275:F281))+(MEDIAN(F275:F281))+E281)/3</f>
        <v>81</v>
      </c>
      <c r="H281" s="131">
        <f t="shared" si="281"/>
        <v>81</v>
      </c>
      <c r="I281" s="120"/>
      <c r="J281" s="180"/>
      <c r="K281" s="181"/>
      <c r="L281" s="182"/>
      <c r="M281" s="112"/>
      <c r="N281" s="112"/>
      <c r="O281" s="112"/>
      <c r="P281" s="112"/>
      <c r="Q281" s="112"/>
      <c r="R281" s="112"/>
      <c r="S281" s="112"/>
      <c r="T281" s="112"/>
      <c r="U281" s="112"/>
      <c r="V281" s="112"/>
    </row>
    <row r="282">
      <c r="A282" s="158" t="s">
        <v>100</v>
      </c>
      <c r="B282" s="144"/>
      <c r="C282" s="173">
        <v>45563.0</v>
      </c>
      <c r="D282" s="174" t="str">
        <f>VLOOKUP(C282,A3:B$380,2,FALSE)</f>
        <v>#N/A</v>
      </c>
      <c r="E282" s="174">
        <f t="shared" si="3"/>
        <v>81</v>
      </c>
      <c r="F282" s="174">
        <f t="shared" si="6"/>
        <v>81</v>
      </c>
      <c r="G282" s="174">
        <f t="shared" ref="G282:H282" si="282">((AVERAGE(F276:F282))+(MEDIAN(F276:F282))+E282)/3</f>
        <v>81</v>
      </c>
      <c r="H282" s="174">
        <f t="shared" si="282"/>
        <v>81</v>
      </c>
      <c r="I282" s="120"/>
      <c r="J282" s="180"/>
      <c r="K282" s="181"/>
      <c r="L282" s="182"/>
      <c r="M282" s="112"/>
      <c r="N282" s="112"/>
      <c r="O282" s="112"/>
      <c r="P282" s="112"/>
      <c r="Q282" s="112"/>
      <c r="R282" s="112"/>
      <c r="S282" s="112"/>
      <c r="T282" s="112"/>
      <c r="U282" s="112"/>
      <c r="V282" s="112"/>
    </row>
    <row r="283">
      <c r="A283" s="153" t="s">
        <v>100</v>
      </c>
      <c r="B283" s="154"/>
      <c r="C283" s="130">
        <v>45564.0</v>
      </c>
      <c r="D283" s="131" t="str">
        <f>VLOOKUP(C283,A3:B$380,2,FALSE)</f>
        <v>#N/A</v>
      </c>
      <c r="E283" s="131">
        <f t="shared" si="3"/>
        <v>81</v>
      </c>
      <c r="F283" s="131">
        <f t="shared" si="6"/>
        <v>81</v>
      </c>
      <c r="G283" s="131">
        <f t="shared" ref="G283:H283" si="283">((AVERAGE(F277:F283))+(MEDIAN(F277:F283))+E283)/3</f>
        <v>81</v>
      </c>
      <c r="H283" s="131">
        <f t="shared" si="283"/>
        <v>81</v>
      </c>
      <c r="I283" s="120"/>
      <c r="J283" s="180"/>
      <c r="K283" s="181"/>
      <c r="L283" s="182"/>
      <c r="M283" s="112"/>
      <c r="N283" s="112"/>
      <c r="O283" s="112"/>
      <c r="P283" s="112"/>
      <c r="Q283" s="112"/>
      <c r="R283" s="112"/>
      <c r="S283" s="112"/>
      <c r="T283" s="112"/>
      <c r="U283" s="112"/>
      <c r="V283" s="112"/>
    </row>
    <row r="284">
      <c r="A284" s="158" t="s">
        <v>100</v>
      </c>
      <c r="B284" s="144"/>
      <c r="C284" s="145">
        <v>45565.0</v>
      </c>
      <c r="D284" s="146" t="str">
        <f>VLOOKUP(C284,A3:B$380,2,FALSE)</f>
        <v>#N/A</v>
      </c>
      <c r="E284" s="146">
        <f t="shared" si="3"/>
        <v>81</v>
      </c>
      <c r="F284" s="146">
        <f t="shared" si="6"/>
        <v>81</v>
      </c>
      <c r="G284" s="146">
        <f t="shared" ref="G284:H284" si="284">((AVERAGE(F278:F284))+(MEDIAN(F278:F284))+E284)/3</f>
        <v>81</v>
      </c>
      <c r="H284" s="146">
        <f t="shared" si="284"/>
        <v>81</v>
      </c>
      <c r="I284" s="120"/>
      <c r="J284" s="180"/>
      <c r="K284" s="181"/>
      <c r="L284" s="182"/>
      <c r="M284" s="112"/>
      <c r="N284" s="112"/>
      <c r="O284" s="112"/>
      <c r="P284" s="112"/>
      <c r="Q284" s="112"/>
      <c r="R284" s="112"/>
      <c r="S284" s="112"/>
      <c r="T284" s="112"/>
      <c r="U284" s="112"/>
      <c r="V284" s="112"/>
    </row>
    <row r="285">
      <c r="A285" s="153" t="s">
        <v>100</v>
      </c>
      <c r="B285" s="154"/>
      <c r="C285" s="130">
        <v>45566.0</v>
      </c>
      <c r="D285" s="131" t="str">
        <f>VLOOKUP(C285,A3:B$380,2,FALSE)</f>
        <v>#N/A</v>
      </c>
      <c r="E285" s="131">
        <f t="shared" si="3"/>
        <v>81</v>
      </c>
      <c r="F285" s="131">
        <f t="shared" si="6"/>
        <v>81</v>
      </c>
      <c r="G285" s="131">
        <f t="shared" ref="G285:H285" si="285">((AVERAGE(F279:F285))+(MEDIAN(F279:F285))+E285)/3</f>
        <v>81</v>
      </c>
      <c r="H285" s="131">
        <f t="shared" si="285"/>
        <v>81</v>
      </c>
      <c r="I285" s="120"/>
      <c r="J285" s="180"/>
      <c r="K285" s="181"/>
      <c r="L285" s="182"/>
      <c r="M285" s="112"/>
      <c r="N285" s="112"/>
      <c r="O285" s="112"/>
      <c r="P285" s="112"/>
      <c r="Q285" s="112"/>
      <c r="R285" s="112"/>
      <c r="S285" s="112"/>
      <c r="T285" s="112"/>
      <c r="U285" s="112"/>
      <c r="V285" s="112"/>
    </row>
    <row r="286">
      <c r="A286" s="158" t="s">
        <v>100</v>
      </c>
      <c r="B286" s="144"/>
      <c r="C286" s="145">
        <v>45567.0</v>
      </c>
      <c r="D286" s="146" t="str">
        <f>VLOOKUP(C286,A3:B$380,2,FALSE)</f>
        <v>#N/A</v>
      </c>
      <c r="E286" s="146">
        <f t="shared" si="3"/>
        <v>81</v>
      </c>
      <c r="F286" s="146">
        <f t="shared" si="6"/>
        <v>81</v>
      </c>
      <c r="G286" s="146">
        <f t="shared" ref="G286:H286" si="286">((AVERAGE(F280:F286))+(MEDIAN(F280:F286))+E286)/3</f>
        <v>81</v>
      </c>
      <c r="H286" s="146">
        <f t="shared" si="286"/>
        <v>81</v>
      </c>
      <c r="I286" s="120"/>
      <c r="J286" s="180"/>
      <c r="K286" s="181"/>
      <c r="L286" s="182"/>
      <c r="M286" s="112"/>
      <c r="N286" s="112"/>
      <c r="O286" s="112"/>
      <c r="P286" s="112"/>
      <c r="Q286" s="112"/>
      <c r="R286" s="112"/>
      <c r="S286" s="112"/>
      <c r="T286" s="112"/>
      <c r="U286" s="112"/>
      <c r="V286" s="112"/>
    </row>
    <row r="287">
      <c r="A287" s="153" t="s">
        <v>100</v>
      </c>
      <c r="B287" s="154"/>
      <c r="C287" s="130">
        <v>45568.0</v>
      </c>
      <c r="D287" s="131" t="str">
        <f>VLOOKUP(C287,A3:B$380,2,FALSE)</f>
        <v>#N/A</v>
      </c>
      <c r="E287" s="131">
        <f t="shared" si="3"/>
        <v>81</v>
      </c>
      <c r="F287" s="131">
        <f t="shared" si="6"/>
        <v>81</v>
      </c>
      <c r="G287" s="131">
        <f t="shared" ref="G287:H287" si="287">((AVERAGE(F281:F287))+(MEDIAN(F281:F287))+E287)/3</f>
        <v>81</v>
      </c>
      <c r="H287" s="131">
        <f t="shared" si="287"/>
        <v>81</v>
      </c>
      <c r="I287" s="120"/>
      <c r="J287" s="180"/>
      <c r="K287" s="181"/>
      <c r="L287" s="182"/>
      <c r="M287" s="112"/>
      <c r="N287" s="112"/>
      <c r="O287" s="112"/>
      <c r="P287" s="112"/>
      <c r="Q287" s="112"/>
      <c r="R287" s="112"/>
      <c r="S287" s="112"/>
      <c r="T287" s="112"/>
      <c r="U287" s="112"/>
      <c r="V287" s="112"/>
    </row>
    <row r="288">
      <c r="A288" s="158" t="s">
        <v>100</v>
      </c>
      <c r="B288" s="144"/>
      <c r="C288" s="145">
        <v>45569.0</v>
      </c>
      <c r="D288" s="146" t="str">
        <f>VLOOKUP(C288,A3:B$380,2,FALSE)</f>
        <v>#N/A</v>
      </c>
      <c r="E288" s="146">
        <f t="shared" si="3"/>
        <v>81</v>
      </c>
      <c r="F288" s="146">
        <f t="shared" si="6"/>
        <v>81</v>
      </c>
      <c r="G288" s="146">
        <f t="shared" ref="G288:H288" si="288">((AVERAGE(F282:F288))+(MEDIAN(F282:F288))+E288)/3</f>
        <v>81</v>
      </c>
      <c r="H288" s="146">
        <f t="shared" si="288"/>
        <v>81</v>
      </c>
      <c r="I288" s="120"/>
      <c r="J288" s="180"/>
      <c r="K288" s="181"/>
      <c r="L288" s="182"/>
      <c r="M288" s="112"/>
      <c r="N288" s="112"/>
      <c r="O288" s="112"/>
      <c r="P288" s="112"/>
      <c r="Q288" s="112"/>
      <c r="R288" s="112"/>
      <c r="S288" s="112"/>
      <c r="T288" s="112"/>
      <c r="U288" s="112"/>
      <c r="V288" s="112"/>
    </row>
    <row r="289">
      <c r="A289" s="153" t="s">
        <v>100</v>
      </c>
      <c r="B289" s="154"/>
      <c r="C289" s="168">
        <v>45570.0</v>
      </c>
      <c r="D289" s="169" t="str">
        <f>VLOOKUP(C289,A3:B$380,2,FALSE)</f>
        <v>#N/A</v>
      </c>
      <c r="E289" s="169">
        <f t="shared" si="3"/>
        <v>81</v>
      </c>
      <c r="F289" s="169">
        <f t="shared" si="6"/>
        <v>81</v>
      </c>
      <c r="G289" s="169">
        <f t="shared" ref="G289:H289" si="289">((AVERAGE(F283:F289))+(MEDIAN(F283:F289))+E289)/3</f>
        <v>81</v>
      </c>
      <c r="H289" s="169">
        <f t="shared" si="289"/>
        <v>81</v>
      </c>
      <c r="I289" s="120"/>
      <c r="J289" s="180"/>
      <c r="K289" s="181"/>
      <c r="L289" s="182"/>
      <c r="M289" s="112"/>
      <c r="N289" s="112"/>
      <c r="O289" s="112"/>
      <c r="P289" s="112"/>
      <c r="Q289" s="112"/>
      <c r="R289" s="112"/>
      <c r="S289" s="112"/>
      <c r="T289" s="112"/>
      <c r="U289" s="112"/>
      <c r="V289" s="112"/>
    </row>
    <row r="290">
      <c r="A290" s="158" t="s">
        <v>100</v>
      </c>
      <c r="B290" s="144"/>
      <c r="C290" s="145">
        <v>45571.0</v>
      </c>
      <c r="D290" s="146" t="str">
        <f>VLOOKUP(C290,A3:B$380,2,FALSE)</f>
        <v>#N/A</v>
      </c>
      <c r="E290" s="146">
        <f t="shared" si="3"/>
        <v>81</v>
      </c>
      <c r="F290" s="146">
        <f t="shared" si="6"/>
        <v>81</v>
      </c>
      <c r="G290" s="146">
        <f t="shared" ref="G290:H290" si="290">((AVERAGE(F284:F290))+(MEDIAN(F284:F290))+E290)/3</f>
        <v>81</v>
      </c>
      <c r="H290" s="146">
        <f t="shared" si="290"/>
        <v>81</v>
      </c>
      <c r="I290" s="120"/>
      <c r="J290" s="180"/>
      <c r="K290" s="181"/>
      <c r="L290" s="182"/>
      <c r="M290" s="112"/>
      <c r="N290" s="112"/>
      <c r="O290" s="112"/>
      <c r="P290" s="112"/>
      <c r="Q290" s="112"/>
      <c r="R290" s="112"/>
      <c r="S290" s="112"/>
      <c r="T290" s="112"/>
      <c r="U290" s="112"/>
      <c r="V290" s="112"/>
    </row>
    <row r="291">
      <c r="A291" s="153" t="s">
        <v>100</v>
      </c>
      <c r="B291" s="154"/>
      <c r="C291" s="130">
        <v>45572.0</v>
      </c>
      <c r="D291" s="131" t="str">
        <f>VLOOKUP(C291,A3:B$380,2,FALSE)</f>
        <v>#N/A</v>
      </c>
      <c r="E291" s="131">
        <f t="shared" si="3"/>
        <v>81</v>
      </c>
      <c r="F291" s="131">
        <f t="shared" si="6"/>
        <v>81</v>
      </c>
      <c r="G291" s="131">
        <f t="shared" ref="G291:H291" si="291">((AVERAGE(F285:F291))+(MEDIAN(F285:F291))+E291)/3</f>
        <v>81</v>
      </c>
      <c r="H291" s="131">
        <f t="shared" si="291"/>
        <v>81</v>
      </c>
      <c r="I291" s="120"/>
      <c r="J291" s="180"/>
      <c r="K291" s="181"/>
      <c r="L291" s="182"/>
      <c r="M291" s="112"/>
      <c r="N291" s="112"/>
      <c r="O291" s="112"/>
      <c r="P291" s="112"/>
      <c r="Q291" s="112"/>
      <c r="R291" s="112"/>
      <c r="S291" s="112"/>
      <c r="T291" s="112"/>
      <c r="U291" s="112"/>
      <c r="V291" s="112"/>
    </row>
    <row r="292">
      <c r="A292" s="158" t="s">
        <v>100</v>
      </c>
      <c r="B292" s="144"/>
      <c r="C292" s="145">
        <v>45573.0</v>
      </c>
      <c r="D292" s="146" t="str">
        <f>VLOOKUP(C292,A3:B$380,2,FALSE)</f>
        <v>#N/A</v>
      </c>
      <c r="E292" s="146">
        <f t="shared" si="3"/>
        <v>81</v>
      </c>
      <c r="F292" s="146">
        <f t="shared" si="6"/>
        <v>81</v>
      </c>
      <c r="G292" s="146">
        <f t="shared" ref="G292:H292" si="292">((AVERAGE(F286:F292))+(MEDIAN(F286:F292))+E292)/3</f>
        <v>81</v>
      </c>
      <c r="H292" s="146">
        <f t="shared" si="292"/>
        <v>81</v>
      </c>
      <c r="I292" s="120"/>
      <c r="J292" s="180"/>
      <c r="K292" s="181"/>
      <c r="L292" s="182"/>
      <c r="M292" s="112"/>
      <c r="N292" s="112"/>
      <c r="O292" s="112"/>
      <c r="P292" s="112"/>
      <c r="Q292" s="112"/>
      <c r="R292" s="112"/>
      <c r="S292" s="112"/>
      <c r="T292" s="112"/>
      <c r="U292" s="112"/>
      <c r="V292" s="112"/>
    </row>
    <row r="293">
      <c r="A293" s="153" t="s">
        <v>100</v>
      </c>
      <c r="B293" s="154"/>
      <c r="C293" s="130">
        <v>45574.0</v>
      </c>
      <c r="D293" s="131" t="str">
        <f>VLOOKUP(C293,A3:B$380,2,FALSE)</f>
        <v>#N/A</v>
      </c>
      <c r="E293" s="131">
        <f t="shared" si="3"/>
        <v>81</v>
      </c>
      <c r="F293" s="131">
        <f t="shared" si="6"/>
        <v>81</v>
      </c>
      <c r="G293" s="131">
        <f t="shared" ref="G293:H293" si="293">((AVERAGE(F287:F293))+(MEDIAN(F287:F293))+E293)/3</f>
        <v>81</v>
      </c>
      <c r="H293" s="131">
        <f t="shared" si="293"/>
        <v>81</v>
      </c>
      <c r="I293" s="120"/>
      <c r="J293" s="180"/>
      <c r="K293" s="181"/>
      <c r="L293" s="182"/>
      <c r="M293" s="112"/>
      <c r="N293" s="112"/>
      <c r="O293" s="112"/>
      <c r="P293" s="112"/>
      <c r="Q293" s="112"/>
      <c r="R293" s="112"/>
      <c r="S293" s="112"/>
      <c r="T293" s="112"/>
      <c r="U293" s="112"/>
      <c r="V293" s="112"/>
    </row>
    <row r="294">
      <c r="A294" s="158" t="s">
        <v>100</v>
      </c>
      <c r="B294" s="144"/>
      <c r="C294" s="145">
        <v>45575.0</v>
      </c>
      <c r="D294" s="146" t="str">
        <f>VLOOKUP(C294,A3:B$380,2,FALSE)</f>
        <v>#N/A</v>
      </c>
      <c r="E294" s="146">
        <f t="shared" si="3"/>
        <v>81</v>
      </c>
      <c r="F294" s="146">
        <f t="shared" si="6"/>
        <v>81</v>
      </c>
      <c r="G294" s="146">
        <f t="shared" ref="G294:H294" si="294">((AVERAGE(F288:F294))+(MEDIAN(F288:F294))+E294)/3</f>
        <v>81</v>
      </c>
      <c r="H294" s="146">
        <f t="shared" si="294"/>
        <v>81</v>
      </c>
      <c r="I294" s="120"/>
      <c r="J294" s="180"/>
      <c r="K294" s="181"/>
      <c r="L294" s="182"/>
      <c r="M294" s="112"/>
      <c r="N294" s="112"/>
      <c r="O294" s="112"/>
      <c r="P294" s="112"/>
      <c r="Q294" s="112"/>
      <c r="R294" s="112"/>
      <c r="S294" s="112"/>
      <c r="T294" s="112"/>
      <c r="U294" s="112"/>
      <c r="V294" s="112"/>
    </row>
    <row r="295">
      <c r="A295" s="153" t="s">
        <v>100</v>
      </c>
      <c r="B295" s="154"/>
      <c r="C295" s="130">
        <v>45576.0</v>
      </c>
      <c r="D295" s="131" t="str">
        <f>VLOOKUP(C295,A3:B$380,2,FALSE)</f>
        <v>#N/A</v>
      </c>
      <c r="E295" s="131">
        <f t="shared" si="3"/>
        <v>81</v>
      </c>
      <c r="F295" s="131">
        <f t="shared" si="6"/>
        <v>81</v>
      </c>
      <c r="G295" s="131">
        <f t="shared" ref="G295:H295" si="295">((AVERAGE(F289:F295))+(MEDIAN(F289:F295))+E295)/3</f>
        <v>81</v>
      </c>
      <c r="H295" s="131">
        <f t="shared" si="295"/>
        <v>81</v>
      </c>
      <c r="I295" s="120"/>
      <c r="J295" s="180"/>
      <c r="K295" s="181"/>
      <c r="L295" s="182"/>
      <c r="M295" s="112"/>
      <c r="N295" s="112"/>
      <c r="O295" s="112"/>
      <c r="P295" s="112"/>
      <c r="Q295" s="112"/>
      <c r="R295" s="112"/>
      <c r="S295" s="112"/>
      <c r="T295" s="112"/>
      <c r="U295" s="112"/>
      <c r="V295" s="112"/>
    </row>
    <row r="296">
      <c r="A296" s="158" t="s">
        <v>100</v>
      </c>
      <c r="B296" s="144"/>
      <c r="C296" s="173">
        <v>45577.0</v>
      </c>
      <c r="D296" s="174" t="str">
        <f>VLOOKUP(C296,A3:B$380,2,FALSE)</f>
        <v>#N/A</v>
      </c>
      <c r="E296" s="174">
        <f t="shared" si="3"/>
        <v>81</v>
      </c>
      <c r="F296" s="174">
        <f t="shared" si="6"/>
        <v>81</v>
      </c>
      <c r="G296" s="174">
        <f t="shared" ref="G296:H296" si="296">((AVERAGE(F290:F296))+(MEDIAN(F290:F296))+E296)/3</f>
        <v>81</v>
      </c>
      <c r="H296" s="174">
        <f t="shared" si="296"/>
        <v>81</v>
      </c>
      <c r="I296" s="120"/>
      <c r="J296" s="180"/>
      <c r="K296" s="181"/>
      <c r="L296" s="182"/>
      <c r="M296" s="112"/>
      <c r="N296" s="112"/>
      <c r="O296" s="112"/>
      <c r="P296" s="112"/>
      <c r="Q296" s="112"/>
      <c r="R296" s="112"/>
      <c r="S296" s="112"/>
      <c r="T296" s="112"/>
      <c r="U296" s="112"/>
      <c r="V296" s="112"/>
    </row>
    <row r="297">
      <c r="A297" s="153" t="s">
        <v>100</v>
      </c>
      <c r="B297" s="154"/>
      <c r="C297" s="130">
        <v>45578.0</v>
      </c>
      <c r="D297" s="131" t="str">
        <f>VLOOKUP(C297,A3:B$380,2,FALSE)</f>
        <v>#N/A</v>
      </c>
      <c r="E297" s="131">
        <f t="shared" si="3"/>
        <v>81</v>
      </c>
      <c r="F297" s="131">
        <f t="shared" si="6"/>
        <v>81</v>
      </c>
      <c r="G297" s="131">
        <f t="shared" ref="G297:H297" si="297">((AVERAGE(F291:F297))+(MEDIAN(F291:F297))+E297)/3</f>
        <v>81</v>
      </c>
      <c r="H297" s="131">
        <f t="shared" si="297"/>
        <v>81</v>
      </c>
      <c r="I297" s="120"/>
      <c r="J297" s="180"/>
      <c r="K297" s="181"/>
      <c r="L297" s="182"/>
      <c r="M297" s="112"/>
      <c r="N297" s="112"/>
      <c r="O297" s="112"/>
      <c r="P297" s="112"/>
      <c r="Q297" s="112"/>
      <c r="R297" s="112"/>
      <c r="S297" s="112"/>
      <c r="T297" s="112"/>
      <c r="U297" s="112"/>
      <c r="V297" s="112"/>
    </row>
    <row r="298">
      <c r="A298" s="158" t="s">
        <v>100</v>
      </c>
      <c r="B298" s="144"/>
      <c r="C298" s="145">
        <v>45579.0</v>
      </c>
      <c r="D298" s="146" t="str">
        <f>VLOOKUP(C298,A3:B$380,2,FALSE)</f>
        <v>#N/A</v>
      </c>
      <c r="E298" s="146">
        <f t="shared" si="3"/>
        <v>81</v>
      </c>
      <c r="F298" s="146">
        <f t="shared" si="6"/>
        <v>81</v>
      </c>
      <c r="G298" s="146">
        <f t="shared" ref="G298:H298" si="298">((AVERAGE(F292:F298))+(MEDIAN(F292:F298))+E298)/3</f>
        <v>81</v>
      </c>
      <c r="H298" s="146">
        <f t="shared" si="298"/>
        <v>81</v>
      </c>
      <c r="I298" s="120"/>
      <c r="J298" s="180"/>
      <c r="K298" s="181"/>
      <c r="L298" s="182"/>
      <c r="M298" s="112"/>
      <c r="N298" s="112"/>
      <c r="O298" s="112"/>
      <c r="P298" s="112"/>
      <c r="Q298" s="112"/>
      <c r="R298" s="112"/>
      <c r="S298" s="112"/>
      <c r="T298" s="112"/>
      <c r="U298" s="112"/>
      <c r="V298" s="112"/>
    </row>
    <row r="299">
      <c r="A299" s="153" t="s">
        <v>100</v>
      </c>
      <c r="B299" s="154"/>
      <c r="C299" s="130">
        <v>45580.0</v>
      </c>
      <c r="D299" s="131" t="str">
        <f>VLOOKUP(C299,A3:B$380,2,FALSE)</f>
        <v>#N/A</v>
      </c>
      <c r="E299" s="131">
        <f t="shared" si="3"/>
        <v>81</v>
      </c>
      <c r="F299" s="131">
        <f t="shared" si="6"/>
        <v>81</v>
      </c>
      <c r="G299" s="131">
        <f t="shared" ref="G299:H299" si="299">((AVERAGE(F293:F299))+(MEDIAN(F293:F299))+E299)/3</f>
        <v>81</v>
      </c>
      <c r="H299" s="131">
        <f t="shared" si="299"/>
        <v>81</v>
      </c>
      <c r="I299" s="120"/>
      <c r="J299" s="180"/>
      <c r="K299" s="181"/>
      <c r="L299" s="182"/>
      <c r="M299" s="112"/>
      <c r="N299" s="112"/>
      <c r="O299" s="112"/>
      <c r="P299" s="112"/>
      <c r="Q299" s="112"/>
      <c r="R299" s="112"/>
      <c r="S299" s="112"/>
      <c r="T299" s="112"/>
      <c r="U299" s="112"/>
      <c r="V299" s="112"/>
    </row>
    <row r="300">
      <c r="A300" s="158" t="s">
        <v>100</v>
      </c>
      <c r="B300" s="144"/>
      <c r="C300" s="145">
        <v>45581.0</v>
      </c>
      <c r="D300" s="146" t="str">
        <f>VLOOKUP(C300,A3:B$380,2,FALSE)</f>
        <v>#N/A</v>
      </c>
      <c r="E300" s="146">
        <f t="shared" si="3"/>
        <v>81</v>
      </c>
      <c r="F300" s="146">
        <f t="shared" si="6"/>
        <v>81</v>
      </c>
      <c r="G300" s="146">
        <f t="shared" ref="G300:H300" si="300">((AVERAGE(F294:F300))+(MEDIAN(F294:F300))+E300)/3</f>
        <v>81</v>
      </c>
      <c r="H300" s="146">
        <f t="shared" si="300"/>
        <v>81</v>
      </c>
      <c r="I300" s="120"/>
      <c r="J300" s="180"/>
      <c r="K300" s="181"/>
      <c r="L300" s="182"/>
      <c r="M300" s="112"/>
      <c r="N300" s="112"/>
      <c r="O300" s="112"/>
      <c r="P300" s="112"/>
      <c r="Q300" s="112"/>
      <c r="R300" s="112"/>
      <c r="S300" s="112"/>
      <c r="T300" s="112"/>
      <c r="U300" s="112"/>
      <c r="V300" s="112"/>
    </row>
    <row r="301">
      <c r="A301" s="153" t="s">
        <v>100</v>
      </c>
      <c r="B301" s="154"/>
      <c r="C301" s="130">
        <v>45582.0</v>
      </c>
      <c r="D301" s="131" t="str">
        <f>VLOOKUP(C301,A3:B$380,2,FALSE)</f>
        <v>#N/A</v>
      </c>
      <c r="E301" s="131">
        <f t="shared" si="3"/>
        <v>81</v>
      </c>
      <c r="F301" s="131">
        <f t="shared" si="6"/>
        <v>81</v>
      </c>
      <c r="G301" s="131">
        <f t="shared" ref="G301:H301" si="301">((AVERAGE(F295:F301))+(MEDIAN(F295:F301))+E301)/3</f>
        <v>81</v>
      </c>
      <c r="H301" s="131">
        <f t="shared" si="301"/>
        <v>81</v>
      </c>
      <c r="I301" s="120"/>
      <c r="J301" s="180"/>
      <c r="K301" s="181"/>
      <c r="L301" s="182"/>
      <c r="M301" s="112"/>
      <c r="N301" s="112"/>
      <c r="O301" s="112"/>
      <c r="P301" s="112"/>
      <c r="Q301" s="112"/>
      <c r="R301" s="112"/>
      <c r="S301" s="112"/>
      <c r="T301" s="112"/>
      <c r="U301" s="112"/>
      <c r="V301" s="112"/>
    </row>
    <row r="302">
      <c r="A302" s="158" t="s">
        <v>100</v>
      </c>
      <c r="B302" s="144"/>
      <c r="C302" s="145">
        <v>45583.0</v>
      </c>
      <c r="D302" s="146" t="str">
        <f>VLOOKUP(C302,A3:B$380,2,FALSE)</f>
        <v>#N/A</v>
      </c>
      <c r="E302" s="146">
        <f t="shared" si="3"/>
        <v>81</v>
      </c>
      <c r="F302" s="146">
        <f t="shared" si="6"/>
        <v>81</v>
      </c>
      <c r="G302" s="146">
        <f t="shared" ref="G302:H302" si="302">((AVERAGE(F296:F302))+(MEDIAN(F296:F302))+E302)/3</f>
        <v>81</v>
      </c>
      <c r="H302" s="146">
        <f t="shared" si="302"/>
        <v>81</v>
      </c>
      <c r="I302" s="120"/>
      <c r="J302" s="180"/>
      <c r="K302" s="181"/>
      <c r="L302" s="182"/>
      <c r="M302" s="112"/>
      <c r="N302" s="112"/>
      <c r="O302" s="112"/>
      <c r="P302" s="112"/>
      <c r="Q302" s="112"/>
      <c r="R302" s="112"/>
      <c r="S302" s="112"/>
      <c r="T302" s="112"/>
      <c r="U302" s="112"/>
      <c r="V302" s="112"/>
    </row>
    <row r="303">
      <c r="A303" s="153" t="s">
        <v>100</v>
      </c>
      <c r="B303" s="154"/>
      <c r="C303" s="168">
        <v>45584.0</v>
      </c>
      <c r="D303" s="169" t="str">
        <f>VLOOKUP(C303,A3:B$380,2,FALSE)</f>
        <v>#N/A</v>
      </c>
      <c r="E303" s="169">
        <f t="shared" si="3"/>
        <v>81</v>
      </c>
      <c r="F303" s="169">
        <f t="shared" si="6"/>
        <v>81</v>
      </c>
      <c r="G303" s="169">
        <f t="shared" ref="G303:H303" si="303">((AVERAGE(F297:F303))+(MEDIAN(F297:F303))+E303)/3</f>
        <v>81</v>
      </c>
      <c r="H303" s="169">
        <f t="shared" si="303"/>
        <v>81</v>
      </c>
      <c r="I303" s="120"/>
      <c r="J303" s="180"/>
      <c r="K303" s="181"/>
      <c r="L303" s="182"/>
      <c r="M303" s="112"/>
      <c r="N303" s="112"/>
      <c r="O303" s="112"/>
      <c r="P303" s="112"/>
      <c r="Q303" s="112"/>
      <c r="R303" s="112"/>
      <c r="S303" s="112"/>
      <c r="T303" s="112"/>
      <c r="U303" s="112"/>
      <c r="V303" s="112"/>
    </row>
    <row r="304">
      <c r="A304" s="158" t="s">
        <v>100</v>
      </c>
      <c r="B304" s="144"/>
      <c r="C304" s="145">
        <v>45585.0</v>
      </c>
      <c r="D304" s="146" t="str">
        <f>VLOOKUP(C304,A3:B$380,2,FALSE)</f>
        <v>#N/A</v>
      </c>
      <c r="E304" s="146">
        <f t="shared" si="3"/>
        <v>81</v>
      </c>
      <c r="F304" s="146">
        <f t="shared" si="6"/>
        <v>81</v>
      </c>
      <c r="G304" s="146">
        <f t="shared" ref="G304:H304" si="304">((AVERAGE(F298:F304))+(MEDIAN(F298:F304))+E304)/3</f>
        <v>81</v>
      </c>
      <c r="H304" s="146">
        <f t="shared" si="304"/>
        <v>81</v>
      </c>
      <c r="I304" s="120"/>
      <c r="J304" s="180"/>
      <c r="K304" s="181"/>
      <c r="L304" s="182"/>
      <c r="M304" s="112"/>
      <c r="N304" s="112"/>
      <c r="O304" s="112"/>
      <c r="P304" s="112"/>
      <c r="Q304" s="112"/>
      <c r="R304" s="112"/>
      <c r="S304" s="112"/>
      <c r="T304" s="112"/>
      <c r="U304" s="112"/>
      <c r="V304" s="112"/>
    </row>
    <row r="305">
      <c r="A305" s="153" t="s">
        <v>100</v>
      </c>
      <c r="B305" s="154"/>
      <c r="C305" s="130">
        <v>45586.0</v>
      </c>
      <c r="D305" s="131" t="str">
        <f>VLOOKUP(C305,A3:B$380,2,FALSE)</f>
        <v>#N/A</v>
      </c>
      <c r="E305" s="131">
        <f t="shared" si="3"/>
        <v>81</v>
      </c>
      <c r="F305" s="131">
        <f t="shared" si="6"/>
        <v>81</v>
      </c>
      <c r="G305" s="131">
        <f t="shared" ref="G305:H305" si="305">((AVERAGE(F299:F305))+(MEDIAN(F299:F305))+E305)/3</f>
        <v>81</v>
      </c>
      <c r="H305" s="131">
        <f t="shared" si="305"/>
        <v>81</v>
      </c>
      <c r="I305" s="120"/>
      <c r="J305" s="180"/>
      <c r="K305" s="181"/>
      <c r="L305" s="182"/>
      <c r="M305" s="112"/>
      <c r="N305" s="112"/>
      <c r="O305" s="112"/>
      <c r="P305" s="112"/>
      <c r="Q305" s="112"/>
      <c r="R305" s="112"/>
      <c r="S305" s="112"/>
      <c r="T305" s="112"/>
      <c r="U305" s="112"/>
      <c r="V305" s="112"/>
    </row>
    <row r="306">
      <c r="A306" s="158" t="s">
        <v>100</v>
      </c>
      <c r="B306" s="144"/>
      <c r="C306" s="145">
        <v>45587.0</v>
      </c>
      <c r="D306" s="146" t="str">
        <f>VLOOKUP(C306,A3:B$380,2,FALSE)</f>
        <v>#N/A</v>
      </c>
      <c r="E306" s="146">
        <f t="shared" si="3"/>
        <v>81</v>
      </c>
      <c r="F306" s="146">
        <f t="shared" si="6"/>
        <v>81</v>
      </c>
      <c r="G306" s="146">
        <f t="shared" ref="G306:H306" si="306">((AVERAGE(F300:F306))+(MEDIAN(F300:F306))+E306)/3</f>
        <v>81</v>
      </c>
      <c r="H306" s="146">
        <f t="shared" si="306"/>
        <v>81</v>
      </c>
      <c r="I306" s="120"/>
      <c r="J306" s="180"/>
      <c r="K306" s="181"/>
      <c r="L306" s="182"/>
      <c r="M306" s="112"/>
      <c r="N306" s="112"/>
      <c r="O306" s="112"/>
      <c r="P306" s="112"/>
      <c r="Q306" s="112"/>
      <c r="R306" s="112"/>
      <c r="S306" s="112"/>
      <c r="T306" s="112"/>
      <c r="U306" s="112"/>
      <c r="V306" s="112"/>
    </row>
    <row r="307">
      <c r="A307" s="153" t="s">
        <v>100</v>
      </c>
      <c r="B307" s="154"/>
      <c r="C307" s="130">
        <v>45588.0</v>
      </c>
      <c r="D307" s="131" t="str">
        <f>VLOOKUP(C307,A3:B$380,2,FALSE)</f>
        <v>#N/A</v>
      </c>
      <c r="E307" s="131">
        <f t="shared" si="3"/>
        <v>81</v>
      </c>
      <c r="F307" s="131">
        <f t="shared" si="6"/>
        <v>81</v>
      </c>
      <c r="G307" s="131">
        <f t="shared" ref="G307:H307" si="307">((AVERAGE(F301:F307))+(MEDIAN(F301:F307))+E307)/3</f>
        <v>81</v>
      </c>
      <c r="H307" s="131">
        <f t="shared" si="307"/>
        <v>81</v>
      </c>
      <c r="I307" s="120"/>
      <c r="J307" s="180"/>
      <c r="K307" s="181"/>
      <c r="L307" s="182"/>
      <c r="M307" s="112"/>
      <c r="N307" s="112"/>
      <c r="O307" s="112"/>
      <c r="P307" s="112"/>
      <c r="Q307" s="112"/>
      <c r="R307" s="112"/>
      <c r="S307" s="112"/>
      <c r="T307" s="112"/>
      <c r="U307" s="112"/>
      <c r="V307" s="112"/>
    </row>
    <row r="308">
      <c r="A308" s="158" t="s">
        <v>100</v>
      </c>
      <c r="B308" s="144"/>
      <c r="C308" s="145">
        <v>45589.0</v>
      </c>
      <c r="D308" s="146" t="str">
        <f>VLOOKUP(C308,A3:B$380,2,FALSE)</f>
        <v>#N/A</v>
      </c>
      <c r="E308" s="146">
        <f t="shared" si="3"/>
        <v>81</v>
      </c>
      <c r="F308" s="146">
        <f t="shared" si="6"/>
        <v>81</v>
      </c>
      <c r="G308" s="146">
        <f t="shared" ref="G308:H308" si="308">((AVERAGE(F302:F308))+(MEDIAN(F302:F308))+E308)/3</f>
        <v>81</v>
      </c>
      <c r="H308" s="146">
        <f t="shared" si="308"/>
        <v>81</v>
      </c>
      <c r="I308" s="120"/>
      <c r="J308" s="180"/>
      <c r="K308" s="181"/>
      <c r="L308" s="182"/>
      <c r="M308" s="112"/>
      <c r="N308" s="112"/>
      <c r="O308" s="112"/>
      <c r="P308" s="112"/>
      <c r="Q308" s="112"/>
      <c r="R308" s="112"/>
      <c r="S308" s="112"/>
      <c r="T308" s="112"/>
      <c r="U308" s="112"/>
      <c r="V308" s="112"/>
    </row>
    <row r="309">
      <c r="A309" s="153" t="s">
        <v>100</v>
      </c>
      <c r="B309" s="154"/>
      <c r="C309" s="130">
        <v>45590.0</v>
      </c>
      <c r="D309" s="131" t="str">
        <f>VLOOKUP(C309,A3:B$380,2,FALSE)</f>
        <v>#N/A</v>
      </c>
      <c r="E309" s="131">
        <f t="shared" si="3"/>
        <v>81</v>
      </c>
      <c r="F309" s="131">
        <f t="shared" si="6"/>
        <v>81</v>
      </c>
      <c r="G309" s="131">
        <f t="shared" ref="G309:H309" si="309">((AVERAGE(F303:F309))+(MEDIAN(F303:F309))+E309)/3</f>
        <v>81</v>
      </c>
      <c r="H309" s="131">
        <f t="shared" si="309"/>
        <v>81</v>
      </c>
      <c r="I309" s="120"/>
      <c r="J309" s="180"/>
      <c r="K309" s="181"/>
      <c r="L309" s="182"/>
      <c r="M309" s="112"/>
      <c r="N309" s="112"/>
      <c r="O309" s="112"/>
      <c r="P309" s="112"/>
      <c r="Q309" s="112"/>
      <c r="R309" s="112"/>
      <c r="S309" s="112"/>
      <c r="T309" s="112"/>
      <c r="U309" s="112"/>
      <c r="V309" s="112"/>
    </row>
    <row r="310">
      <c r="A310" s="158" t="s">
        <v>100</v>
      </c>
      <c r="B310" s="144"/>
      <c r="C310" s="173">
        <v>45591.0</v>
      </c>
      <c r="D310" s="174" t="str">
        <f>VLOOKUP(C310,A3:B$380,2,FALSE)</f>
        <v>#N/A</v>
      </c>
      <c r="E310" s="174">
        <f t="shared" si="3"/>
        <v>81</v>
      </c>
      <c r="F310" s="174">
        <f t="shared" si="6"/>
        <v>81</v>
      </c>
      <c r="G310" s="174">
        <f t="shared" ref="G310:H310" si="310">((AVERAGE(F304:F310))+(MEDIAN(F304:F310))+E310)/3</f>
        <v>81</v>
      </c>
      <c r="H310" s="174">
        <f t="shared" si="310"/>
        <v>81</v>
      </c>
      <c r="I310" s="120"/>
      <c r="J310" s="180"/>
      <c r="K310" s="181"/>
      <c r="L310" s="182"/>
      <c r="M310" s="112"/>
      <c r="N310" s="112"/>
      <c r="O310" s="112"/>
      <c r="P310" s="112"/>
      <c r="Q310" s="112"/>
      <c r="R310" s="112"/>
      <c r="S310" s="112"/>
      <c r="T310" s="112"/>
      <c r="U310" s="112"/>
      <c r="V310" s="112"/>
    </row>
    <row r="311">
      <c r="A311" s="153" t="s">
        <v>100</v>
      </c>
      <c r="B311" s="154"/>
      <c r="C311" s="130">
        <v>45592.0</v>
      </c>
      <c r="D311" s="131" t="str">
        <f>VLOOKUP(C311,A3:B$380,2,FALSE)</f>
        <v>#N/A</v>
      </c>
      <c r="E311" s="131">
        <f t="shared" si="3"/>
        <v>81</v>
      </c>
      <c r="F311" s="131">
        <f t="shared" si="6"/>
        <v>81</v>
      </c>
      <c r="G311" s="131">
        <f t="shared" ref="G311:H311" si="311">((AVERAGE(F305:F311))+(MEDIAN(F305:F311))+E311)/3</f>
        <v>81</v>
      </c>
      <c r="H311" s="131">
        <f t="shared" si="311"/>
        <v>81</v>
      </c>
      <c r="I311" s="120"/>
      <c r="J311" s="180"/>
      <c r="K311" s="181"/>
      <c r="L311" s="182"/>
      <c r="M311" s="112"/>
      <c r="N311" s="112"/>
      <c r="O311" s="112"/>
      <c r="P311" s="112"/>
      <c r="Q311" s="112"/>
      <c r="R311" s="112"/>
      <c r="S311" s="112"/>
      <c r="T311" s="112"/>
      <c r="U311" s="112"/>
      <c r="V311" s="112"/>
    </row>
    <row r="312">
      <c r="A312" s="158" t="s">
        <v>100</v>
      </c>
      <c r="B312" s="144"/>
      <c r="C312" s="145">
        <v>45593.0</v>
      </c>
      <c r="D312" s="146" t="str">
        <f>VLOOKUP(C312,A3:B$380,2,FALSE)</f>
        <v>#N/A</v>
      </c>
      <c r="E312" s="146">
        <f t="shared" si="3"/>
        <v>81</v>
      </c>
      <c r="F312" s="146">
        <f t="shared" si="6"/>
        <v>81</v>
      </c>
      <c r="G312" s="146">
        <f t="shared" ref="G312:H312" si="312">((AVERAGE(F306:F312))+(MEDIAN(F306:F312))+E312)/3</f>
        <v>81</v>
      </c>
      <c r="H312" s="146">
        <f t="shared" si="312"/>
        <v>81</v>
      </c>
      <c r="I312" s="120"/>
      <c r="J312" s="180"/>
      <c r="K312" s="181"/>
      <c r="L312" s="182"/>
      <c r="M312" s="112"/>
      <c r="N312" s="112"/>
      <c r="O312" s="112"/>
      <c r="P312" s="112"/>
      <c r="Q312" s="112"/>
      <c r="R312" s="112"/>
      <c r="S312" s="112"/>
      <c r="T312" s="112"/>
      <c r="U312" s="112"/>
      <c r="V312" s="112"/>
    </row>
    <row r="313">
      <c r="A313" s="153" t="s">
        <v>100</v>
      </c>
      <c r="B313" s="154"/>
      <c r="C313" s="130">
        <v>45594.0</v>
      </c>
      <c r="D313" s="131" t="str">
        <f>VLOOKUP(C313,A3:B$380,2,FALSE)</f>
        <v>#N/A</v>
      </c>
      <c r="E313" s="131">
        <f t="shared" si="3"/>
        <v>81</v>
      </c>
      <c r="F313" s="131">
        <f t="shared" si="6"/>
        <v>81</v>
      </c>
      <c r="G313" s="131">
        <f t="shared" ref="G313:H313" si="313">((AVERAGE(F307:F313))+(MEDIAN(F307:F313))+E313)/3</f>
        <v>81</v>
      </c>
      <c r="H313" s="131">
        <f t="shared" si="313"/>
        <v>81</v>
      </c>
      <c r="I313" s="120"/>
      <c r="J313" s="180"/>
      <c r="K313" s="181"/>
      <c r="L313" s="182"/>
      <c r="M313" s="112"/>
      <c r="N313" s="112"/>
      <c r="O313" s="112"/>
      <c r="P313" s="112"/>
      <c r="Q313" s="112"/>
      <c r="R313" s="112"/>
      <c r="S313" s="112"/>
      <c r="T313" s="112"/>
      <c r="U313" s="112"/>
      <c r="V313" s="112"/>
    </row>
    <row r="314">
      <c r="A314" s="158" t="s">
        <v>100</v>
      </c>
      <c r="B314" s="144"/>
      <c r="C314" s="145">
        <v>45595.0</v>
      </c>
      <c r="D314" s="146" t="str">
        <f>VLOOKUP(C314,A3:B$380,2,FALSE)</f>
        <v>#N/A</v>
      </c>
      <c r="E314" s="146">
        <f t="shared" si="3"/>
        <v>81</v>
      </c>
      <c r="F314" s="146">
        <f t="shared" si="6"/>
        <v>81</v>
      </c>
      <c r="G314" s="146">
        <f t="shared" ref="G314:H314" si="314">((AVERAGE(F308:F314))+(MEDIAN(F308:F314))+E314)/3</f>
        <v>81</v>
      </c>
      <c r="H314" s="146">
        <f t="shared" si="314"/>
        <v>81</v>
      </c>
      <c r="I314" s="120"/>
      <c r="J314" s="180"/>
      <c r="K314" s="181"/>
      <c r="L314" s="182"/>
      <c r="M314" s="112"/>
      <c r="N314" s="112"/>
      <c r="O314" s="112"/>
      <c r="P314" s="112"/>
      <c r="Q314" s="112"/>
      <c r="R314" s="112"/>
      <c r="S314" s="112"/>
      <c r="T314" s="112"/>
      <c r="U314" s="112"/>
      <c r="V314" s="112"/>
    </row>
    <row r="315">
      <c r="A315" s="153" t="s">
        <v>100</v>
      </c>
      <c r="B315" s="154"/>
      <c r="C315" s="130">
        <v>45596.0</v>
      </c>
      <c r="D315" s="131" t="str">
        <f>VLOOKUP(C315,A3:B$380,2,FALSE)</f>
        <v>#N/A</v>
      </c>
      <c r="E315" s="131">
        <f t="shared" si="3"/>
        <v>81</v>
      </c>
      <c r="F315" s="131">
        <f t="shared" si="6"/>
        <v>81</v>
      </c>
      <c r="G315" s="131">
        <f t="shared" ref="G315:H315" si="315">((AVERAGE(F309:F315))+(MEDIAN(F309:F315))+E315)/3</f>
        <v>81</v>
      </c>
      <c r="H315" s="131">
        <f t="shared" si="315"/>
        <v>81</v>
      </c>
      <c r="I315" s="120"/>
      <c r="J315" s="180"/>
      <c r="K315" s="181"/>
      <c r="L315" s="182"/>
      <c r="M315" s="112"/>
      <c r="N315" s="112"/>
      <c r="O315" s="112"/>
      <c r="P315" s="112"/>
      <c r="Q315" s="112"/>
      <c r="R315" s="112"/>
      <c r="S315" s="112"/>
      <c r="T315" s="112"/>
      <c r="U315" s="112"/>
      <c r="V315" s="112"/>
    </row>
    <row r="316">
      <c r="A316" s="158" t="s">
        <v>100</v>
      </c>
      <c r="B316" s="144"/>
      <c r="C316" s="145">
        <v>45597.0</v>
      </c>
      <c r="D316" s="146" t="str">
        <f>VLOOKUP(C316,A3:B$380,2,FALSE)</f>
        <v>#N/A</v>
      </c>
      <c r="E316" s="146">
        <f t="shared" si="3"/>
        <v>81</v>
      </c>
      <c r="F316" s="146">
        <f t="shared" si="6"/>
        <v>81</v>
      </c>
      <c r="G316" s="146">
        <f t="shared" ref="G316:H316" si="316">((AVERAGE(F310:F316))+(MEDIAN(F310:F316))+E316)/3</f>
        <v>81</v>
      </c>
      <c r="H316" s="146">
        <f t="shared" si="316"/>
        <v>81</v>
      </c>
      <c r="I316" s="120"/>
      <c r="J316" s="180"/>
      <c r="K316" s="181"/>
      <c r="L316" s="182"/>
      <c r="M316" s="112"/>
      <c r="N316" s="112"/>
      <c r="O316" s="112"/>
      <c r="P316" s="112"/>
      <c r="Q316" s="112"/>
      <c r="R316" s="112"/>
      <c r="S316" s="112"/>
      <c r="T316" s="112"/>
      <c r="U316" s="112"/>
      <c r="V316" s="112"/>
    </row>
    <row r="317">
      <c r="A317" s="153" t="s">
        <v>100</v>
      </c>
      <c r="B317" s="154"/>
      <c r="C317" s="168">
        <v>45598.0</v>
      </c>
      <c r="D317" s="169" t="str">
        <f>VLOOKUP(C317,A3:B$380,2,FALSE)</f>
        <v>#N/A</v>
      </c>
      <c r="E317" s="169">
        <f t="shared" si="3"/>
        <v>81</v>
      </c>
      <c r="F317" s="169">
        <f t="shared" si="6"/>
        <v>81</v>
      </c>
      <c r="G317" s="169">
        <f t="shared" ref="G317:H317" si="317">((AVERAGE(F311:F317))+(MEDIAN(F311:F317))+E317)/3</f>
        <v>81</v>
      </c>
      <c r="H317" s="169">
        <f t="shared" si="317"/>
        <v>81</v>
      </c>
      <c r="I317" s="120"/>
      <c r="J317" s="180"/>
      <c r="K317" s="181"/>
      <c r="L317" s="182"/>
      <c r="M317" s="112"/>
      <c r="N317" s="112"/>
      <c r="O317" s="112"/>
      <c r="P317" s="112"/>
      <c r="Q317" s="112"/>
      <c r="R317" s="112"/>
      <c r="S317" s="112"/>
      <c r="T317" s="112"/>
      <c r="U317" s="112"/>
      <c r="V317" s="112"/>
    </row>
    <row r="318">
      <c r="A318" s="158" t="s">
        <v>100</v>
      </c>
      <c r="B318" s="144"/>
      <c r="C318" s="145">
        <v>45599.0</v>
      </c>
      <c r="D318" s="146" t="str">
        <f>VLOOKUP(C318,A3:B$380,2,FALSE)</f>
        <v>#N/A</v>
      </c>
      <c r="E318" s="146">
        <f t="shared" si="3"/>
        <v>81</v>
      </c>
      <c r="F318" s="146">
        <f t="shared" si="6"/>
        <v>81</v>
      </c>
      <c r="G318" s="146">
        <f t="shared" ref="G318:H318" si="318">((AVERAGE(F312:F318))+(MEDIAN(F312:F318))+E318)/3</f>
        <v>81</v>
      </c>
      <c r="H318" s="146">
        <f t="shared" si="318"/>
        <v>81</v>
      </c>
      <c r="I318" s="120"/>
      <c r="J318" s="180"/>
      <c r="K318" s="181"/>
      <c r="L318" s="182"/>
      <c r="M318" s="112"/>
      <c r="N318" s="112"/>
      <c r="O318" s="112"/>
      <c r="P318" s="112"/>
      <c r="Q318" s="112"/>
      <c r="R318" s="112"/>
      <c r="S318" s="112"/>
      <c r="T318" s="112"/>
      <c r="U318" s="112"/>
      <c r="V318" s="112"/>
    </row>
    <row r="319">
      <c r="A319" s="153" t="s">
        <v>100</v>
      </c>
      <c r="B319" s="154"/>
      <c r="C319" s="130">
        <v>45600.0</v>
      </c>
      <c r="D319" s="131" t="str">
        <f>VLOOKUP(C319,A3:B$380,2,FALSE)</f>
        <v>#N/A</v>
      </c>
      <c r="E319" s="131">
        <f t="shared" si="3"/>
        <v>81</v>
      </c>
      <c r="F319" s="131">
        <f t="shared" si="6"/>
        <v>81</v>
      </c>
      <c r="G319" s="131">
        <f t="shared" ref="G319:H319" si="319">((AVERAGE(F313:F319))+(MEDIAN(F313:F319))+E319)/3</f>
        <v>81</v>
      </c>
      <c r="H319" s="131">
        <f t="shared" si="319"/>
        <v>81</v>
      </c>
      <c r="I319" s="120"/>
      <c r="J319" s="180"/>
      <c r="K319" s="181"/>
      <c r="L319" s="182"/>
      <c r="M319" s="112"/>
      <c r="N319" s="112"/>
      <c r="O319" s="112"/>
      <c r="P319" s="112"/>
      <c r="Q319" s="112"/>
      <c r="R319" s="112"/>
      <c r="S319" s="112"/>
      <c r="T319" s="112"/>
      <c r="U319" s="112"/>
      <c r="V319" s="112"/>
    </row>
    <row r="320">
      <c r="A320" s="158" t="s">
        <v>100</v>
      </c>
      <c r="B320" s="144"/>
      <c r="C320" s="145">
        <v>45601.0</v>
      </c>
      <c r="D320" s="146" t="str">
        <f>VLOOKUP(C320,A3:B$380,2,FALSE)</f>
        <v>#N/A</v>
      </c>
      <c r="E320" s="146">
        <f t="shared" si="3"/>
        <v>81</v>
      </c>
      <c r="F320" s="146">
        <f t="shared" si="6"/>
        <v>81</v>
      </c>
      <c r="G320" s="146">
        <f t="shared" ref="G320:H320" si="320">((AVERAGE(F314:F320))+(MEDIAN(F314:F320))+E320)/3</f>
        <v>81</v>
      </c>
      <c r="H320" s="146">
        <f t="shared" si="320"/>
        <v>81</v>
      </c>
      <c r="I320" s="120"/>
      <c r="J320" s="180"/>
      <c r="K320" s="181"/>
      <c r="L320" s="182"/>
      <c r="M320" s="112"/>
      <c r="N320" s="112"/>
      <c r="O320" s="112"/>
      <c r="P320" s="112"/>
      <c r="Q320" s="112"/>
      <c r="R320" s="112"/>
      <c r="S320" s="112"/>
      <c r="T320" s="112"/>
      <c r="U320" s="112"/>
      <c r="V320" s="112"/>
    </row>
    <row r="321">
      <c r="A321" s="153" t="s">
        <v>100</v>
      </c>
      <c r="B321" s="154"/>
      <c r="C321" s="130">
        <v>45602.0</v>
      </c>
      <c r="D321" s="131" t="str">
        <f>VLOOKUP(C321,A3:B$380,2,FALSE)</f>
        <v>#N/A</v>
      </c>
      <c r="E321" s="131">
        <f t="shared" si="3"/>
        <v>81</v>
      </c>
      <c r="F321" s="131">
        <f t="shared" si="6"/>
        <v>81</v>
      </c>
      <c r="G321" s="131">
        <f t="shared" ref="G321:H321" si="321">((AVERAGE(F315:F321))+(MEDIAN(F315:F321))+E321)/3</f>
        <v>81</v>
      </c>
      <c r="H321" s="131">
        <f t="shared" si="321"/>
        <v>81</v>
      </c>
      <c r="I321" s="120"/>
      <c r="J321" s="180"/>
      <c r="K321" s="181"/>
      <c r="L321" s="182"/>
      <c r="M321" s="112"/>
      <c r="N321" s="112"/>
      <c r="O321" s="112"/>
      <c r="P321" s="112"/>
      <c r="Q321" s="112"/>
      <c r="R321" s="112"/>
      <c r="S321" s="112"/>
      <c r="T321" s="112"/>
      <c r="U321" s="112"/>
      <c r="V321" s="112"/>
    </row>
    <row r="322">
      <c r="A322" s="158" t="s">
        <v>100</v>
      </c>
      <c r="B322" s="144"/>
      <c r="C322" s="145">
        <v>45603.0</v>
      </c>
      <c r="D322" s="146" t="str">
        <f>VLOOKUP(C322,A3:B$380,2,FALSE)</f>
        <v>#N/A</v>
      </c>
      <c r="E322" s="146">
        <f t="shared" si="3"/>
        <v>81</v>
      </c>
      <c r="F322" s="146">
        <f t="shared" si="6"/>
        <v>81</v>
      </c>
      <c r="G322" s="146">
        <f t="shared" ref="G322:H322" si="322">((AVERAGE(F316:F322))+(MEDIAN(F316:F322))+E322)/3</f>
        <v>81</v>
      </c>
      <c r="H322" s="146">
        <f t="shared" si="322"/>
        <v>81</v>
      </c>
      <c r="I322" s="120"/>
      <c r="J322" s="180"/>
      <c r="K322" s="181"/>
      <c r="L322" s="182"/>
      <c r="M322" s="112"/>
      <c r="N322" s="112"/>
      <c r="O322" s="112"/>
      <c r="P322" s="112"/>
      <c r="Q322" s="112"/>
      <c r="R322" s="112"/>
      <c r="S322" s="112"/>
      <c r="T322" s="112"/>
      <c r="U322" s="112"/>
      <c r="V322" s="112"/>
    </row>
    <row r="323">
      <c r="A323" s="153" t="s">
        <v>100</v>
      </c>
      <c r="B323" s="154"/>
      <c r="C323" s="130">
        <v>45604.0</v>
      </c>
      <c r="D323" s="131" t="str">
        <f>VLOOKUP(C323,A3:B$380,2,FALSE)</f>
        <v>#N/A</v>
      </c>
      <c r="E323" s="131">
        <f t="shared" si="3"/>
        <v>81</v>
      </c>
      <c r="F323" s="131">
        <f t="shared" si="6"/>
        <v>81</v>
      </c>
      <c r="G323" s="131">
        <f t="shared" ref="G323:H323" si="323">((AVERAGE(F317:F323))+(MEDIAN(F317:F323))+E323)/3</f>
        <v>81</v>
      </c>
      <c r="H323" s="131">
        <f t="shared" si="323"/>
        <v>81</v>
      </c>
      <c r="I323" s="120"/>
      <c r="J323" s="180"/>
      <c r="K323" s="181"/>
      <c r="L323" s="182"/>
      <c r="M323" s="112"/>
      <c r="N323" s="112"/>
      <c r="O323" s="112"/>
      <c r="P323" s="112"/>
      <c r="Q323" s="112"/>
      <c r="R323" s="112"/>
      <c r="S323" s="112"/>
      <c r="T323" s="112"/>
      <c r="U323" s="112"/>
      <c r="V323" s="112"/>
    </row>
    <row r="324">
      <c r="A324" s="158" t="s">
        <v>100</v>
      </c>
      <c r="B324" s="144"/>
      <c r="C324" s="173">
        <v>45605.0</v>
      </c>
      <c r="D324" s="174" t="str">
        <f>VLOOKUP(C324,A3:B$380,2,FALSE)</f>
        <v>#N/A</v>
      </c>
      <c r="E324" s="174">
        <f t="shared" si="3"/>
        <v>81</v>
      </c>
      <c r="F324" s="174">
        <f t="shared" si="6"/>
        <v>81</v>
      </c>
      <c r="G324" s="174">
        <f t="shared" ref="G324:H324" si="324">((AVERAGE(F318:F324))+(MEDIAN(F318:F324))+E324)/3</f>
        <v>81</v>
      </c>
      <c r="H324" s="174">
        <f t="shared" si="324"/>
        <v>81</v>
      </c>
      <c r="I324" s="120"/>
      <c r="J324" s="180"/>
      <c r="K324" s="181"/>
      <c r="L324" s="182"/>
      <c r="M324" s="112"/>
      <c r="N324" s="112"/>
      <c r="O324" s="112"/>
      <c r="P324" s="112"/>
      <c r="Q324" s="112"/>
      <c r="R324" s="112"/>
      <c r="S324" s="112"/>
      <c r="T324" s="112"/>
      <c r="U324" s="112"/>
      <c r="V324" s="112"/>
    </row>
    <row r="325">
      <c r="A325" s="153" t="s">
        <v>100</v>
      </c>
      <c r="B325" s="154"/>
      <c r="C325" s="130">
        <v>45606.0</v>
      </c>
      <c r="D325" s="131" t="str">
        <f>VLOOKUP(C325,A3:B$380,2,FALSE)</f>
        <v>#N/A</v>
      </c>
      <c r="E325" s="131">
        <f t="shared" si="3"/>
        <v>81</v>
      </c>
      <c r="F325" s="131">
        <f t="shared" si="6"/>
        <v>81</v>
      </c>
      <c r="G325" s="131">
        <f t="shared" ref="G325:H325" si="325">((AVERAGE(F319:F325))+(MEDIAN(F319:F325))+E325)/3</f>
        <v>81</v>
      </c>
      <c r="H325" s="131">
        <f t="shared" si="325"/>
        <v>81</v>
      </c>
      <c r="I325" s="120"/>
      <c r="J325" s="180"/>
      <c r="K325" s="181"/>
      <c r="L325" s="182"/>
      <c r="M325" s="112"/>
      <c r="N325" s="112"/>
      <c r="O325" s="112"/>
      <c r="P325" s="112"/>
      <c r="Q325" s="112"/>
      <c r="R325" s="112"/>
      <c r="S325" s="112"/>
      <c r="T325" s="112"/>
      <c r="U325" s="112"/>
      <c r="V325" s="112"/>
    </row>
    <row r="326">
      <c r="A326" s="158" t="s">
        <v>100</v>
      </c>
      <c r="B326" s="144"/>
      <c r="C326" s="145">
        <v>45607.0</v>
      </c>
      <c r="D326" s="146" t="str">
        <f>VLOOKUP(C326,A3:B$380,2,FALSE)</f>
        <v>#N/A</v>
      </c>
      <c r="E326" s="146">
        <f t="shared" si="3"/>
        <v>81</v>
      </c>
      <c r="F326" s="146">
        <f t="shared" si="6"/>
        <v>81</v>
      </c>
      <c r="G326" s="146">
        <f t="shared" ref="G326:H326" si="326">((AVERAGE(F320:F326))+(MEDIAN(F320:F326))+E326)/3</f>
        <v>81</v>
      </c>
      <c r="H326" s="146">
        <f t="shared" si="326"/>
        <v>81</v>
      </c>
      <c r="I326" s="120"/>
      <c r="J326" s="180"/>
      <c r="K326" s="181"/>
      <c r="L326" s="182"/>
      <c r="M326" s="112"/>
      <c r="N326" s="112"/>
      <c r="O326" s="112"/>
      <c r="P326" s="112"/>
      <c r="Q326" s="112"/>
      <c r="R326" s="112"/>
      <c r="S326" s="112"/>
      <c r="T326" s="112"/>
      <c r="U326" s="112"/>
      <c r="V326" s="112"/>
    </row>
    <row r="327">
      <c r="A327" s="153" t="s">
        <v>100</v>
      </c>
      <c r="B327" s="154"/>
      <c r="C327" s="130">
        <v>45608.0</v>
      </c>
      <c r="D327" s="131" t="str">
        <f>VLOOKUP(C327,A3:B$380,2,FALSE)</f>
        <v>#N/A</v>
      </c>
      <c r="E327" s="131">
        <f t="shared" si="3"/>
        <v>81</v>
      </c>
      <c r="F327" s="131">
        <f t="shared" si="6"/>
        <v>81</v>
      </c>
      <c r="G327" s="131">
        <f t="shared" ref="G327:H327" si="327">((AVERAGE(F321:F327))+(MEDIAN(F321:F327))+E327)/3</f>
        <v>81</v>
      </c>
      <c r="H327" s="131">
        <f t="shared" si="327"/>
        <v>81</v>
      </c>
      <c r="I327" s="120"/>
      <c r="J327" s="180"/>
      <c r="K327" s="181"/>
      <c r="L327" s="182"/>
      <c r="M327" s="112"/>
      <c r="N327" s="112"/>
      <c r="O327" s="112"/>
      <c r="P327" s="112"/>
      <c r="Q327" s="112"/>
      <c r="R327" s="112"/>
      <c r="S327" s="112"/>
      <c r="T327" s="112"/>
      <c r="U327" s="112"/>
      <c r="V327" s="112"/>
    </row>
    <row r="328">
      <c r="A328" s="158" t="s">
        <v>100</v>
      </c>
      <c r="B328" s="144"/>
      <c r="C328" s="145">
        <v>45609.0</v>
      </c>
      <c r="D328" s="146" t="str">
        <f>VLOOKUP(C328,A3:B$380,2,FALSE)</f>
        <v>#N/A</v>
      </c>
      <c r="E328" s="146">
        <f t="shared" si="3"/>
        <v>81</v>
      </c>
      <c r="F328" s="146">
        <f t="shared" si="6"/>
        <v>81</v>
      </c>
      <c r="G328" s="146">
        <f t="shared" ref="G328:H328" si="328">((AVERAGE(F322:F328))+(MEDIAN(F322:F328))+E328)/3</f>
        <v>81</v>
      </c>
      <c r="H328" s="146">
        <f t="shared" si="328"/>
        <v>81</v>
      </c>
      <c r="I328" s="120"/>
      <c r="J328" s="180"/>
      <c r="K328" s="181"/>
      <c r="L328" s="182"/>
      <c r="M328" s="112"/>
      <c r="N328" s="112"/>
      <c r="O328" s="112"/>
      <c r="P328" s="112"/>
      <c r="Q328" s="112"/>
      <c r="R328" s="112"/>
      <c r="S328" s="112"/>
      <c r="T328" s="112"/>
      <c r="U328" s="112"/>
      <c r="V328" s="112"/>
    </row>
    <row r="329">
      <c r="A329" s="153" t="s">
        <v>100</v>
      </c>
      <c r="B329" s="154"/>
      <c r="C329" s="130">
        <v>45610.0</v>
      </c>
      <c r="D329" s="131" t="str">
        <f>VLOOKUP(C329,A3:B$380,2,FALSE)</f>
        <v>#N/A</v>
      </c>
      <c r="E329" s="131">
        <f t="shared" si="3"/>
        <v>81</v>
      </c>
      <c r="F329" s="131">
        <f t="shared" si="6"/>
        <v>81</v>
      </c>
      <c r="G329" s="131">
        <f t="shared" ref="G329:H329" si="329">((AVERAGE(F323:F329))+(MEDIAN(F323:F329))+E329)/3</f>
        <v>81</v>
      </c>
      <c r="H329" s="131">
        <f t="shared" si="329"/>
        <v>81</v>
      </c>
      <c r="I329" s="120"/>
      <c r="J329" s="180"/>
      <c r="K329" s="181"/>
      <c r="L329" s="182"/>
      <c r="M329" s="112"/>
      <c r="N329" s="112"/>
      <c r="O329" s="112"/>
      <c r="P329" s="112"/>
      <c r="Q329" s="112"/>
      <c r="R329" s="112"/>
      <c r="S329" s="112"/>
      <c r="T329" s="112"/>
      <c r="U329" s="112"/>
      <c r="V329" s="112"/>
    </row>
    <row r="330">
      <c r="A330" s="158" t="s">
        <v>100</v>
      </c>
      <c r="B330" s="144"/>
      <c r="C330" s="145">
        <v>45611.0</v>
      </c>
      <c r="D330" s="146" t="str">
        <f>VLOOKUP(C330,A3:B$380,2,FALSE)</f>
        <v>#N/A</v>
      </c>
      <c r="E330" s="146">
        <f t="shared" si="3"/>
        <v>81</v>
      </c>
      <c r="F330" s="146">
        <f t="shared" si="6"/>
        <v>81</v>
      </c>
      <c r="G330" s="146">
        <f t="shared" ref="G330:H330" si="330">((AVERAGE(F324:F330))+(MEDIAN(F324:F330))+E330)/3</f>
        <v>81</v>
      </c>
      <c r="H330" s="146">
        <f t="shared" si="330"/>
        <v>81</v>
      </c>
      <c r="I330" s="120"/>
      <c r="J330" s="180"/>
      <c r="K330" s="181"/>
      <c r="L330" s="182"/>
      <c r="M330" s="112"/>
      <c r="N330" s="112"/>
      <c r="O330" s="112"/>
      <c r="P330" s="112"/>
      <c r="Q330" s="112"/>
      <c r="R330" s="112"/>
      <c r="S330" s="112"/>
      <c r="T330" s="112"/>
      <c r="U330" s="112"/>
      <c r="V330" s="112"/>
    </row>
    <row r="331">
      <c r="A331" s="153" t="s">
        <v>100</v>
      </c>
      <c r="B331" s="154"/>
      <c r="C331" s="168">
        <v>45612.0</v>
      </c>
      <c r="D331" s="169" t="str">
        <f>VLOOKUP(C331,A3:B$380,2,FALSE)</f>
        <v>#N/A</v>
      </c>
      <c r="E331" s="169">
        <f t="shared" si="3"/>
        <v>81</v>
      </c>
      <c r="F331" s="169">
        <f t="shared" si="6"/>
        <v>81</v>
      </c>
      <c r="G331" s="169">
        <f t="shared" ref="G331:H331" si="331">((AVERAGE(F325:F331))+(MEDIAN(F325:F331))+E331)/3</f>
        <v>81</v>
      </c>
      <c r="H331" s="169">
        <f t="shared" si="331"/>
        <v>81</v>
      </c>
      <c r="I331" s="120"/>
      <c r="J331" s="180"/>
      <c r="K331" s="181"/>
      <c r="L331" s="182"/>
      <c r="M331" s="112"/>
      <c r="N331" s="112"/>
      <c r="O331" s="112"/>
      <c r="P331" s="112"/>
      <c r="Q331" s="112"/>
      <c r="R331" s="112"/>
      <c r="S331" s="112"/>
      <c r="T331" s="112"/>
      <c r="U331" s="112"/>
      <c r="V331" s="112"/>
    </row>
    <row r="332">
      <c r="A332" s="158" t="s">
        <v>100</v>
      </c>
      <c r="B332" s="144"/>
      <c r="C332" s="145">
        <v>45613.0</v>
      </c>
      <c r="D332" s="146" t="str">
        <f>VLOOKUP(C332,A3:B$380,2,FALSE)</f>
        <v>#N/A</v>
      </c>
      <c r="E332" s="146">
        <f t="shared" si="3"/>
        <v>81</v>
      </c>
      <c r="F332" s="146">
        <f t="shared" si="6"/>
        <v>81</v>
      </c>
      <c r="G332" s="146">
        <f t="shared" ref="G332:H332" si="332">((AVERAGE(F326:F332))+(MEDIAN(F326:F332))+E332)/3</f>
        <v>81</v>
      </c>
      <c r="H332" s="146">
        <f t="shared" si="332"/>
        <v>81</v>
      </c>
      <c r="I332" s="120"/>
      <c r="J332" s="180"/>
      <c r="K332" s="181"/>
      <c r="L332" s="182"/>
      <c r="M332" s="112"/>
      <c r="N332" s="112"/>
      <c r="O332" s="112"/>
      <c r="P332" s="112"/>
      <c r="Q332" s="112"/>
      <c r="R332" s="112"/>
      <c r="S332" s="112"/>
      <c r="T332" s="112"/>
      <c r="U332" s="112"/>
      <c r="V332" s="112"/>
    </row>
    <row r="333">
      <c r="A333" s="153" t="s">
        <v>100</v>
      </c>
      <c r="B333" s="154"/>
      <c r="C333" s="130">
        <v>45614.0</v>
      </c>
      <c r="D333" s="131" t="str">
        <f>VLOOKUP(C333,A3:B$380,2,FALSE)</f>
        <v>#N/A</v>
      </c>
      <c r="E333" s="131">
        <f t="shared" si="3"/>
        <v>81</v>
      </c>
      <c r="F333" s="131">
        <f t="shared" si="6"/>
        <v>81</v>
      </c>
      <c r="G333" s="131">
        <f t="shared" ref="G333:H333" si="333">((AVERAGE(F327:F333))+(MEDIAN(F327:F333))+E333)/3</f>
        <v>81</v>
      </c>
      <c r="H333" s="131">
        <f t="shared" si="333"/>
        <v>81</v>
      </c>
      <c r="I333" s="120"/>
      <c r="J333" s="180"/>
      <c r="K333" s="181"/>
      <c r="L333" s="182"/>
      <c r="M333" s="112"/>
      <c r="N333" s="112"/>
      <c r="O333" s="112"/>
      <c r="P333" s="112"/>
      <c r="Q333" s="112"/>
      <c r="R333" s="112"/>
      <c r="S333" s="112"/>
      <c r="T333" s="112"/>
      <c r="U333" s="112"/>
      <c r="V333" s="112"/>
    </row>
    <row r="334">
      <c r="A334" s="158" t="s">
        <v>100</v>
      </c>
      <c r="B334" s="144"/>
      <c r="C334" s="145">
        <v>45615.0</v>
      </c>
      <c r="D334" s="146" t="str">
        <f>VLOOKUP(C334,A3:B$380,2,FALSE)</f>
        <v>#N/A</v>
      </c>
      <c r="E334" s="146">
        <f t="shared" si="3"/>
        <v>81</v>
      </c>
      <c r="F334" s="146">
        <f t="shared" si="6"/>
        <v>81</v>
      </c>
      <c r="G334" s="146">
        <f t="shared" ref="G334:H334" si="334">((AVERAGE(F328:F334))+(MEDIAN(F328:F334))+E334)/3</f>
        <v>81</v>
      </c>
      <c r="H334" s="146">
        <f t="shared" si="334"/>
        <v>81</v>
      </c>
      <c r="I334" s="120"/>
      <c r="J334" s="180"/>
      <c r="K334" s="181"/>
      <c r="L334" s="182"/>
      <c r="M334" s="112"/>
      <c r="N334" s="112"/>
      <c r="O334" s="112"/>
      <c r="P334" s="112"/>
      <c r="Q334" s="112"/>
      <c r="R334" s="112"/>
      <c r="S334" s="112"/>
      <c r="T334" s="112"/>
      <c r="U334" s="112"/>
      <c r="V334" s="112"/>
    </row>
    <row r="335">
      <c r="A335" s="153" t="s">
        <v>100</v>
      </c>
      <c r="B335" s="154"/>
      <c r="C335" s="130">
        <v>45616.0</v>
      </c>
      <c r="D335" s="131" t="str">
        <f>VLOOKUP(C335,A3:B$380,2,FALSE)</f>
        <v>#N/A</v>
      </c>
      <c r="E335" s="131">
        <f t="shared" si="3"/>
        <v>81</v>
      </c>
      <c r="F335" s="131">
        <f t="shared" si="6"/>
        <v>81</v>
      </c>
      <c r="G335" s="131">
        <f t="shared" ref="G335:H335" si="335">((AVERAGE(F329:F335))+(MEDIAN(F329:F335))+E335)/3</f>
        <v>81</v>
      </c>
      <c r="H335" s="131">
        <f t="shared" si="335"/>
        <v>81</v>
      </c>
      <c r="I335" s="120"/>
      <c r="J335" s="180"/>
      <c r="K335" s="181"/>
      <c r="L335" s="182"/>
      <c r="M335" s="112"/>
      <c r="N335" s="112"/>
      <c r="O335" s="112"/>
      <c r="P335" s="112"/>
      <c r="Q335" s="112"/>
      <c r="R335" s="112"/>
      <c r="S335" s="112"/>
      <c r="T335" s="112"/>
      <c r="U335" s="112"/>
      <c r="V335" s="112"/>
    </row>
    <row r="336">
      <c r="A336" s="158" t="s">
        <v>100</v>
      </c>
      <c r="B336" s="144"/>
      <c r="C336" s="145">
        <v>45617.0</v>
      </c>
      <c r="D336" s="146" t="str">
        <f>VLOOKUP(C336,A3:B$380,2,FALSE)</f>
        <v>#N/A</v>
      </c>
      <c r="E336" s="146">
        <f t="shared" si="3"/>
        <v>81</v>
      </c>
      <c r="F336" s="146">
        <f t="shared" si="6"/>
        <v>81</v>
      </c>
      <c r="G336" s="146">
        <f t="shared" ref="G336:H336" si="336">((AVERAGE(F330:F336))+(MEDIAN(F330:F336))+E336)/3</f>
        <v>81</v>
      </c>
      <c r="H336" s="146">
        <f t="shared" si="336"/>
        <v>81</v>
      </c>
      <c r="I336" s="120"/>
      <c r="J336" s="180"/>
      <c r="K336" s="181"/>
      <c r="L336" s="182"/>
      <c r="M336" s="112"/>
      <c r="N336" s="112"/>
      <c r="O336" s="112"/>
      <c r="P336" s="112"/>
      <c r="Q336" s="112"/>
      <c r="R336" s="112"/>
      <c r="S336" s="112"/>
      <c r="T336" s="112"/>
      <c r="U336" s="112"/>
      <c r="V336" s="112"/>
    </row>
    <row r="337">
      <c r="A337" s="153" t="s">
        <v>100</v>
      </c>
      <c r="B337" s="154"/>
      <c r="C337" s="130">
        <v>45618.0</v>
      </c>
      <c r="D337" s="131" t="str">
        <f>VLOOKUP(C337,A3:B$380,2,FALSE)</f>
        <v>#N/A</v>
      </c>
      <c r="E337" s="131">
        <f t="shared" si="3"/>
        <v>81</v>
      </c>
      <c r="F337" s="131">
        <f t="shared" si="6"/>
        <v>81</v>
      </c>
      <c r="G337" s="131">
        <f t="shared" ref="G337:H337" si="337">((AVERAGE(F331:F337))+(MEDIAN(F331:F337))+E337)/3</f>
        <v>81</v>
      </c>
      <c r="H337" s="131">
        <f t="shared" si="337"/>
        <v>81</v>
      </c>
      <c r="I337" s="120"/>
      <c r="J337" s="180"/>
      <c r="K337" s="181"/>
      <c r="L337" s="182"/>
      <c r="M337" s="112"/>
      <c r="N337" s="112"/>
      <c r="O337" s="112"/>
      <c r="P337" s="112"/>
      <c r="Q337" s="112"/>
      <c r="R337" s="112"/>
      <c r="S337" s="112"/>
      <c r="T337" s="112"/>
      <c r="U337" s="112"/>
      <c r="V337" s="112"/>
    </row>
    <row r="338">
      <c r="A338" s="158" t="s">
        <v>100</v>
      </c>
      <c r="B338" s="144"/>
      <c r="C338" s="173">
        <v>45619.0</v>
      </c>
      <c r="D338" s="174" t="str">
        <f>VLOOKUP(C338,A3:B$380,2,FALSE)</f>
        <v>#N/A</v>
      </c>
      <c r="E338" s="174">
        <f t="shared" si="3"/>
        <v>81</v>
      </c>
      <c r="F338" s="174">
        <f t="shared" si="6"/>
        <v>81</v>
      </c>
      <c r="G338" s="174">
        <f t="shared" ref="G338:H338" si="338">((AVERAGE(F332:F338))+(MEDIAN(F332:F338))+E338)/3</f>
        <v>81</v>
      </c>
      <c r="H338" s="174">
        <f t="shared" si="338"/>
        <v>81</v>
      </c>
      <c r="I338" s="120"/>
      <c r="J338" s="180"/>
      <c r="K338" s="181"/>
      <c r="L338" s="182"/>
      <c r="M338" s="112"/>
      <c r="N338" s="112"/>
      <c r="O338" s="112"/>
      <c r="P338" s="112"/>
      <c r="Q338" s="112"/>
      <c r="R338" s="112"/>
      <c r="S338" s="112"/>
      <c r="T338" s="112"/>
      <c r="U338" s="112"/>
      <c r="V338" s="112"/>
    </row>
    <row r="339">
      <c r="A339" s="153" t="s">
        <v>100</v>
      </c>
      <c r="B339" s="154"/>
      <c r="C339" s="130">
        <v>45620.0</v>
      </c>
      <c r="D339" s="131" t="str">
        <f>VLOOKUP(C339,A3:B$380,2,FALSE)</f>
        <v>#N/A</v>
      </c>
      <c r="E339" s="131">
        <f t="shared" si="3"/>
        <v>81</v>
      </c>
      <c r="F339" s="131">
        <f t="shared" si="6"/>
        <v>81</v>
      </c>
      <c r="G339" s="131">
        <f t="shared" ref="G339:H339" si="339">((AVERAGE(F333:F339))+(MEDIAN(F333:F339))+E339)/3</f>
        <v>81</v>
      </c>
      <c r="H339" s="131">
        <f t="shared" si="339"/>
        <v>81</v>
      </c>
      <c r="I339" s="120"/>
      <c r="J339" s="180"/>
      <c r="K339" s="181"/>
      <c r="L339" s="182"/>
      <c r="M339" s="112"/>
      <c r="N339" s="112"/>
      <c r="O339" s="112"/>
      <c r="P339" s="112"/>
      <c r="Q339" s="112"/>
      <c r="R339" s="112"/>
      <c r="S339" s="112"/>
      <c r="T339" s="112"/>
      <c r="U339" s="112"/>
      <c r="V339" s="112"/>
    </row>
    <row r="340">
      <c r="A340" s="158" t="s">
        <v>100</v>
      </c>
      <c r="B340" s="144"/>
      <c r="C340" s="145">
        <v>45621.0</v>
      </c>
      <c r="D340" s="146" t="str">
        <f>VLOOKUP(C340,A3:B$380,2,FALSE)</f>
        <v>#N/A</v>
      </c>
      <c r="E340" s="146">
        <f t="shared" si="3"/>
        <v>81</v>
      </c>
      <c r="F340" s="146">
        <f t="shared" si="6"/>
        <v>81</v>
      </c>
      <c r="G340" s="146">
        <f t="shared" ref="G340:H340" si="340">((AVERAGE(F334:F340))+(MEDIAN(F334:F340))+E340)/3</f>
        <v>81</v>
      </c>
      <c r="H340" s="146">
        <f t="shared" si="340"/>
        <v>81</v>
      </c>
      <c r="I340" s="120"/>
      <c r="J340" s="180"/>
      <c r="K340" s="181"/>
      <c r="L340" s="182"/>
      <c r="M340" s="112"/>
      <c r="N340" s="112"/>
      <c r="O340" s="112"/>
      <c r="P340" s="112"/>
      <c r="Q340" s="112"/>
      <c r="R340" s="112"/>
      <c r="S340" s="112"/>
      <c r="T340" s="112"/>
      <c r="U340" s="112"/>
      <c r="V340" s="112"/>
    </row>
    <row r="341">
      <c r="A341" s="153" t="s">
        <v>100</v>
      </c>
      <c r="B341" s="154"/>
      <c r="C341" s="130">
        <v>45622.0</v>
      </c>
      <c r="D341" s="131" t="str">
        <f>VLOOKUP(C341,A3:B$380,2,FALSE)</f>
        <v>#N/A</v>
      </c>
      <c r="E341" s="131">
        <f t="shared" si="3"/>
        <v>81</v>
      </c>
      <c r="F341" s="131">
        <f t="shared" si="6"/>
        <v>81</v>
      </c>
      <c r="G341" s="131">
        <f t="shared" ref="G341:H341" si="341">((AVERAGE(F335:F341))+(MEDIAN(F335:F341))+E341)/3</f>
        <v>81</v>
      </c>
      <c r="H341" s="131">
        <f t="shared" si="341"/>
        <v>81</v>
      </c>
      <c r="I341" s="120"/>
      <c r="J341" s="180"/>
      <c r="K341" s="181"/>
      <c r="L341" s="182"/>
      <c r="M341" s="112"/>
      <c r="N341" s="112"/>
      <c r="O341" s="112"/>
      <c r="P341" s="112"/>
      <c r="Q341" s="112"/>
      <c r="R341" s="112"/>
      <c r="S341" s="112"/>
      <c r="T341" s="112"/>
      <c r="U341" s="112"/>
      <c r="V341" s="112"/>
    </row>
    <row r="342">
      <c r="A342" s="158" t="s">
        <v>100</v>
      </c>
      <c r="B342" s="144"/>
      <c r="C342" s="145">
        <v>45623.0</v>
      </c>
      <c r="D342" s="146" t="str">
        <f>VLOOKUP(C342,A3:B$380,2,FALSE)</f>
        <v>#N/A</v>
      </c>
      <c r="E342" s="146">
        <f t="shared" si="3"/>
        <v>81</v>
      </c>
      <c r="F342" s="146">
        <f t="shared" si="6"/>
        <v>81</v>
      </c>
      <c r="G342" s="146">
        <f t="shared" ref="G342:H342" si="342">((AVERAGE(F336:F342))+(MEDIAN(F336:F342))+E342)/3</f>
        <v>81</v>
      </c>
      <c r="H342" s="146">
        <f t="shared" si="342"/>
        <v>81</v>
      </c>
      <c r="I342" s="120"/>
      <c r="J342" s="180"/>
      <c r="K342" s="181"/>
      <c r="L342" s="182"/>
      <c r="M342" s="112"/>
      <c r="N342" s="112"/>
      <c r="O342" s="112"/>
      <c r="P342" s="112"/>
      <c r="Q342" s="112"/>
      <c r="R342" s="112"/>
      <c r="S342" s="112"/>
      <c r="T342" s="112"/>
      <c r="U342" s="112"/>
      <c r="V342" s="112"/>
    </row>
    <row r="343">
      <c r="A343" s="153" t="s">
        <v>100</v>
      </c>
      <c r="B343" s="154"/>
      <c r="C343" s="130">
        <v>45624.0</v>
      </c>
      <c r="D343" s="131" t="str">
        <f>VLOOKUP(C343,A3:B$380,2,FALSE)</f>
        <v>#N/A</v>
      </c>
      <c r="E343" s="131">
        <f t="shared" si="3"/>
        <v>81</v>
      </c>
      <c r="F343" s="131">
        <f t="shared" si="6"/>
        <v>81</v>
      </c>
      <c r="G343" s="131">
        <f t="shared" ref="G343:H343" si="343">((AVERAGE(F337:F343))+(MEDIAN(F337:F343))+E343)/3</f>
        <v>81</v>
      </c>
      <c r="H343" s="131">
        <f t="shared" si="343"/>
        <v>81</v>
      </c>
      <c r="I343" s="120"/>
      <c r="J343" s="180"/>
      <c r="K343" s="181"/>
      <c r="L343" s="182"/>
      <c r="M343" s="112"/>
      <c r="N343" s="112"/>
      <c r="O343" s="112"/>
      <c r="P343" s="112"/>
      <c r="Q343" s="112"/>
      <c r="R343" s="112"/>
      <c r="S343" s="112"/>
      <c r="T343" s="112"/>
      <c r="U343" s="112"/>
      <c r="V343" s="112"/>
    </row>
    <row r="344">
      <c r="A344" s="158" t="s">
        <v>100</v>
      </c>
      <c r="B344" s="144"/>
      <c r="C344" s="145">
        <v>45625.0</v>
      </c>
      <c r="D344" s="146" t="str">
        <f>VLOOKUP(C344,A3:B$380,2,FALSE)</f>
        <v>#N/A</v>
      </c>
      <c r="E344" s="146">
        <f t="shared" si="3"/>
        <v>81</v>
      </c>
      <c r="F344" s="146">
        <f t="shared" si="6"/>
        <v>81</v>
      </c>
      <c r="G344" s="146">
        <f t="shared" ref="G344:H344" si="344">((AVERAGE(F338:F344))+(MEDIAN(F338:F344))+E344)/3</f>
        <v>81</v>
      </c>
      <c r="H344" s="146">
        <f t="shared" si="344"/>
        <v>81</v>
      </c>
      <c r="I344" s="120"/>
      <c r="J344" s="180"/>
      <c r="K344" s="181"/>
      <c r="L344" s="182"/>
      <c r="M344" s="112"/>
      <c r="N344" s="112"/>
      <c r="O344" s="112"/>
      <c r="P344" s="112"/>
      <c r="Q344" s="112"/>
      <c r="R344" s="112"/>
      <c r="S344" s="112"/>
      <c r="T344" s="112"/>
      <c r="U344" s="112"/>
      <c r="V344" s="112"/>
    </row>
    <row r="345">
      <c r="A345" s="153" t="s">
        <v>100</v>
      </c>
      <c r="B345" s="154"/>
      <c r="C345" s="168">
        <v>45626.0</v>
      </c>
      <c r="D345" s="169" t="str">
        <f>VLOOKUP(C345,A3:B$380,2,FALSE)</f>
        <v>#N/A</v>
      </c>
      <c r="E345" s="169">
        <f t="shared" si="3"/>
        <v>81</v>
      </c>
      <c r="F345" s="169">
        <f t="shared" si="6"/>
        <v>81</v>
      </c>
      <c r="G345" s="169">
        <f t="shared" ref="G345:H345" si="345">((AVERAGE(F339:F345))+(MEDIAN(F339:F345))+E345)/3</f>
        <v>81</v>
      </c>
      <c r="H345" s="169">
        <f t="shared" si="345"/>
        <v>81</v>
      </c>
      <c r="I345" s="120"/>
      <c r="J345" s="180"/>
      <c r="K345" s="181"/>
      <c r="L345" s="182"/>
      <c r="M345" s="112"/>
      <c r="N345" s="112"/>
      <c r="O345" s="112"/>
      <c r="P345" s="112"/>
      <c r="Q345" s="112"/>
      <c r="R345" s="112"/>
      <c r="S345" s="112"/>
      <c r="T345" s="112"/>
      <c r="U345" s="112"/>
      <c r="V345" s="112"/>
    </row>
    <row r="346">
      <c r="A346" s="158" t="s">
        <v>100</v>
      </c>
      <c r="B346" s="144"/>
      <c r="C346" s="145">
        <v>45627.0</v>
      </c>
      <c r="D346" s="146" t="str">
        <f>VLOOKUP(C346,A3:B$380,2,FALSE)</f>
        <v>#N/A</v>
      </c>
      <c r="E346" s="146">
        <f t="shared" si="3"/>
        <v>81</v>
      </c>
      <c r="F346" s="146">
        <f t="shared" si="6"/>
        <v>81</v>
      </c>
      <c r="G346" s="146">
        <f t="shared" ref="G346:H346" si="346">((AVERAGE(F340:F346))+(MEDIAN(F340:F346))+E346)/3</f>
        <v>81</v>
      </c>
      <c r="H346" s="146">
        <f t="shared" si="346"/>
        <v>81</v>
      </c>
      <c r="I346" s="120"/>
      <c r="J346" s="180"/>
      <c r="K346" s="181"/>
      <c r="L346" s="182"/>
      <c r="M346" s="112"/>
      <c r="N346" s="112"/>
      <c r="O346" s="112"/>
      <c r="P346" s="112"/>
      <c r="Q346" s="112"/>
      <c r="R346" s="112"/>
      <c r="S346" s="112"/>
      <c r="T346" s="112"/>
      <c r="U346" s="112"/>
      <c r="V346" s="112"/>
    </row>
    <row r="347">
      <c r="A347" s="153" t="s">
        <v>100</v>
      </c>
      <c r="B347" s="154"/>
      <c r="C347" s="130">
        <v>45628.0</v>
      </c>
      <c r="D347" s="131" t="str">
        <f>VLOOKUP(C347,A3:B$380,2,FALSE)</f>
        <v>#N/A</v>
      </c>
      <c r="E347" s="131">
        <f t="shared" si="3"/>
        <v>81</v>
      </c>
      <c r="F347" s="131">
        <f t="shared" si="6"/>
        <v>81</v>
      </c>
      <c r="G347" s="131">
        <f t="shared" ref="G347:H347" si="347">((AVERAGE(F341:F347))+(MEDIAN(F341:F347))+E347)/3</f>
        <v>81</v>
      </c>
      <c r="H347" s="131">
        <f t="shared" si="347"/>
        <v>81</v>
      </c>
      <c r="I347" s="120"/>
      <c r="J347" s="180"/>
      <c r="K347" s="181"/>
      <c r="L347" s="182"/>
      <c r="M347" s="112"/>
      <c r="N347" s="112"/>
      <c r="O347" s="112"/>
      <c r="P347" s="112"/>
      <c r="Q347" s="112"/>
      <c r="R347" s="112"/>
      <c r="S347" s="112"/>
      <c r="T347" s="112"/>
      <c r="U347" s="112"/>
      <c r="V347" s="112"/>
    </row>
    <row r="348">
      <c r="A348" s="158" t="s">
        <v>100</v>
      </c>
      <c r="B348" s="144"/>
      <c r="C348" s="145">
        <v>45629.0</v>
      </c>
      <c r="D348" s="146" t="str">
        <f>VLOOKUP(C348,A3:B$380,2,FALSE)</f>
        <v>#N/A</v>
      </c>
      <c r="E348" s="146">
        <f t="shared" si="3"/>
        <v>81</v>
      </c>
      <c r="F348" s="146">
        <f t="shared" si="6"/>
        <v>81</v>
      </c>
      <c r="G348" s="146">
        <f t="shared" ref="G348:H348" si="348">((AVERAGE(F342:F348))+(MEDIAN(F342:F348))+E348)/3</f>
        <v>81</v>
      </c>
      <c r="H348" s="146">
        <f t="shared" si="348"/>
        <v>81</v>
      </c>
      <c r="I348" s="120"/>
      <c r="J348" s="180"/>
      <c r="K348" s="181"/>
      <c r="L348" s="182"/>
      <c r="M348" s="112"/>
      <c r="N348" s="112"/>
      <c r="O348" s="112"/>
      <c r="P348" s="112"/>
      <c r="Q348" s="112"/>
      <c r="R348" s="112"/>
      <c r="S348" s="112"/>
      <c r="T348" s="112"/>
      <c r="U348" s="112"/>
      <c r="V348" s="112"/>
    </row>
    <row r="349">
      <c r="A349" s="153" t="s">
        <v>100</v>
      </c>
      <c r="B349" s="154"/>
      <c r="C349" s="130">
        <v>45630.0</v>
      </c>
      <c r="D349" s="131" t="str">
        <f>VLOOKUP(C349,A3:B$380,2,FALSE)</f>
        <v>#N/A</v>
      </c>
      <c r="E349" s="131">
        <f t="shared" si="3"/>
        <v>81</v>
      </c>
      <c r="F349" s="131">
        <f t="shared" si="6"/>
        <v>81</v>
      </c>
      <c r="G349" s="131">
        <f t="shared" ref="G349:H349" si="349">((AVERAGE(F343:F349))+(MEDIAN(F343:F349))+E349)/3</f>
        <v>81</v>
      </c>
      <c r="H349" s="131">
        <f t="shared" si="349"/>
        <v>81</v>
      </c>
      <c r="I349" s="120"/>
      <c r="J349" s="180"/>
      <c r="K349" s="181"/>
      <c r="L349" s="182"/>
      <c r="M349" s="112"/>
      <c r="N349" s="112"/>
      <c r="O349" s="112"/>
      <c r="P349" s="112"/>
      <c r="Q349" s="112"/>
      <c r="R349" s="112"/>
      <c r="S349" s="112"/>
      <c r="T349" s="112"/>
      <c r="U349" s="112"/>
      <c r="V349" s="112"/>
    </row>
    <row r="350">
      <c r="A350" s="158" t="s">
        <v>100</v>
      </c>
      <c r="B350" s="144"/>
      <c r="C350" s="145">
        <v>45631.0</v>
      </c>
      <c r="D350" s="146" t="str">
        <f>VLOOKUP(C350,A3:B$380,2,FALSE)</f>
        <v>#N/A</v>
      </c>
      <c r="E350" s="146">
        <f t="shared" si="3"/>
        <v>81</v>
      </c>
      <c r="F350" s="146">
        <f t="shared" si="6"/>
        <v>81</v>
      </c>
      <c r="G350" s="146">
        <f t="shared" ref="G350:H350" si="350">((AVERAGE(F344:F350))+(MEDIAN(F344:F350))+E350)/3</f>
        <v>81</v>
      </c>
      <c r="H350" s="146">
        <f t="shared" si="350"/>
        <v>81</v>
      </c>
      <c r="I350" s="120"/>
      <c r="J350" s="180"/>
      <c r="K350" s="181"/>
      <c r="L350" s="182"/>
      <c r="M350" s="112"/>
      <c r="N350" s="112"/>
      <c r="O350" s="112"/>
      <c r="P350" s="112"/>
      <c r="Q350" s="112"/>
      <c r="R350" s="112"/>
      <c r="S350" s="112"/>
      <c r="T350" s="112"/>
      <c r="U350" s="112"/>
      <c r="V350" s="112"/>
    </row>
    <row r="351">
      <c r="A351" s="153" t="s">
        <v>100</v>
      </c>
      <c r="B351" s="154"/>
      <c r="C351" s="130">
        <v>45632.0</v>
      </c>
      <c r="D351" s="131" t="str">
        <f>VLOOKUP(C351,A3:B$380,2,FALSE)</f>
        <v>#N/A</v>
      </c>
      <c r="E351" s="131">
        <f t="shared" si="3"/>
        <v>81</v>
      </c>
      <c r="F351" s="131">
        <f t="shared" si="6"/>
        <v>81</v>
      </c>
      <c r="G351" s="131">
        <f t="shared" ref="G351:H351" si="351">((AVERAGE(F345:F351))+(MEDIAN(F345:F351))+E351)/3</f>
        <v>81</v>
      </c>
      <c r="H351" s="131">
        <f t="shared" si="351"/>
        <v>81</v>
      </c>
      <c r="I351" s="120"/>
      <c r="J351" s="180"/>
      <c r="K351" s="181"/>
      <c r="L351" s="182"/>
      <c r="M351" s="112"/>
      <c r="N351" s="112"/>
      <c r="O351" s="112"/>
      <c r="P351" s="112"/>
      <c r="Q351" s="112"/>
      <c r="R351" s="112"/>
      <c r="S351" s="112"/>
      <c r="T351" s="112"/>
      <c r="U351" s="112"/>
      <c r="V351" s="112"/>
    </row>
    <row r="352">
      <c r="A352" s="158" t="s">
        <v>100</v>
      </c>
      <c r="B352" s="144"/>
      <c r="C352" s="173">
        <v>45633.0</v>
      </c>
      <c r="D352" s="174" t="str">
        <f>VLOOKUP(C352,A3:B$380,2,FALSE)</f>
        <v>#N/A</v>
      </c>
      <c r="E352" s="174">
        <f t="shared" si="3"/>
        <v>81</v>
      </c>
      <c r="F352" s="174">
        <f t="shared" si="6"/>
        <v>81</v>
      </c>
      <c r="G352" s="174">
        <f t="shared" ref="G352:H352" si="352">((AVERAGE(F346:F352))+(MEDIAN(F346:F352))+E352)/3</f>
        <v>81</v>
      </c>
      <c r="H352" s="174">
        <f t="shared" si="352"/>
        <v>81</v>
      </c>
      <c r="I352" s="120"/>
      <c r="J352" s="180"/>
      <c r="K352" s="181"/>
      <c r="L352" s="182"/>
      <c r="M352" s="112"/>
      <c r="N352" s="112"/>
      <c r="O352" s="112"/>
      <c r="P352" s="112"/>
      <c r="Q352" s="112"/>
      <c r="R352" s="112"/>
      <c r="S352" s="112"/>
      <c r="T352" s="112"/>
      <c r="U352" s="112"/>
      <c r="V352" s="112"/>
    </row>
    <row r="353">
      <c r="A353" s="153" t="s">
        <v>100</v>
      </c>
      <c r="B353" s="154"/>
      <c r="C353" s="130">
        <v>45634.0</v>
      </c>
      <c r="D353" s="131" t="str">
        <f>VLOOKUP(C353,A3:B$380,2,FALSE)</f>
        <v>#N/A</v>
      </c>
      <c r="E353" s="131">
        <f t="shared" si="3"/>
        <v>81</v>
      </c>
      <c r="F353" s="131">
        <f t="shared" si="6"/>
        <v>81</v>
      </c>
      <c r="G353" s="131">
        <f t="shared" ref="G353:H353" si="353">((AVERAGE(F347:F353))+(MEDIAN(F347:F353))+E353)/3</f>
        <v>81</v>
      </c>
      <c r="H353" s="131">
        <f t="shared" si="353"/>
        <v>81</v>
      </c>
      <c r="I353" s="120"/>
      <c r="J353" s="180"/>
      <c r="K353" s="181"/>
      <c r="L353" s="182"/>
      <c r="M353" s="112"/>
      <c r="N353" s="112"/>
      <c r="O353" s="112"/>
      <c r="P353" s="112"/>
      <c r="Q353" s="112"/>
      <c r="R353" s="112"/>
      <c r="S353" s="112"/>
      <c r="T353" s="112"/>
      <c r="U353" s="112"/>
      <c r="V353" s="112"/>
    </row>
    <row r="354">
      <c r="A354" s="158" t="s">
        <v>100</v>
      </c>
      <c r="B354" s="144"/>
      <c r="C354" s="145">
        <v>45635.0</v>
      </c>
      <c r="D354" s="146" t="str">
        <f>VLOOKUP(C354,A3:B$380,2,FALSE)</f>
        <v>#N/A</v>
      </c>
      <c r="E354" s="146">
        <f t="shared" si="3"/>
        <v>81</v>
      </c>
      <c r="F354" s="146">
        <f t="shared" si="6"/>
        <v>81</v>
      </c>
      <c r="G354" s="146">
        <f t="shared" ref="G354:H354" si="354">((AVERAGE(F348:F354))+(MEDIAN(F348:F354))+E354)/3</f>
        <v>81</v>
      </c>
      <c r="H354" s="146">
        <f t="shared" si="354"/>
        <v>81</v>
      </c>
      <c r="I354" s="120"/>
      <c r="J354" s="180"/>
      <c r="K354" s="181"/>
      <c r="L354" s="182"/>
      <c r="M354" s="112"/>
      <c r="N354" s="112"/>
      <c r="O354" s="112"/>
      <c r="P354" s="112"/>
      <c r="Q354" s="112"/>
      <c r="R354" s="112"/>
      <c r="S354" s="112"/>
      <c r="T354" s="112"/>
      <c r="U354" s="112"/>
      <c r="V354" s="112"/>
    </row>
    <row r="355">
      <c r="A355" s="153" t="s">
        <v>100</v>
      </c>
      <c r="B355" s="154"/>
      <c r="C355" s="130">
        <v>45636.0</v>
      </c>
      <c r="D355" s="131" t="str">
        <f>VLOOKUP(C355,A3:B$380,2,FALSE)</f>
        <v>#N/A</v>
      </c>
      <c r="E355" s="131">
        <f t="shared" si="3"/>
        <v>81</v>
      </c>
      <c r="F355" s="131">
        <f t="shared" si="6"/>
        <v>81</v>
      </c>
      <c r="G355" s="131">
        <f t="shared" ref="G355:H355" si="355">((AVERAGE(F349:F355))+(MEDIAN(F349:F355))+E355)/3</f>
        <v>81</v>
      </c>
      <c r="H355" s="131">
        <f t="shared" si="355"/>
        <v>81</v>
      </c>
      <c r="I355" s="120"/>
      <c r="J355" s="180"/>
      <c r="K355" s="181"/>
      <c r="L355" s="182"/>
      <c r="M355" s="112"/>
      <c r="N355" s="112"/>
      <c r="O355" s="112"/>
      <c r="P355" s="112"/>
      <c r="Q355" s="112"/>
      <c r="R355" s="112"/>
      <c r="S355" s="112"/>
      <c r="T355" s="112"/>
      <c r="U355" s="112"/>
      <c r="V355" s="112"/>
    </row>
    <row r="356">
      <c r="A356" s="158" t="s">
        <v>100</v>
      </c>
      <c r="B356" s="144"/>
      <c r="C356" s="145">
        <v>45637.0</v>
      </c>
      <c r="D356" s="146" t="str">
        <f>VLOOKUP(C356,A3:B$380,2,FALSE)</f>
        <v>#N/A</v>
      </c>
      <c r="E356" s="146">
        <f t="shared" si="3"/>
        <v>81</v>
      </c>
      <c r="F356" s="146">
        <f t="shared" si="6"/>
        <v>81</v>
      </c>
      <c r="G356" s="146">
        <f t="shared" ref="G356:H356" si="356">((AVERAGE(F350:F356))+(MEDIAN(F350:F356))+E356)/3</f>
        <v>81</v>
      </c>
      <c r="H356" s="146">
        <f t="shared" si="356"/>
        <v>81</v>
      </c>
      <c r="I356" s="120"/>
      <c r="J356" s="180"/>
      <c r="K356" s="181"/>
      <c r="L356" s="182"/>
      <c r="M356" s="112"/>
      <c r="N356" s="112"/>
      <c r="O356" s="112"/>
      <c r="P356" s="112"/>
      <c r="Q356" s="112"/>
      <c r="R356" s="112"/>
      <c r="S356" s="112"/>
      <c r="T356" s="112"/>
      <c r="U356" s="112"/>
      <c r="V356" s="112"/>
    </row>
    <row r="357">
      <c r="A357" s="153" t="s">
        <v>100</v>
      </c>
      <c r="B357" s="154"/>
      <c r="C357" s="130">
        <v>45638.0</v>
      </c>
      <c r="D357" s="131" t="str">
        <f>VLOOKUP(C357,A3:B$380,2,FALSE)</f>
        <v>#N/A</v>
      </c>
      <c r="E357" s="131">
        <f t="shared" si="3"/>
        <v>81</v>
      </c>
      <c r="F357" s="131">
        <f t="shared" si="6"/>
        <v>81</v>
      </c>
      <c r="G357" s="131">
        <f t="shared" ref="G357:H357" si="357">((AVERAGE(F351:F357))+(MEDIAN(F351:F357))+E357)/3</f>
        <v>81</v>
      </c>
      <c r="H357" s="131">
        <f t="shared" si="357"/>
        <v>81</v>
      </c>
      <c r="I357" s="120"/>
      <c r="J357" s="180"/>
      <c r="K357" s="181"/>
      <c r="L357" s="182"/>
      <c r="M357" s="112"/>
      <c r="N357" s="112"/>
      <c r="O357" s="112"/>
      <c r="P357" s="112"/>
      <c r="Q357" s="112"/>
      <c r="R357" s="112"/>
      <c r="S357" s="112"/>
      <c r="T357" s="112"/>
      <c r="U357" s="112"/>
      <c r="V357" s="112"/>
    </row>
    <row r="358">
      <c r="A358" s="158" t="s">
        <v>100</v>
      </c>
      <c r="B358" s="144"/>
      <c r="C358" s="145">
        <v>45639.0</v>
      </c>
      <c r="D358" s="146" t="str">
        <f>VLOOKUP(C358,A3:B$380,2,FALSE)</f>
        <v>#N/A</v>
      </c>
      <c r="E358" s="146">
        <f t="shared" si="3"/>
        <v>81</v>
      </c>
      <c r="F358" s="146">
        <f t="shared" si="6"/>
        <v>81</v>
      </c>
      <c r="G358" s="146">
        <f t="shared" ref="G358:H358" si="358">((AVERAGE(F352:F358))+(MEDIAN(F352:F358))+E358)/3</f>
        <v>81</v>
      </c>
      <c r="H358" s="146">
        <f t="shared" si="358"/>
        <v>81</v>
      </c>
      <c r="I358" s="120"/>
      <c r="J358" s="180"/>
      <c r="K358" s="181"/>
      <c r="L358" s="182"/>
      <c r="M358" s="112"/>
      <c r="N358" s="112"/>
      <c r="O358" s="112"/>
      <c r="P358" s="112"/>
      <c r="Q358" s="112"/>
      <c r="R358" s="112"/>
      <c r="S358" s="112"/>
      <c r="T358" s="112"/>
      <c r="U358" s="112"/>
      <c r="V358" s="112"/>
    </row>
    <row r="359">
      <c r="A359" s="153" t="s">
        <v>100</v>
      </c>
      <c r="B359" s="154"/>
      <c r="C359" s="168">
        <v>45640.0</v>
      </c>
      <c r="D359" s="169" t="str">
        <f>VLOOKUP(C359,A3:B$380,2,FALSE)</f>
        <v>#N/A</v>
      </c>
      <c r="E359" s="169">
        <f t="shared" si="3"/>
        <v>81</v>
      </c>
      <c r="F359" s="169">
        <f t="shared" si="6"/>
        <v>81</v>
      </c>
      <c r="G359" s="169">
        <f t="shared" ref="G359:H359" si="359">((AVERAGE(F353:F359))+(MEDIAN(F353:F359))+E359)/3</f>
        <v>81</v>
      </c>
      <c r="H359" s="169">
        <f t="shared" si="359"/>
        <v>81</v>
      </c>
      <c r="I359" s="120"/>
      <c r="J359" s="180"/>
      <c r="K359" s="181"/>
      <c r="L359" s="182"/>
      <c r="M359" s="112"/>
      <c r="N359" s="112"/>
      <c r="O359" s="112"/>
      <c r="P359" s="112"/>
      <c r="Q359" s="112"/>
      <c r="R359" s="112"/>
      <c r="S359" s="112"/>
      <c r="T359" s="112"/>
      <c r="U359" s="112"/>
      <c r="V359" s="112"/>
    </row>
    <row r="360">
      <c r="A360" s="158" t="s">
        <v>100</v>
      </c>
      <c r="B360" s="144"/>
      <c r="C360" s="145">
        <v>45641.0</v>
      </c>
      <c r="D360" s="146" t="str">
        <f>VLOOKUP(C360,A3:B$380,2,FALSE)</f>
        <v>#N/A</v>
      </c>
      <c r="E360" s="146">
        <f t="shared" si="3"/>
        <v>81</v>
      </c>
      <c r="F360" s="146">
        <f t="shared" si="6"/>
        <v>81</v>
      </c>
      <c r="G360" s="146">
        <f t="shared" ref="G360:H360" si="360">((AVERAGE(F354:F360))+(MEDIAN(F354:F360))+E360)/3</f>
        <v>81</v>
      </c>
      <c r="H360" s="146">
        <f t="shared" si="360"/>
        <v>81</v>
      </c>
      <c r="I360" s="120"/>
      <c r="J360" s="180"/>
      <c r="K360" s="181"/>
      <c r="L360" s="182"/>
      <c r="M360" s="112"/>
      <c r="N360" s="112"/>
      <c r="O360" s="112"/>
      <c r="P360" s="112"/>
      <c r="Q360" s="112"/>
      <c r="R360" s="112"/>
      <c r="S360" s="112"/>
      <c r="T360" s="112"/>
      <c r="U360" s="112"/>
      <c r="V360" s="112"/>
    </row>
    <row r="361">
      <c r="A361" s="153" t="s">
        <v>100</v>
      </c>
      <c r="B361" s="154"/>
      <c r="C361" s="130">
        <v>45642.0</v>
      </c>
      <c r="D361" s="131" t="str">
        <f>VLOOKUP(C361,A3:B$380,2,FALSE)</f>
        <v>#N/A</v>
      </c>
      <c r="E361" s="131">
        <f t="shared" si="3"/>
        <v>81</v>
      </c>
      <c r="F361" s="131">
        <f t="shared" si="6"/>
        <v>81</v>
      </c>
      <c r="G361" s="131">
        <f t="shared" ref="G361:H361" si="361">((AVERAGE(F355:F361))+(MEDIAN(F355:F361))+E361)/3</f>
        <v>81</v>
      </c>
      <c r="H361" s="131">
        <f t="shared" si="361"/>
        <v>81</v>
      </c>
      <c r="I361" s="120"/>
      <c r="J361" s="180"/>
      <c r="K361" s="181"/>
      <c r="L361" s="182"/>
      <c r="M361" s="112"/>
      <c r="N361" s="112"/>
      <c r="O361" s="112"/>
      <c r="P361" s="112"/>
      <c r="Q361" s="112"/>
      <c r="R361" s="112"/>
      <c r="S361" s="112"/>
      <c r="T361" s="112"/>
      <c r="U361" s="112"/>
      <c r="V361" s="112"/>
    </row>
    <row r="362">
      <c r="A362" s="158" t="s">
        <v>100</v>
      </c>
      <c r="B362" s="144"/>
      <c r="C362" s="145">
        <v>45643.0</v>
      </c>
      <c r="D362" s="146" t="str">
        <f>VLOOKUP(C362,A3:B$380,2,FALSE)</f>
        <v>#N/A</v>
      </c>
      <c r="E362" s="146">
        <f t="shared" si="3"/>
        <v>81</v>
      </c>
      <c r="F362" s="146">
        <f t="shared" si="6"/>
        <v>81</v>
      </c>
      <c r="G362" s="146">
        <f t="shared" ref="G362:H362" si="362">((AVERAGE(F356:F362))+(MEDIAN(F356:F362))+E362)/3</f>
        <v>81</v>
      </c>
      <c r="H362" s="146">
        <f t="shared" si="362"/>
        <v>81</v>
      </c>
      <c r="I362" s="120"/>
      <c r="J362" s="180"/>
      <c r="K362" s="181"/>
      <c r="L362" s="182"/>
      <c r="M362" s="112"/>
      <c r="N362" s="112"/>
      <c r="O362" s="112"/>
      <c r="P362" s="112"/>
      <c r="Q362" s="112"/>
      <c r="R362" s="112"/>
      <c r="S362" s="112"/>
      <c r="T362" s="112"/>
      <c r="U362" s="112"/>
      <c r="V362" s="112"/>
    </row>
    <row r="363">
      <c r="A363" s="153" t="s">
        <v>100</v>
      </c>
      <c r="B363" s="154"/>
      <c r="C363" s="130">
        <v>45644.0</v>
      </c>
      <c r="D363" s="131" t="str">
        <f>VLOOKUP(C363,A3:B$380,2,FALSE)</f>
        <v>#N/A</v>
      </c>
      <c r="E363" s="131">
        <f t="shared" si="3"/>
        <v>81</v>
      </c>
      <c r="F363" s="131">
        <f t="shared" si="6"/>
        <v>81</v>
      </c>
      <c r="G363" s="131">
        <f t="shared" ref="G363:H363" si="363">((AVERAGE(F357:F363))+(MEDIAN(F357:F363))+E363)/3</f>
        <v>81</v>
      </c>
      <c r="H363" s="131">
        <f t="shared" si="363"/>
        <v>81</v>
      </c>
      <c r="I363" s="120"/>
      <c r="J363" s="180"/>
      <c r="K363" s="181"/>
      <c r="L363" s="182"/>
      <c r="M363" s="112"/>
      <c r="N363" s="112"/>
      <c r="O363" s="112"/>
      <c r="P363" s="112"/>
      <c r="Q363" s="112"/>
      <c r="R363" s="112"/>
      <c r="S363" s="112"/>
      <c r="T363" s="112"/>
      <c r="U363" s="112"/>
      <c r="V363" s="112"/>
    </row>
    <row r="364">
      <c r="A364" s="158" t="s">
        <v>100</v>
      </c>
      <c r="B364" s="144"/>
      <c r="C364" s="145">
        <v>45645.0</v>
      </c>
      <c r="D364" s="146" t="str">
        <f>VLOOKUP(C364,A3:B$380,2,FALSE)</f>
        <v>#N/A</v>
      </c>
      <c r="E364" s="146">
        <f t="shared" si="3"/>
        <v>81</v>
      </c>
      <c r="F364" s="146">
        <f t="shared" si="6"/>
        <v>81</v>
      </c>
      <c r="G364" s="146">
        <f t="shared" ref="G364:H364" si="364">((AVERAGE(F358:F364))+(MEDIAN(F358:F364))+E364)/3</f>
        <v>81</v>
      </c>
      <c r="H364" s="146">
        <f t="shared" si="364"/>
        <v>81</v>
      </c>
      <c r="I364" s="120"/>
      <c r="J364" s="180"/>
      <c r="K364" s="181"/>
      <c r="L364" s="182"/>
      <c r="M364" s="112"/>
      <c r="N364" s="112"/>
      <c r="O364" s="112"/>
      <c r="P364" s="112"/>
      <c r="Q364" s="112"/>
      <c r="R364" s="112"/>
      <c r="S364" s="112"/>
      <c r="T364" s="112"/>
      <c r="U364" s="112"/>
      <c r="V364" s="112"/>
    </row>
    <row r="365">
      <c r="A365" s="153" t="s">
        <v>100</v>
      </c>
      <c r="B365" s="154"/>
      <c r="C365" s="130">
        <v>45646.0</v>
      </c>
      <c r="D365" s="131" t="str">
        <f>VLOOKUP(C365,A3:B$380,2,FALSE)</f>
        <v>#N/A</v>
      </c>
      <c r="E365" s="131">
        <f t="shared" si="3"/>
        <v>81</v>
      </c>
      <c r="F365" s="131">
        <f t="shared" si="6"/>
        <v>81</v>
      </c>
      <c r="G365" s="131">
        <f t="shared" ref="G365:H365" si="365">((AVERAGE(F359:F365))+(MEDIAN(F359:F365))+E365)/3</f>
        <v>81</v>
      </c>
      <c r="H365" s="131">
        <f t="shared" si="365"/>
        <v>81</v>
      </c>
      <c r="I365" s="120"/>
      <c r="J365" s="180"/>
      <c r="K365" s="181"/>
      <c r="L365" s="182"/>
      <c r="M365" s="112"/>
      <c r="N365" s="112"/>
      <c r="O365" s="112"/>
      <c r="P365" s="112"/>
      <c r="Q365" s="112"/>
      <c r="R365" s="112"/>
      <c r="S365" s="112"/>
      <c r="T365" s="112"/>
      <c r="U365" s="112"/>
      <c r="V365" s="112"/>
    </row>
    <row r="366">
      <c r="A366" s="158" t="s">
        <v>100</v>
      </c>
      <c r="B366" s="144"/>
      <c r="C366" s="173">
        <v>45647.0</v>
      </c>
      <c r="D366" s="174" t="str">
        <f>VLOOKUP(C366,A3:B$380,2,FALSE)</f>
        <v>#N/A</v>
      </c>
      <c r="E366" s="174">
        <f t="shared" si="3"/>
        <v>81</v>
      </c>
      <c r="F366" s="174">
        <f t="shared" si="6"/>
        <v>81</v>
      </c>
      <c r="G366" s="174">
        <f t="shared" ref="G366:H366" si="366">((AVERAGE(F360:F366))+(MEDIAN(F360:F366))+E366)/3</f>
        <v>81</v>
      </c>
      <c r="H366" s="174">
        <f t="shared" si="366"/>
        <v>81</v>
      </c>
      <c r="I366" s="120"/>
      <c r="J366" s="180"/>
      <c r="K366" s="181"/>
      <c r="L366" s="182"/>
      <c r="M366" s="112"/>
      <c r="N366" s="112"/>
      <c r="O366" s="112"/>
      <c r="P366" s="112"/>
      <c r="Q366" s="112"/>
      <c r="R366" s="112"/>
      <c r="S366" s="112"/>
      <c r="T366" s="112"/>
      <c r="U366" s="112"/>
      <c r="V366" s="112"/>
    </row>
    <row r="367">
      <c r="A367" s="153" t="s">
        <v>100</v>
      </c>
      <c r="B367" s="154"/>
      <c r="C367" s="130">
        <v>45648.0</v>
      </c>
      <c r="D367" s="131" t="str">
        <f>VLOOKUP(C367,A3:B$380,2,FALSE)</f>
        <v>#N/A</v>
      </c>
      <c r="E367" s="131">
        <f t="shared" si="3"/>
        <v>81</v>
      </c>
      <c r="F367" s="131">
        <f t="shared" si="6"/>
        <v>81</v>
      </c>
      <c r="G367" s="131">
        <f t="shared" ref="G367:H367" si="367">((AVERAGE(F361:F367))+(MEDIAN(F361:F367))+E367)/3</f>
        <v>81</v>
      </c>
      <c r="H367" s="131">
        <f t="shared" si="367"/>
        <v>81</v>
      </c>
      <c r="I367" s="120"/>
      <c r="J367" s="180"/>
      <c r="K367" s="181"/>
      <c r="L367" s="182"/>
      <c r="M367" s="112"/>
      <c r="N367" s="112"/>
      <c r="O367" s="112"/>
      <c r="P367" s="112"/>
      <c r="Q367" s="112"/>
      <c r="R367" s="112"/>
      <c r="S367" s="112"/>
      <c r="T367" s="112"/>
      <c r="U367" s="112"/>
      <c r="V367" s="112"/>
    </row>
    <row r="368">
      <c r="A368" s="158" t="s">
        <v>100</v>
      </c>
      <c r="B368" s="144"/>
      <c r="C368" s="145">
        <v>45649.0</v>
      </c>
      <c r="D368" s="146" t="str">
        <f>VLOOKUP(C368,A3:B$380,2,FALSE)</f>
        <v>#N/A</v>
      </c>
      <c r="E368" s="146">
        <f t="shared" si="3"/>
        <v>81</v>
      </c>
      <c r="F368" s="146">
        <f t="shared" si="6"/>
        <v>81</v>
      </c>
      <c r="G368" s="146">
        <f t="shared" ref="G368:H368" si="368">((AVERAGE(F362:F368))+(MEDIAN(F362:F368))+E368)/3</f>
        <v>81</v>
      </c>
      <c r="H368" s="146">
        <f t="shared" si="368"/>
        <v>81</v>
      </c>
      <c r="I368" s="120"/>
      <c r="J368" s="180"/>
      <c r="K368" s="181"/>
      <c r="L368" s="182"/>
      <c r="M368" s="112"/>
      <c r="N368" s="112"/>
      <c r="O368" s="112"/>
      <c r="P368" s="112"/>
      <c r="Q368" s="112"/>
      <c r="R368" s="112"/>
      <c r="S368" s="112"/>
      <c r="T368" s="112"/>
      <c r="U368" s="112"/>
      <c r="V368" s="112"/>
    </row>
    <row r="369">
      <c r="A369" s="153" t="s">
        <v>100</v>
      </c>
      <c r="B369" s="154"/>
      <c r="C369" s="130">
        <v>45650.0</v>
      </c>
      <c r="D369" s="131" t="str">
        <f>VLOOKUP(C369,A3:B$380,2,FALSE)</f>
        <v>#N/A</v>
      </c>
      <c r="E369" s="131">
        <f t="shared" si="3"/>
        <v>81</v>
      </c>
      <c r="F369" s="131">
        <f t="shared" si="6"/>
        <v>81</v>
      </c>
      <c r="G369" s="131">
        <f t="shared" ref="G369:H369" si="369">((AVERAGE(F363:F369))+(MEDIAN(F363:F369))+E369)/3</f>
        <v>81</v>
      </c>
      <c r="H369" s="131">
        <f t="shared" si="369"/>
        <v>81</v>
      </c>
      <c r="I369" s="120"/>
      <c r="J369" s="180"/>
      <c r="K369" s="181"/>
      <c r="L369" s="182"/>
      <c r="M369" s="112"/>
      <c r="N369" s="112"/>
      <c r="O369" s="112"/>
      <c r="P369" s="112"/>
      <c r="Q369" s="112"/>
      <c r="R369" s="112"/>
      <c r="S369" s="112"/>
      <c r="T369" s="112"/>
      <c r="U369" s="112"/>
      <c r="V369" s="112"/>
    </row>
    <row r="370">
      <c r="A370" s="158" t="s">
        <v>100</v>
      </c>
      <c r="B370" s="144"/>
      <c r="C370" s="145">
        <v>45651.0</v>
      </c>
      <c r="D370" s="146" t="str">
        <f>VLOOKUP(C370,A3:B$380,2,FALSE)</f>
        <v>#N/A</v>
      </c>
      <c r="E370" s="146">
        <f t="shared" si="3"/>
        <v>81</v>
      </c>
      <c r="F370" s="146">
        <f t="shared" si="6"/>
        <v>81</v>
      </c>
      <c r="G370" s="146">
        <f t="shared" ref="G370:H370" si="370">((AVERAGE(F364:F370))+(MEDIAN(F364:F370))+E370)/3</f>
        <v>81</v>
      </c>
      <c r="H370" s="146">
        <f t="shared" si="370"/>
        <v>81</v>
      </c>
      <c r="I370" s="120"/>
      <c r="J370" s="180"/>
      <c r="K370" s="181"/>
      <c r="L370" s="182"/>
      <c r="M370" s="112"/>
      <c r="N370" s="112"/>
      <c r="O370" s="112"/>
      <c r="P370" s="112"/>
      <c r="Q370" s="112"/>
      <c r="R370" s="112"/>
      <c r="S370" s="112"/>
      <c r="T370" s="112"/>
      <c r="U370" s="112"/>
      <c r="V370" s="112"/>
    </row>
    <row r="371">
      <c r="A371" s="153" t="s">
        <v>100</v>
      </c>
      <c r="B371" s="154"/>
      <c r="C371" s="130">
        <v>45652.0</v>
      </c>
      <c r="D371" s="131" t="str">
        <f>VLOOKUP(C371,A3:B$380,2,FALSE)</f>
        <v>#N/A</v>
      </c>
      <c r="E371" s="131">
        <f t="shared" si="3"/>
        <v>81</v>
      </c>
      <c r="F371" s="131">
        <f t="shared" si="6"/>
        <v>81</v>
      </c>
      <c r="G371" s="131">
        <f t="shared" ref="G371:H371" si="371">((AVERAGE(F365:F371))+(MEDIAN(F365:F371))+E371)/3</f>
        <v>81</v>
      </c>
      <c r="H371" s="131">
        <f t="shared" si="371"/>
        <v>81</v>
      </c>
      <c r="I371" s="120"/>
      <c r="J371" s="180"/>
      <c r="K371" s="181"/>
      <c r="L371" s="182"/>
      <c r="M371" s="112"/>
      <c r="N371" s="112"/>
      <c r="O371" s="112"/>
      <c r="P371" s="112"/>
      <c r="Q371" s="112"/>
      <c r="R371" s="112"/>
      <c r="S371" s="112"/>
      <c r="T371" s="112"/>
      <c r="U371" s="112"/>
      <c r="V371" s="112"/>
    </row>
    <row r="372">
      <c r="A372" s="158" t="s">
        <v>100</v>
      </c>
      <c r="B372" s="144"/>
      <c r="C372" s="145">
        <v>45653.0</v>
      </c>
      <c r="D372" s="146" t="str">
        <f>VLOOKUP(C372,A3:B$380,2,FALSE)</f>
        <v>#N/A</v>
      </c>
      <c r="E372" s="146">
        <f t="shared" si="3"/>
        <v>81</v>
      </c>
      <c r="F372" s="146">
        <f t="shared" si="6"/>
        <v>81</v>
      </c>
      <c r="G372" s="146">
        <f t="shared" ref="G372:H372" si="372">((AVERAGE(F366:F372))+(MEDIAN(F366:F372))+E372)/3</f>
        <v>81</v>
      </c>
      <c r="H372" s="146">
        <f t="shared" si="372"/>
        <v>81</v>
      </c>
      <c r="I372" s="120"/>
      <c r="J372" s="180"/>
      <c r="K372" s="181"/>
      <c r="L372" s="182"/>
      <c r="M372" s="112"/>
      <c r="N372" s="112"/>
      <c r="O372" s="112"/>
      <c r="P372" s="112"/>
      <c r="Q372" s="112"/>
      <c r="R372" s="112"/>
      <c r="S372" s="112"/>
      <c r="T372" s="112"/>
      <c r="U372" s="112"/>
      <c r="V372" s="112"/>
    </row>
    <row r="373">
      <c r="A373" s="153" t="s">
        <v>100</v>
      </c>
      <c r="B373" s="154"/>
      <c r="C373" s="168">
        <v>45654.0</v>
      </c>
      <c r="D373" s="169" t="str">
        <f>VLOOKUP(C373,A3:B$380,2,FALSE)</f>
        <v>#N/A</v>
      </c>
      <c r="E373" s="169">
        <f t="shared" si="3"/>
        <v>81</v>
      </c>
      <c r="F373" s="169">
        <f t="shared" si="6"/>
        <v>81</v>
      </c>
      <c r="G373" s="169">
        <f t="shared" ref="G373:H373" si="373">((AVERAGE(F367:F373))+(MEDIAN(F367:F373))+E373)/3</f>
        <v>81</v>
      </c>
      <c r="H373" s="169">
        <f t="shared" si="373"/>
        <v>81</v>
      </c>
      <c r="I373" s="120"/>
      <c r="J373" s="180"/>
      <c r="K373" s="181"/>
      <c r="L373" s="182"/>
      <c r="M373" s="112"/>
      <c r="N373" s="112"/>
      <c r="O373" s="112"/>
      <c r="P373" s="112"/>
      <c r="Q373" s="112"/>
      <c r="R373" s="112"/>
      <c r="S373" s="112"/>
      <c r="T373" s="112"/>
      <c r="U373" s="112"/>
      <c r="V373" s="112"/>
    </row>
    <row r="374">
      <c r="A374" s="158" t="s">
        <v>100</v>
      </c>
      <c r="B374" s="144"/>
      <c r="C374" s="145">
        <v>45655.0</v>
      </c>
      <c r="D374" s="146" t="str">
        <f t="shared" ref="D374:D380" si="375">VLOOKUP(C374,A3:B$380,2,FALSE)</f>
        <v>#N/A</v>
      </c>
      <c r="E374" s="146">
        <f t="shared" si="3"/>
        <v>81</v>
      </c>
      <c r="F374" s="146">
        <f t="shared" si="6"/>
        <v>81</v>
      </c>
      <c r="G374" s="146">
        <f t="shared" ref="G374:H374" si="374">((AVERAGE(F368:F374))+(MEDIAN(F368:F374))+E374)/3</f>
        <v>81</v>
      </c>
      <c r="H374" s="146">
        <f t="shared" si="374"/>
        <v>81</v>
      </c>
      <c r="I374" s="183"/>
      <c r="J374" s="180"/>
      <c r="K374" s="181"/>
      <c r="L374" s="182"/>
      <c r="M374" s="112"/>
      <c r="N374" s="112"/>
      <c r="O374" s="112"/>
      <c r="P374" s="112"/>
      <c r="Q374" s="112"/>
      <c r="R374" s="112"/>
      <c r="S374" s="112"/>
      <c r="T374" s="112"/>
      <c r="U374" s="112"/>
      <c r="V374" s="112"/>
    </row>
    <row r="375">
      <c r="A375" s="153" t="s">
        <v>100</v>
      </c>
      <c r="B375" s="154"/>
      <c r="C375" s="130">
        <v>45656.0</v>
      </c>
      <c r="D375" s="131" t="str">
        <f t="shared" si="375"/>
        <v>#N/A</v>
      </c>
      <c r="E375" s="131">
        <f t="shared" si="3"/>
        <v>81</v>
      </c>
      <c r="F375" s="131">
        <f t="shared" si="6"/>
        <v>81</v>
      </c>
      <c r="G375" s="131">
        <f t="shared" ref="G375:H375" si="376">((AVERAGE(F369:F375))+(MEDIAN(F369:F375))+E375)/3</f>
        <v>81</v>
      </c>
      <c r="H375" s="131">
        <f t="shared" si="376"/>
        <v>81</v>
      </c>
      <c r="I375" s="180"/>
      <c r="J375" s="180"/>
      <c r="K375" s="181"/>
      <c r="L375" s="182"/>
      <c r="M375" s="112"/>
      <c r="N375" s="112"/>
      <c r="O375" s="112"/>
      <c r="P375" s="112"/>
      <c r="Q375" s="112"/>
      <c r="R375" s="112"/>
      <c r="S375" s="112"/>
      <c r="T375" s="112"/>
      <c r="U375" s="112"/>
      <c r="V375" s="112"/>
    </row>
    <row r="376">
      <c r="A376" s="158" t="s">
        <v>100</v>
      </c>
      <c r="B376" s="144"/>
      <c r="C376" s="145">
        <v>45657.0</v>
      </c>
      <c r="D376" s="146" t="str">
        <f t="shared" si="375"/>
        <v>#N/A</v>
      </c>
      <c r="E376" s="146">
        <f t="shared" si="3"/>
        <v>81</v>
      </c>
      <c r="F376" s="146">
        <f t="shared" si="6"/>
        <v>81</v>
      </c>
      <c r="G376" s="146">
        <f t="shared" ref="G376:H376" si="377">((AVERAGE(F370:F376))+(MEDIAN(F370:F376))+E376)/3</f>
        <v>81</v>
      </c>
      <c r="H376" s="146">
        <f t="shared" si="377"/>
        <v>81</v>
      </c>
      <c r="I376" s="112"/>
      <c r="J376" s="112"/>
      <c r="K376" s="112"/>
      <c r="L376" s="112"/>
      <c r="M376" s="112"/>
      <c r="N376" s="112"/>
      <c r="O376" s="112"/>
      <c r="P376" s="112"/>
      <c r="Q376" s="112"/>
      <c r="R376" s="112"/>
      <c r="S376" s="112"/>
      <c r="T376" s="112"/>
      <c r="U376" s="112"/>
      <c r="V376" s="112"/>
    </row>
    <row r="377">
      <c r="A377" s="153" t="s">
        <v>100</v>
      </c>
      <c r="B377" s="154"/>
      <c r="C377" s="130">
        <v>45658.0</v>
      </c>
      <c r="D377" s="131" t="str">
        <f t="shared" si="375"/>
        <v>#N/A</v>
      </c>
      <c r="E377" s="131">
        <f t="shared" si="3"/>
        <v>81</v>
      </c>
      <c r="F377" s="131">
        <f t="shared" si="6"/>
        <v>81</v>
      </c>
      <c r="G377" s="131">
        <f t="shared" ref="G377:H377" si="378">((AVERAGE(F371:F377))+(MEDIAN(F371:F377))+E377)/3</f>
        <v>81</v>
      </c>
      <c r="H377" s="131">
        <f t="shared" si="378"/>
        <v>81</v>
      </c>
      <c r="I377" s="112"/>
      <c r="J377" s="112"/>
      <c r="K377" s="112"/>
      <c r="L377" s="112"/>
      <c r="M377" s="112"/>
      <c r="N377" s="112"/>
      <c r="O377" s="112"/>
      <c r="P377" s="112"/>
      <c r="Q377" s="112"/>
      <c r="R377" s="112"/>
      <c r="S377" s="112"/>
      <c r="T377" s="112"/>
      <c r="U377" s="112"/>
      <c r="V377" s="112"/>
    </row>
    <row r="378">
      <c r="A378" s="158" t="s">
        <v>100</v>
      </c>
      <c r="B378" s="144"/>
      <c r="C378" s="145">
        <v>45659.0</v>
      </c>
      <c r="D378" s="146" t="str">
        <f t="shared" si="375"/>
        <v>#N/A</v>
      </c>
      <c r="E378" s="146">
        <f t="shared" si="3"/>
        <v>81</v>
      </c>
      <c r="F378" s="146">
        <f t="shared" si="6"/>
        <v>81</v>
      </c>
      <c r="G378" s="146">
        <f t="shared" ref="G378:H378" si="379">((AVERAGE(F372:F378))+(MEDIAN(F372:F378))+E378)/3</f>
        <v>81</v>
      </c>
      <c r="H378" s="146">
        <f t="shared" si="379"/>
        <v>81</v>
      </c>
      <c r="I378" s="112"/>
      <c r="J378" s="112"/>
      <c r="K378" s="112"/>
      <c r="L378" s="112"/>
      <c r="M378" s="112"/>
      <c r="N378" s="112"/>
      <c r="O378" s="112"/>
      <c r="P378" s="112"/>
      <c r="Q378" s="112"/>
      <c r="R378" s="112"/>
      <c r="S378" s="112"/>
      <c r="T378" s="112"/>
      <c r="U378" s="112"/>
      <c r="V378" s="112"/>
    </row>
    <row r="379">
      <c r="A379" s="153" t="s">
        <v>100</v>
      </c>
      <c r="B379" s="154"/>
      <c r="C379" s="130">
        <v>45660.0</v>
      </c>
      <c r="D379" s="131" t="str">
        <f t="shared" si="375"/>
        <v>#N/A</v>
      </c>
      <c r="E379" s="131">
        <f t="shared" si="3"/>
        <v>81</v>
      </c>
      <c r="F379" s="131">
        <f t="shared" si="6"/>
        <v>81</v>
      </c>
      <c r="G379" s="131">
        <f t="shared" ref="G379:H379" si="380">((AVERAGE(F373:F379))+(MEDIAN(F373:F379))+E379)/3</f>
        <v>81</v>
      </c>
      <c r="H379" s="131">
        <f t="shared" si="380"/>
        <v>81</v>
      </c>
      <c r="I379" s="112"/>
      <c r="J379" s="112"/>
      <c r="K379" s="112"/>
      <c r="L379" s="112"/>
      <c r="M379" s="112"/>
      <c r="N379" s="112"/>
      <c r="O379" s="112"/>
      <c r="P379" s="112"/>
      <c r="Q379" s="112"/>
      <c r="R379" s="112"/>
      <c r="S379" s="112"/>
      <c r="T379" s="112"/>
      <c r="U379" s="112"/>
      <c r="V379" s="112"/>
    </row>
    <row r="380">
      <c r="A380" s="184" t="s">
        <v>100</v>
      </c>
      <c r="B380" s="185"/>
      <c r="C380" s="173">
        <v>45661.0</v>
      </c>
      <c r="D380" s="174" t="str">
        <f t="shared" si="375"/>
        <v>#N/A</v>
      </c>
      <c r="E380" s="174">
        <f t="shared" si="3"/>
        <v>81</v>
      </c>
      <c r="F380" s="174">
        <f t="shared" si="6"/>
        <v>81</v>
      </c>
      <c r="G380" s="174">
        <f t="shared" ref="G380:H380" si="381">((AVERAGE(F374:F380))+(MEDIAN(F374:F380))+E380)/3</f>
        <v>81</v>
      </c>
      <c r="H380" s="174">
        <f t="shared" si="381"/>
        <v>81</v>
      </c>
      <c r="I380" s="112"/>
      <c r="J380" s="112"/>
      <c r="K380" s="112"/>
      <c r="L380" s="112"/>
      <c r="M380" s="112"/>
      <c r="N380" s="112"/>
      <c r="O380" s="112"/>
      <c r="P380" s="112"/>
      <c r="Q380" s="112"/>
      <c r="R380" s="112"/>
      <c r="S380" s="112"/>
      <c r="T380" s="112"/>
      <c r="U380" s="112"/>
      <c r="V380" s="112"/>
    </row>
    <row r="381">
      <c r="A381" s="186"/>
      <c r="B381" s="186"/>
      <c r="C381" s="186"/>
      <c r="D381" s="186"/>
      <c r="E381" s="186"/>
      <c r="F381" s="186"/>
      <c r="G381" s="186"/>
      <c r="H381" s="186"/>
      <c r="I381" s="112"/>
      <c r="J381" s="112"/>
      <c r="K381" s="112"/>
      <c r="L381" s="112"/>
      <c r="M381" s="112"/>
      <c r="N381" s="112"/>
      <c r="O381" s="112"/>
      <c r="P381" s="112"/>
      <c r="Q381" s="112"/>
      <c r="R381" s="112"/>
      <c r="S381" s="112"/>
      <c r="T381" s="112"/>
      <c r="U381" s="112"/>
      <c r="V381" s="112"/>
    </row>
    <row r="382">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row>
    <row r="383">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row>
    <row r="384">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row>
    <row r="385">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row>
    <row r="386">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row>
    <row r="387">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row>
  </sheetData>
  <autoFilter ref="$A$2:$B$380"/>
  <mergeCells count="5">
    <mergeCell ref="A1:B1"/>
    <mergeCell ref="J1:L1"/>
    <mergeCell ref="N1:P1"/>
    <mergeCell ref="R1:S1"/>
    <mergeCell ref="V3:V10"/>
  </mergeCells>
  <dataValidations>
    <dataValidation type="list" allowBlank="1" sqref="P3:P14">
      <formula1>"Gain +,Gain,Maintain,Small Cut,Med Cut,Big Cut"</formula1>
    </dataValidation>
    <dataValidation type="list" allowBlank="1" sqref="S5">
      <formula1>"1 Week,2 Weeks,3 Weeks,4 Weeks,5 Weeks,6 Weeks"</formula1>
    </dataValidation>
    <dataValidation type="list" allowBlank="1" sqref="S2">
      <formula1>"Weight/kCal
Imperial,Weight/kCal
Metric"</formula1>
    </dataValidation>
    <dataValidation type="custom" allowBlank="1" showDropDown="1" sqref="A3:A380 C3:C380">
      <formula1>OR(NOT(ISERROR(DATEVALUE(A3))), AND(ISNUMBER(A3), LEFT(CELL("format", A3))="D"))</formula1>
    </dataValidation>
  </dataValidations>
  <hyperlinks>
    <hyperlink r:id="rId1" ref="V3"/>
  </hyperlinks>
  <printOptions/>
  <pageMargins bottom="0.75" footer="0.0" header="0.0" left="0.7" right="0.7" top="0.75"/>
  <pageSetup orientation="portrait"/>
  <drawing r:id="rId2"/>
  <tableParts count="3">
    <tablePart r:id="rId6"/>
    <tablePart r:id="rId7"/>
    <tablePart r:id="rId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0.43"/>
    <col customWidth="1" min="2" max="5" width="8.71"/>
    <col customWidth="1" min="6" max="6" width="13.0"/>
    <col customWidth="1" min="7" max="7" width="34.43"/>
    <col customWidth="1" min="8" max="8" width="8.71"/>
    <col customWidth="1" min="9" max="9" width="13.0"/>
    <col customWidth="1" min="10" max="11" width="10.86"/>
    <col customWidth="1" min="12" max="14" width="4.43"/>
  </cols>
  <sheetData>
    <row r="1" ht="45.0" customHeight="1">
      <c r="A1" s="187"/>
      <c r="B1" s="188" t="s">
        <v>124</v>
      </c>
      <c r="C1" s="189"/>
      <c r="D1" s="189"/>
      <c r="E1" s="190"/>
      <c r="F1" s="191"/>
      <c r="G1" s="192"/>
      <c r="H1" s="193"/>
      <c r="I1" s="193"/>
      <c r="J1" s="193"/>
      <c r="K1" s="193"/>
      <c r="L1" s="193"/>
      <c r="M1" s="193"/>
      <c r="N1" s="193"/>
    </row>
    <row r="2" ht="15.0" customHeight="1">
      <c r="A2" s="194"/>
      <c r="B2" s="195" t="s">
        <v>125</v>
      </c>
      <c r="D2" s="195" t="s">
        <v>126</v>
      </c>
      <c r="E2" s="196"/>
      <c r="F2" s="191"/>
      <c r="G2" s="193"/>
      <c r="H2" s="193"/>
      <c r="I2" s="193"/>
      <c r="J2" s="193"/>
      <c r="K2" s="193"/>
      <c r="L2" s="193"/>
      <c r="M2" s="193"/>
      <c r="N2" s="193"/>
    </row>
    <row r="3" ht="30.0" customHeight="1">
      <c r="A3" s="197"/>
      <c r="B3" s="198" t="s">
        <v>127</v>
      </c>
      <c r="D3" s="198" t="str">
        <f>B3</f>
        <v>Metric
↓</v>
      </c>
      <c r="E3" s="199"/>
      <c r="F3" s="191"/>
      <c r="G3" s="200" t="s">
        <v>128</v>
      </c>
      <c r="H3" s="193"/>
      <c r="I3" s="201" t="s">
        <v>129</v>
      </c>
      <c r="L3" s="193"/>
      <c r="M3" s="192"/>
      <c r="N3" s="142" t="s">
        <v>96</v>
      </c>
    </row>
    <row r="4">
      <c r="A4" s="197"/>
      <c r="B4" s="202" t="s">
        <v>130</v>
      </c>
      <c r="C4" s="203" t="s">
        <v>131</v>
      </c>
      <c r="D4" s="202" t="s">
        <v>130</v>
      </c>
      <c r="E4" s="204" t="str">
        <f>C4</f>
        <v>Male</v>
      </c>
      <c r="F4" s="191"/>
      <c r="G4" s="205"/>
      <c r="H4" s="193"/>
      <c r="I4" s="206"/>
      <c r="J4" s="206"/>
      <c r="K4" s="206"/>
      <c r="L4" s="193"/>
      <c r="M4" s="193"/>
      <c r="N4" s="152"/>
    </row>
    <row r="5">
      <c r="A5" s="197"/>
      <c r="B5" s="202" t="s">
        <v>132</v>
      </c>
      <c r="C5" s="207">
        <v>37.0</v>
      </c>
      <c r="D5" s="202" t="s">
        <v>132</v>
      </c>
      <c r="E5" s="208">
        <v>38.0</v>
      </c>
      <c r="F5" s="191"/>
      <c r="G5" s="209" t="s">
        <v>133</v>
      </c>
      <c r="H5" s="192"/>
      <c r="I5" s="210" t="s">
        <v>134</v>
      </c>
      <c r="J5" s="211" t="str">
        <f>IFS(C11&lt;17.999, "Underweight: 17.9 or less", C11&lt;24.999, "Normal Weight: 18-24.9", C11&lt;29.999, "Overweight: 25-29.9", C11&lt;34.999, "Stage 1 Obesity: 30-34.9", C11&lt;39.999, "Stage 2 Obesity: 35-39.9", C11&gt;39.999, "Stage 3 Obesity: 40 or more")</f>
        <v>Underweight: 17.9 or less</v>
      </c>
      <c r="L5" s="193"/>
      <c r="M5" s="193"/>
      <c r="N5" s="152"/>
    </row>
    <row r="6">
      <c r="A6" s="197"/>
      <c r="B6" s="202" t="s">
        <v>135</v>
      </c>
      <c r="C6" s="207">
        <v>70.0</v>
      </c>
      <c r="D6" s="202" t="s">
        <v>135</v>
      </c>
      <c r="E6" s="212">
        <f>C6</f>
        <v>70</v>
      </c>
      <c r="F6" s="191"/>
      <c r="G6" s="213" t="s">
        <v>136</v>
      </c>
      <c r="H6" s="192"/>
      <c r="I6" s="206"/>
      <c r="J6" s="206"/>
      <c r="K6" s="206"/>
      <c r="L6" s="193"/>
      <c r="M6" s="193"/>
      <c r="N6" s="152"/>
    </row>
    <row r="7">
      <c r="A7" s="197"/>
      <c r="B7" s="202" t="s">
        <v>79</v>
      </c>
      <c r="C7" s="207">
        <v>81.0</v>
      </c>
      <c r="D7" s="202" t="s">
        <v>79</v>
      </c>
      <c r="E7" s="214">
        <v>75.0</v>
      </c>
      <c r="F7" s="191"/>
      <c r="G7" s="215"/>
      <c r="H7" s="192"/>
      <c r="I7" s="210" t="s">
        <v>137</v>
      </c>
      <c r="L7" s="193"/>
      <c r="M7" s="193"/>
      <c r="N7" s="152"/>
    </row>
    <row r="8">
      <c r="A8" s="197"/>
      <c r="B8" s="202" t="s">
        <v>138</v>
      </c>
      <c r="C8" s="207">
        <v>30.0</v>
      </c>
      <c r="D8" s="202" t="s">
        <v>138</v>
      </c>
      <c r="E8" s="214">
        <v>34.0</v>
      </c>
      <c r="F8" s="191"/>
      <c r="G8" s="209" t="s">
        <v>139</v>
      </c>
      <c r="H8" s="192"/>
      <c r="I8" s="216" t="s">
        <v>140</v>
      </c>
      <c r="J8" s="216" t="s">
        <v>141</v>
      </c>
      <c r="K8" s="216" t="s">
        <v>142</v>
      </c>
      <c r="L8" s="193"/>
      <c r="M8" s="193"/>
      <c r="N8" s="152"/>
    </row>
    <row r="9">
      <c r="A9" s="197"/>
      <c r="B9" s="202" t="s">
        <v>143</v>
      </c>
      <c r="C9" s="217"/>
      <c r="D9" s="202" t="s">
        <v>143</v>
      </c>
      <c r="E9" s="218"/>
      <c r="F9" s="191"/>
      <c r="G9" s="219" t="s">
        <v>144</v>
      </c>
      <c r="H9" s="192"/>
      <c r="I9" s="220" t="s">
        <v>145</v>
      </c>
      <c r="J9" s="221">
        <v>44232.0</v>
      </c>
      <c r="K9" s="222" t="s">
        <v>146</v>
      </c>
      <c r="L9" s="193"/>
      <c r="M9" s="193"/>
      <c r="N9" s="152"/>
    </row>
    <row r="10">
      <c r="A10" s="197"/>
      <c r="B10" s="202" t="s">
        <v>147</v>
      </c>
      <c r="C10" s="223"/>
      <c r="D10" s="202" t="s">
        <v>147</v>
      </c>
      <c r="E10" s="224"/>
      <c r="F10" s="191"/>
      <c r="G10" s="215"/>
      <c r="H10" s="192"/>
      <c r="I10" s="225" t="s">
        <v>148</v>
      </c>
      <c r="J10" s="226">
        <v>44360.0</v>
      </c>
      <c r="K10" s="227" t="s">
        <v>149</v>
      </c>
      <c r="L10" s="193"/>
      <c r="M10" s="193"/>
      <c r="N10" s="172"/>
    </row>
    <row r="11">
      <c r="A11" s="197"/>
      <c r="B11" s="202" t="s">
        <v>150</v>
      </c>
      <c r="C11" s="217"/>
      <c r="D11" s="202" t="s">
        <v>150</v>
      </c>
      <c r="E11" s="228"/>
      <c r="F11" s="191"/>
      <c r="G11" s="209" t="s">
        <v>151</v>
      </c>
      <c r="H11" s="192"/>
      <c r="I11" s="220" t="s">
        <v>152</v>
      </c>
      <c r="J11" s="229" t="s">
        <v>153</v>
      </c>
      <c r="K11" s="222" t="s">
        <v>154</v>
      </c>
      <c r="L11" s="193"/>
      <c r="M11" s="193"/>
      <c r="N11" s="193"/>
    </row>
    <row r="12">
      <c r="A12" s="197"/>
      <c r="B12" s="202" t="s">
        <v>155</v>
      </c>
      <c r="C12" s="223"/>
      <c r="D12" s="202" t="s">
        <v>155</v>
      </c>
      <c r="E12" s="224"/>
      <c r="F12" s="191"/>
      <c r="G12" s="219" t="s">
        <v>156</v>
      </c>
      <c r="H12" s="192"/>
      <c r="I12" s="225" t="s">
        <v>157</v>
      </c>
      <c r="J12" s="230" t="s">
        <v>158</v>
      </c>
      <c r="K12" s="227" t="s">
        <v>159</v>
      </c>
      <c r="L12" s="193"/>
      <c r="M12" s="193"/>
      <c r="N12" s="193"/>
    </row>
    <row r="13">
      <c r="A13" s="197"/>
      <c r="B13" s="202" t="s">
        <v>160</v>
      </c>
      <c r="C13" s="231"/>
      <c r="D13" s="232" t="s">
        <v>161</v>
      </c>
      <c r="E13" s="233"/>
      <c r="F13" s="191"/>
      <c r="G13" s="209"/>
      <c r="H13" s="193"/>
      <c r="I13" s="220" t="s">
        <v>162</v>
      </c>
      <c r="J13" s="229" t="s">
        <v>163</v>
      </c>
      <c r="K13" s="222" t="s">
        <v>164</v>
      </c>
      <c r="L13" s="193"/>
      <c r="M13" s="193"/>
      <c r="N13" s="193"/>
    </row>
    <row r="14">
      <c r="A14" s="197"/>
      <c r="B14" s="202" t="s">
        <v>165</v>
      </c>
      <c r="C14" s="234" t="s">
        <v>166</v>
      </c>
      <c r="D14" s="202" t="s">
        <v>88</v>
      </c>
      <c r="E14" s="235" t="s">
        <v>167</v>
      </c>
      <c r="F14" s="191"/>
      <c r="G14" s="209" t="s">
        <v>168</v>
      </c>
      <c r="H14" s="193"/>
      <c r="I14" s="225" t="s">
        <v>169</v>
      </c>
      <c r="J14" s="230" t="s">
        <v>170</v>
      </c>
      <c r="K14" s="227" t="s">
        <v>171</v>
      </c>
      <c r="L14" s="193"/>
      <c r="M14" s="193"/>
      <c r="N14" s="193"/>
    </row>
    <row r="15">
      <c r="A15" s="197"/>
      <c r="B15" s="202" t="s">
        <v>172</v>
      </c>
      <c r="C15" s="234" t="s">
        <v>173</v>
      </c>
      <c r="D15" s="202"/>
      <c r="E15" s="236"/>
      <c r="F15" s="191"/>
      <c r="G15" s="215" t="s">
        <v>174</v>
      </c>
      <c r="H15" s="193"/>
      <c r="I15" s="237"/>
      <c r="J15" s="237"/>
      <c r="K15" s="237"/>
      <c r="L15" s="193"/>
      <c r="M15" s="193"/>
      <c r="N15" s="193"/>
    </row>
    <row r="16">
      <c r="A16" s="197"/>
      <c r="B16" s="238" t="s">
        <v>175</v>
      </c>
      <c r="C16" s="239"/>
      <c r="D16" s="202"/>
      <c r="E16" s="240"/>
      <c r="F16" s="191"/>
      <c r="G16" s="215" t="s">
        <v>176</v>
      </c>
      <c r="H16" s="193"/>
      <c r="I16" s="241" t="s">
        <v>177</v>
      </c>
      <c r="L16" s="193"/>
      <c r="M16" s="193"/>
      <c r="N16" s="193"/>
    </row>
    <row r="17">
      <c r="A17" s="197"/>
      <c r="B17" s="202" t="s">
        <v>178</v>
      </c>
      <c r="C17" s="242"/>
      <c r="D17" s="202"/>
      <c r="E17" s="218"/>
      <c r="F17" s="191"/>
      <c r="G17" s="215" t="s">
        <v>179</v>
      </c>
      <c r="H17" s="193"/>
      <c r="I17" s="243" t="s">
        <v>140</v>
      </c>
      <c r="J17" s="243" t="s">
        <v>141</v>
      </c>
      <c r="K17" s="243" t="s">
        <v>142</v>
      </c>
      <c r="L17" s="193"/>
      <c r="M17" s="193"/>
      <c r="N17" s="193"/>
    </row>
    <row r="18">
      <c r="A18" s="197"/>
      <c r="B18" s="202" t="s">
        <v>180</v>
      </c>
      <c r="C18" s="244"/>
      <c r="D18" s="202"/>
      <c r="E18" s="245"/>
      <c r="F18" s="191"/>
      <c r="G18" s="215" t="s">
        <v>181</v>
      </c>
      <c r="H18" s="193"/>
      <c r="I18" s="225" t="s">
        <v>182</v>
      </c>
      <c r="J18" s="230" t="s">
        <v>183</v>
      </c>
      <c r="K18" s="227" t="s">
        <v>184</v>
      </c>
      <c r="L18" s="193"/>
      <c r="M18" s="193"/>
      <c r="N18" s="193"/>
    </row>
    <row r="19">
      <c r="A19" s="197"/>
      <c r="B19" s="202" t="s">
        <v>185</v>
      </c>
      <c r="C19" s="242"/>
      <c r="D19" s="232" t="s">
        <v>186</v>
      </c>
      <c r="E19" s="233"/>
      <c r="F19" s="191"/>
      <c r="G19" s="215" t="s">
        <v>187</v>
      </c>
      <c r="H19" s="193"/>
      <c r="I19" s="220" t="s">
        <v>188</v>
      </c>
      <c r="J19" s="229" t="s">
        <v>189</v>
      </c>
      <c r="K19" s="222" t="s">
        <v>190</v>
      </c>
      <c r="L19" s="193"/>
      <c r="M19" s="193"/>
      <c r="N19" s="193"/>
    </row>
    <row r="20">
      <c r="A20" s="197"/>
      <c r="B20" s="202" t="s">
        <v>191</v>
      </c>
      <c r="C20" s="244"/>
      <c r="D20" s="202" t="s">
        <v>192</v>
      </c>
      <c r="E20" s="246"/>
      <c r="F20" s="191"/>
      <c r="G20" s="215" t="s">
        <v>193</v>
      </c>
      <c r="H20" s="193"/>
      <c r="I20" s="225" t="s">
        <v>194</v>
      </c>
      <c r="J20" s="230" t="s">
        <v>195</v>
      </c>
      <c r="K20" s="227" t="s">
        <v>196</v>
      </c>
      <c r="L20" s="193"/>
      <c r="M20" s="193"/>
      <c r="N20" s="193"/>
    </row>
    <row r="21">
      <c r="A21" s="197"/>
      <c r="B21" s="238" t="s">
        <v>197</v>
      </c>
      <c r="C21" s="247"/>
      <c r="D21" s="202"/>
      <c r="E21" s="248"/>
      <c r="F21" s="191"/>
      <c r="G21" s="215"/>
      <c r="H21" s="193"/>
      <c r="I21" s="220" t="s">
        <v>198</v>
      </c>
      <c r="J21" s="229" t="s">
        <v>199</v>
      </c>
      <c r="K21" s="222" t="s">
        <v>200</v>
      </c>
      <c r="L21" s="193"/>
      <c r="M21" s="193"/>
      <c r="N21" s="193"/>
    </row>
    <row r="22">
      <c r="A22" s="197"/>
      <c r="B22" s="202" t="s">
        <v>201</v>
      </c>
      <c r="C22" s="244"/>
      <c r="D22" s="202" t="s">
        <v>202</v>
      </c>
      <c r="E22" s="249"/>
      <c r="F22" s="191"/>
      <c r="G22" s="215" t="s">
        <v>203</v>
      </c>
      <c r="H22" s="193"/>
      <c r="I22" s="225" t="s">
        <v>204</v>
      </c>
      <c r="J22" s="230" t="s">
        <v>205</v>
      </c>
      <c r="K22" s="227" t="s">
        <v>206</v>
      </c>
      <c r="L22" s="193"/>
      <c r="M22" s="193"/>
      <c r="N22" s="193"/>
    </row>
    <row r="23">
      <c r="A23" s="197"/>
      <c r="B23" s="202" t="s">
        <v>207</v>
      </c>
      <c r="C23" s="242"/>
      <c r="D23" s="202"/>
      <c r="E23" s="248"/>
      <c r="F23" s="191"/>
      <c r="G23" s="215" t="s">
        <v>208</v>
      </c>
      <c r="H23" s="193"/>
      <c r="I23" s="220"/>
      <c r="J23" s="229"/>
      <c r="K23" s="222"/>
      <c r="L23" s="193"/>
      <c r="M23" s="193"/>
      <c r="N23" s="193"/>
    </row>
    <row r="24">
      <c r="A24" s="197"/>
      <c r="B24" s="202" t="s">
        <v>209</v>
      </c>
      <c r="C24" s="244"/>
      <c r="D24" s="202" t="s">
        <v>210</v>
      </c>
      <c r="E24" s="249"/>
      <c r="F24" s="191"/>
      <c r="G24" s="215"/>
      <c r="H24" s="193"/>
      <c r="I24" s="250"/>
      <c r="J24" s="250"/>
      <c r="K24" s="250"/>
      <c r="L24" s="193"/>
      <c r="M24" s="193"/>
      <c r="N24" s="193"/>
    </row>
    <row r="25">
      <c r="A25" s="197"/>
      <c r="B25" s="251" t="s">
        <v>211</v>
      </c>
      <c r="C25" s="252"/>
      <c r="D25" s="253"/>
      <c r="E25" s="254"/>
      <c r="F25" s="191"/>
      <c r="G25" s="193"/>
      <c r="H25" s="193"/>
      <c r="I25" s="193"/>
      <c r="J25" s="193"/>
      <c r="K25" s="193"/>
      <c r="L25" s="193"/>
      <c r="M25" s="193"/>
      <c r="N25" s="193"/>
    </row>
    <row r="26">
      <c r="A26" s="255"/>
      <c r="B26" s="256"/>
      <c r="C26" s="257"/>
      <c r="D26" s="257"/>
      <c r="E26" s="257"/>
      <c r="F26" s="191"/>
      <c r="G26" s="193"/>
      <c r="H26" s="193"/>
      <c r="I26" s="193"/>
      <c r="J26" s="193"/>
      <c r="K26" s="193"/>
      <c r="L26" s="193"/>
      <c r="M26" s="193"/>
      <c r="N26" s="193"/>
    </row>
    <row r="27">
      <c r="A27" s="258"/>
      <c r="B27" s="259" t="s">
        <v>212</v>
      </c>
      <c r="C27" s="193"/>
      <c r="D27" s="193"/>
      <c r="E27" s="193"/>
      <c r="F27" s="193"/>
      <c r="G27" s="193"/>
      <c r="H27" s="193"/>
      <c r="I27" s="193"/>
      <c r="J27" s="193"/>
      <c r="K27" s="193"/>
      <c r="L27" s="193"/>
      <c r="M27" s="193"/>
      <c r="N27" s="192"/>
    </row>
    <row r="28">
      <c r="A28" s="255"/>
      <c r="B28" s="191"/>
      <c r="C28" s="193"/>
      <c r="D28" s="193"/>
      <c r="E28" s="193"/>
      <c r="F28" s="193"/>
      <c r="G28" s="193"/>
      <c r="H28" s="193"/>
      <c r="I28" s="193"/>
      <c r="J28" s="193"/>
      <c r="K28" s="193"/>
      <c r="L28" s="193"/>
      <c r="M28" s="193"/>
      <c r="N28" s="193"/>
    </row>
    <row r="29">
      <c r="A29" s="260"/>
      <c r="B29" s="261" t="s">
        <v>213</v>
      </c>
      <c r="C29" s="193"/>
      <c r="D29" s="193"/>
      <c r="E29" s="193"/>
      <c r="F29" s="193"/>
      <c r="G29" s="192"/>
      <c r="H29" s="193"/>
      <c r="I29" s="193"/>
      <c r="J29" s="193"/>
      <c r="K29" s="193"/>
      <c r="L29" s="193"/>
      <c r="M29" s="193"/>
      <c r="N29" s="193"/>
    </row>
  </sheetData>
  <mergeCells count="12">
    <mergeCell ref="J5:K5"/>
    <mergeCell ref="I7:K7"/>
    <mergeCell ref="I16:K16"/>
    <mergeCell ref="D13:E13"/>
    <mergeCell ref="D19:E19"/>
    <mergeCell ref="B1:E1"/>
    <mergeCell ref="B2:C2"/>
    <mergeCell ref="D2:E2"/>
    <mergeCell ref="B3:C3"/>
    <mergeCell ref="D3:E3"/>
    <mergeCell ref="I3:K3"/>
    <mergeCell ref="N3:N10"/>
  </mergeCells>
  <conditionalFormatting sqref="I11">
    <cfRule type="expression" dxfId="12" priority="1">
      <formula>IFS(C4="Male", ISBETWEEN(C8,14,17.999), C4="Female", ISBETWEEN(C8,21,24.999))</formula>
    </cfRule>
  </conditionalFormatting>
  <conditionalFormatting sqref="J11">
    <cfRule type="expression" dxfId="12" priority="2">
      <formula>IFS(C4="Male", ISBETWEEN(C8,14,17.999), C4="Female", ISBETWEEN(C8,21,24.999))</formula>
    </cfRule>
  </conditionalFormatting>
  <conditionalFormatting sqref="K11">
    <cfRule type="expression" dxfId="12" priority="3">
      <formula>IFS(C4="Male", ISBETWEEN(C8,14,17.999), C4="Female", ISBETWEEN(C8,21,24.999))</formula>
    </cfRule>
  </conditionalFormatting>
  <conditionalFormatting sqref="I9">
    <cfRule type="expression" dxfId="12" priority="4">
      <formula>IFS(C4="Male", ISBETWEEN(C8,0,5.999), C4="Female", ISBETWEEN(C8,0,13.999))</formula>
    </cfRule>
  </conditionalFormatting>
  <conditionalFormatting sqref="J9">
    <cfRule type="expression" dxfId="12" priority="5">
      <formula>IFS(C4="Male", ISBETWEEN(C8,0,5.999), C4="Female", ISBETWEEN(C8,0,13.999))</formula>
    </cfRule>
  </conditionalFormatting>
  <conditionalFormatting sqref="K9">
    <cfRule type="expression" dxfId="12" priority="6">
      <formula>IFS(C4="Male", ISBETWEEN(C8,0,5.999), C4="Female", ISBETWEEN(C8,0,13.999))</formula>
    </cfRule>
  </conditionalFormatting>
  <conditionalFormatting sqref="I10">
    <cfRule type="expression" dxfId="12" priority="7">
      <formula>IFS(C4="Male", ISBETWEEN(C8,6,13.999), C4="Female", ISBETWEEN(C8,14,20.999))</formula>
    </cfRule>
  </conditionalFormatting>
  <conditionalFormatting sqref="J10">
    <cfRule type="expression" dxfId="12" priority="8">
      <formula>IFS(C4="Male", ISBETWEEN(C8,6,13.999), C4="Female", ISBETWEEN(C8,14,20.999))</formula>
    </cfRule>
  </conditionalFormatting>
  <conditionalFormatting sqref="K10">
    <cfRule type="expression" dxfId="12" priority="9">
      <formula>IFS(C4="Male", ISBETWEEN(C8,6,13.999), C4="Female", ISBETWEEN(C8,14,20.999))</formula>
    </cfRule>
  </conditionalFormatting>
  <conditionalFormatting sqref="I12">
    <cfRule type="expression" dxfId="12" priority="10">
      <formula>IFS(C4="Male", ISBETWEEN(C8,18,24.999), C4="Female", ISBETWEEN(C8,25,31.999))</formula>
    </cfRule>
  </conditionalFormatting>
  <conditionalFormatting sqref="J12">
    <cfRule type="expression" dxfId="12" priority="11">
      <formula>IFS(C4="Male", ISBETWEEN(C8,18,24.999), C4="Female", ISBETWEEN(C8,25,31.999))</formula>
    </cfRule>
  </conditionalFormatting>
  <conditionalFormatting sqref="K12">
    <cfRule type="expression" dxfId="12" priority="12">
      <formula>IFS(C4="Male", ISBETWEEN(C8,18,24.999), C4="Female", ISBETWEEN(C8,25,31.999))</formula>
    </cfRule>
  </conditionalFormatting>
  <conditionalFormatting sqref="I13">
    <cfRule type="expression" dxfId="12" priority="13">
      <formula>IFS(C4="Male", ISBETWEEN(C8,25,29.999), C4="Female", ISBETWEEN(C8,32,39.999))</formula>
    </cfRule>
  </conditionalFormatting>
  <conditionalFormatting sqref="J13">
    <cfRule type="expression" dxfId="12" priority="14">
      <formula>IFS(C4="Male", ISBETWEEN(C8,25,29.999), C4="Female", ISBETWEEN(C8,32,39.999))</formula>
    </cfRule>
  </conditionalFormatting>
  <conditionalFormatting sqref="K13">
    <cfRule type="expression" dxfId="12" priority="15">
      <formula>IFS(C4="Male", ISBETWEEN(C8,25,29.999), C4="Female", ISBETWEEN(C8,32,39.999))</formula>
    </cfRule>
  </conditionalFormatting>
  <conditionalFormatting sqref="I14">
    <cfRule type="expression" dxfId="12" priority="16">
      <formula>IFS(C4="Male", ISBETWEEN(C8,30,99.999), C4="Female", ISBETWEEN(C8,40,99.999))</formula>
    </cfRule>
  </conditionalFormatting>
  <conditionalFormatting sqref="J14">
    <cfRule type="expression" dxfId="12" priority="17">
      <formula>IFS(C4="Male", ISBETWEEN(C8,30,99.999), C4="Female", ISBETWEEN(C8,40,99.999))</formula>
    </cfRule>
  </conditionalFormatting>
  <conditionalFormatting sqref="K14">
    <cfRule type="expression" dxfId="12" priority="18">
      <formula>IFS(C4="Male", ISBETWEEN(C8,30,99.999), C4="Female", ISBETWEEN(C8,40,99.999))</formula>
    </cfRule>
  </conditionalFormatting>
  <conditionalFormatting sqref="I18">
    <cfRule type="expression" dxfId="12" priority="19">
      <formula>IFS(C4="Male", ISBETWEEN(C12,0,17.999), C4="Female", ISBETWEEN(C12,0,14.999))</formula>
    </cfRule>
  </conditionalFormatting>
  <conditionalFormatting sqref="J18">
    <cfRule type="expression" dxfId="12" priority="20">
      <formula>IFS(C4="Male", ISBETWEEN(C12,0,17.999), C4="Female", ISBETWEEN(C12,0,14.999))</formula>
    </cfRule>
  </conditionalFormatting>
  <conditionalFormatting sqref="K18">
    <cfRule type="expression" dxfId="12" priority="21">
      <formula>IFS(C4="Male", ISBETWEEN(C12,0,17.999), C4="Female", ISBETWEEN(C12,0,14.999))</formula>
    </cfRule>
  </conditionalFormatting>
  <conditionalFormatting sqref="J19">
    <cfRule type="expression" dxfId="12" priority="22">
      <formula>IFS(C4="Male", ISBETWEEN(C12,18,19.999), C4="Female", ISBETWEEN(C12,15,15.999))</formula>
    </cfRule>
  </conditionalFormatting>
  <conditionalFormatting sqref="K19">
    <cfRule type="expression" dxfId="12" priority="23">
      <formula>IFS(C4="Male", ISBETWEEN(C12,18,19.999), C4="Female", ISBETWEEN(C12,15,15.999))</formula>
    </cfRule>
  </conditionalFormatting>
  <conditionalFormatting sqref="I19">
    <cfRule type="expression" dxfId="12" priority="24">
      <formula>IFS(C4="Male", ISBETWEEN(C12,18,19.999), C4="Female", ISBETWEEN(C12,15,15.999))</formula>
    </cfRule>
  </conditionalFormatting>
  <conditionalFormatting sqref="I20">
    <cfRule type="expression" dxfId="12" priority="25">
      <formula>IFS(C4="Male", ISBETWEEN(C12,20,21.999), C4="Female", ISBETWEEN(C12,16,17.999))</formula>
    </cfRule>
  </conditionalFormatting>
  <conditionalFormatting sqref="J20">
    <cfRule type="expression" dxfId="12" priority="26">
      <formula>IFS(C4="Male", ISBETWEEN(C12,20,21.999), C4="Female", ISBETWEEN(C12,16,17.999))</formula>
    </cfRule>
  </conditionalFormatting>
  <conditionalFormatting sqref="K20">
    <cfRule type="expression" dxfId="12" priority="27">
      <formula>IFS(C4="Male", ISBETWEEN(C12,20,21.999), C4="Female", ISBETWEEN(C12,16,17.999))</formula>
    </cfRule>
  </conditionalFormatting>
  <conditionalFormatting sqref="I21">
    <cfRule type="expression" dxfId="12" priority="28">
      <formula>IFS(C4="Male", ISBETWEEN(C12,22,23.999), C4="Female", ISBETWEEN(C12,18,19.999))</formula>
    </cfRule>
  </conditionalFormatting>
  <conditionalFormatting sqref="J21">
    <cfRule type="expression" dxfId="12" priority="29">
      <formula>IFS(C4="Male", ISBETWEEN(C12,22,23.999), C4="Female", ISBETWEEN(C12,18,19.999))</formula>
    </cfRule>
  </conditionalFormatting>
  <conditionalFormatting sqref="K21">
    <cfRule type="expression" dxfId="12" priority="30">
      <formula>IFS(C4="Male", ISBETWEEN(C12,22,23.999), C4="Female", ISBETWEEN(C12,18,19.999))</formula>
    </cfRule>
  </conditionalFormatting>
  <conditionalFormatting sqref="I22">
    <cfRule type="expression" dxfId="12" priority="31">
      <formula>IFS(C4="Male", ISBETWEEN(C12,24,99.999), C4="Female", ISBETWEEN(C12,20,99.999))</formula>
    </cfRule>
  </conditionalFormatting>
  <conditionalFormatting sqref="J22">
    <cfRule type="expression" dxfId="12" priority="32">
      <formula>IFS(C4="Male", ISBETWEEN(C12,24,99.999), C4="Female", ISBETWEEN(C12,20,99.999))</formula>
    </cfRule>
  </conditionalFormatting>
  <conditionalFormatting sqref="K22">
    <cfRule type="expression" dxfId="12" priority="33">
      <formula>IFS(C4="Male", ISBETWEEN(C12,24,99.999), C4="Female", ISBETWEEN(C12,20,99.999))</formula>
    </cfRule>
  </conditionalFormatting>
  <dataValidations>
    <dataValidation type="list" allowBlank="1" sqref="D24">
      <formula1>"inches to cm,cm to inches"</formula1>
    </dataValidation>
    <dataValidation type="list" allowBlank="1" sqref="C4">
      <formula1>"Male,Female"</formula1>
    </dataValidation>
    <dataValidation type="list" allowBlank="1" sqref="G6">
      <formula1>"None,Sedentary,Lightly Active,Moderately Active,Very Active,Highly Active"</formula1>
    </dataValidation>
    <dataValidation type="decimal" allowBlank="1" showDropDown="1" showInputMessage="1" showErrorMessage="1" prompt="Please enter height in either inches or centimeters." sqref="C6">
      <formula1>24.0</formula1>
      <formula2>300.0</formula2>
    </dataValidation>
    <dataValidation type="list" allowBlank="1" sqref="C15">
      <formula1>"Low Fat / High Carb,Med Fats/Carbs,High Fat / Low Carb"</formula1>
    </dataValidation>
    <dataValidation type="list" allowBlank="1" sqref="G9 G12">
      <formula1>"None,1 hour/week,2 hours/week,3 hours/week,4 hours/week,5 hours/week,6 hours/week,7 hours/week,8 hours/week,9 hours/week,10 hours/week,11 hours/week,12 hours/week"</formula1>
    </dataValidation>
    <dataValidation type="list" allowBlank="1" sqref="E14">
      <formula1>"Rapid Weight Loss,Quick Weight Loss,Steady Weight Loss,Weight Stable,Steady Weight Gain,Quick Weight Gain,Rapid Weight Gain"</formula1>
    </dataValidation>
    <dataValidation type="list" allowBlank="1" sqref="D20 D22">
      <formula1>"lbs to kg,kg to lbs"</formula1>
    </dataValidation>
    <dataValidation type="list" allowBlank="1" sqref="C14">
      <formula1>"Low Protein,Med Protein,High Protein"</formula1>
    </dataValidation>
    <dataValidation type="list" allowBlank="1" sqref="B3">
      <formula1>"Imperial
↓,Metric
↓"</formula1>
    </dataValidation>
    <dataValidation type="decimal" allowBlank="1" showDropDown="1" showInputMessage="1" showErrorMessage="1" prompt="If unsure, reference the descriptions on the right." sqref="C8">
      <formula1>2.0</formula1>
      <formula2>70.0</formula2>
    </dataValidation>
    <dataValidation type="decimal" allowBlank="1" showDropDown="1" showInputMessage="1" showErrorMessage="1" prompt="Please enter weight in either pounds or kilograms." sqref="C7">
      <formula1>10.0</formula1>
      <formula2>2000.0</formula2>
    </dataValidation>
  </dataValidations>
  <hyperlinks>
    <hyperlink r:id="rId1" ref="N3"/>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outlineLevelCol="1"/>
  <cols>
    <col customWidth="1" min="1" max="1" width="0.43"/>
    <col customWidth="1" min="2" max="2" width="3.57"/>
    <col customWidth="1" min="3" max="3" width="17.29"/>
    <col customWidth="1" min="4" max="4" width="5.29"/>
    <col customWidth="1" min="5" max="5" width="4.43"/>
    <col collapsed="1" customWidth="1" min="6" max="6" width="4.43"/>
    <col customWidth="1" hidden="1" min="7" max="7" width="5.29" outlineLevel="1"/>
    <col customWidth="1" hidden="1" min="8" max="9" width="4.43" outlineLevel="1"/>
    <col customWidth="1" hidden="1" min="10" max="10" width="5.29" outlineLevel="1"/>
    <col customWidth="1" hidden="1" min="11" max="12" width="4.43" outlineLevel="1"/>
    <col customWidth="1" hidden="1" min="13" max="13" width="5.29" outlineLevel="1"/>
    <col customWidth="1" hidden="1" min="14" max="15" width="4.43" outlineLevel="1"/>
    <col customWidth="1" hidden="1" min="16" max="16" width="5.29" outlineLevel="1"/>
    <col customWidth="1" hidden="1" min="17" max="18" width="4.43" outlineLevel="1"/>
    <col customWidth="1" hidden="1" min="19" max="19" width="5.29" outlineLevel="1"/>
    <col customWidth="1" hidden="1" min="20" max="21" width="4.43" outlineLevel="1"/>
    <col customWidth="1" min="22" max="22" width="13.0"/>
    <col customWidth="1" min="23" max="23" width="3.57"/>
    <col customWidth="1" min="24" max="24" width="17.29"/>
    <col customWidth="1" min="25" max="26" width="7.0"/>
    <col customWidth="1" min="27" max="27" width="13.0"/>
    <col customWidth="1" min="28" max="28" width="4.43"/>
  </cols>
  <sheetData>
    <row r="1" ht="45.0" customHeight="1">
      <c r="A1" s="262"/>
      <c r="B1" s="263" t="s">
        <v>214</v>
      </c>
      <c r="C1" s="264"/>
      <c r="D1" s="264"/>
      <c r="E1" s="264"/>
      <c r="F1" s="265"/>
      <c r="G1" s="263"/>
      <c r="H1" s="263"/>
      <c r="I1" s="263"/>
      <c r="J1" s="263"/>
      <c r="K1" s="263"/>
      <c r="L1" s="263"/>
      <c r="M1" s="263"/>
      <c r="N1" s="263"/>
      <c r="O1" s="263"/>
      <c r="P1" s="263"/>
      <c r="Q1" s="263"/>
      <c r="R1" s="263"/>
      <c r="S1" s="263"/>
      <c r="T1" s="263"/>
      <c r="U1" s="263"/>
      <c r="V1" s="266"/>
      <c r="W1" s="263" t="s">
        <v>215</v>
      </c>
      <c r="X1" s="264"/>
      <c r="Y1" s="264"/>
      <c r="Z1" s="264"/>
      <c r="AA1" s="193"/>
      <c r="AB1" s="193"/>
    </row>
    <row r="2" ht="15.0" customHeight="1">
      <c r="A2" s="267"/>
      <c r="B2" s="268"/>
      <c r="C2" s="269"/>
      <c r="D2" s="270" t="s">
        <v>216</v>
      </c>
      <c r="F2" s="271"/>
      <c r="G2" s="270" t="s">
        <v>217</v>
      </c>
      <c r="I2" s="271"/>
      <c r="J2" s="270" t="s">
        <v>218</v>
      </c>
      <c r="L2" s="271"/>
      <c r="M2" s="270" t="s">
        <v>219</v>
      </c>
      <c r="O2" s="271"/>
      <c r="P2" s="270" t="s">
        <v>220</v>
      </c>
      <c r="R2" s="271"/>
      <c r="S2" s="270" t="s">
        <v>221</v>
      </c>
      <c r="V2" s="193"/>
      <c r="W2" s="268"/>
      <c r="X2" s="272"/>
      <c r="Y2" s="273" t="s">
        <v>222</v>
      </c>
      <c r="Z2" s="274">
        <v>1.0</v>
      </c>
      <c r="AA2" s="193"/>
      <c r="AB2" s="193"/>
    </row>
    <row r="3" ht="15.0" customHeight="1">
      <c r="A3" s="267"/>
      <c r="B3" s="268"/>
      <c r="C3" s="275" t="s">
        <v>223</v>
      </c>
      <c r="D3" s="276" t="s">
        <v>28</v>
      </c>
      <c r="E3" s="276" t="s">
        <v>27</v>
      </c>
      <c r="F3" s="277" t="s">
        <v>224</v>
      </c>
      <c r="G3" s="276" t="s">
        <v>28</v>
      </c>
      <c r="H3" s="276" t="s">
        <v>27</v>
      </c>
      <c r="I3" s="277" t="s">
        <v>224</v>
      </c>
      <c r="J3" s="276" t="s">
        <v>28</v>
      </c>
      <c r="K3" s="276" t="s">
        <v>27</v>
      </c>
      <c r="L3" s="277" t="s">
        <v>224</v>
      </c>
      <c r="M3" s="276" t="s">
        <v>28</v>
      </c>
      <c r="N3" s="276" t="s">
        <v>27</v>
      </c>
      <c r="O3" s="277" t="s">
        <v>224</v>
      </c>
      <c r="P3" s="276" t="s">
        <v>28</v>
      </c>
      <c r="Q3" s="276" t="s">
        <v>27</v>
      </c>
      <c r="R3" s="277" t="s">
        <v>224</v>
      </c>
      <c r="S3" s="276" t="s">
        <v>28</v>
      </c>
      <c r="T3" s="276" t="s">
        <v>27</v>
      </c>
      <c r="U3" s="276" t="s">
        <v>224</v>
      </c>
      <c r="V3" s="193"/>
      <c r="W3" s="268"/>
      <c r="X3" s="278" t="s">
        <v>225</v>
      </c>
      <c r="Y3" s="279" t="s">
        <v>28</v>
      </c>
      <c r="Z3" s="279" t="s">
        <v>226</v>
      </c>
      <c r="AA3" s="193"/>
      <c r="AB3" s="142" t="s">
        <v>96</v>
      </c>
    </row>
    <row r="4">
      <c r="A4" s="280"/>
      <c r="B4" s="281" t="s">
        <v>227</v>
      </c>
      <c r="C4" s="282" t="s">
        <v>228</v>
      </c>
      <c r="D4" s="229">
        <v>100.0</v>
      </c>
      <c r="E4" s="229">
        <v>4.0</v>
      </c>
      <c r="F4" s="283">
        <v>0.0</v>
      </c>
      <c r="G4" s="229"/>
      <c r="H4" s="229"/>
      <c r="I4" s="283"/>
      <c r="J4" s="229"/>
      <c r="K4" s="229"/>
      <c r="L4" s="283"/>
      <c r="M4" s="229"/>
      <c r="N4" s="229"/>
      <c r="O4" s="283"/>
      <c r="P4" s="229"/>
      <c r="Q4" s="229"/>
      <c r="R4" s="283"/>
      <c r="S4" s="229"/>
      <c r="T4" s="229"/>
      <c r="U4" s="229"/>
      <c r="V4" s="193"/>
      <c r="W4" s="281" t="s">
        <v>229</v>
      </c>
      <c r="X4" s="284" t="s">
        <v>230</v>
      </c>
      <c r="Y4" s="285">
        <f>IFS((VLOOKUP(X3,C4:U67,(2+Z2+((Z2-1)*2)),FALSE)+VLOOKUP(X3,C4:U67,(3+Z2+((Z2-1)*2)),FALSE))&lt;10.5,(VLOOKUP(X3,C4:U67,(1+Z2+((Z2-1)*2)),FALSE)/(1.0278-((VLOOKUP(X3,C4:U67,(2+Z2+((Z2-1)*2)),FALSE)+VLOOKUP(X3,C4:U67,(3+Z2+((Z2-1)*2)),FALSE))*0.0278))),(VLOOKUP(X3,C4:U67,(2+Z2+((Z2-1)*2)),FALSE)+VLOOKUP(X3,C4:U67,(3+Z2+((Z2-1)*2)),FALSE))&gt;10.5,((VLOOKUP(X3,C4:U67,(1+Z2+((Z2-1)*2)),FALSE))*(1+((VLOOKUP(X3,C4:U67,(2+Z2+((Z2-1)*2)),FALSE)+VLOOKUP(X3,C4:U67,(3+Z2+((Z2-1)*2)),FALSE))/30))))</f>
        <v>109.0988436</v>
      </c>
      <c r="Z4" s="286">
        <f>Y4/Y4</f>
        <v>1</v>
      </c>
      <c r="AA4" s="193"/>
      <c r="AB4" s="152"/>
    </row>
    <row r="5">
      <c r="A5" s="280"/>
      <c r="B5" s="287"/>
      <c r="C5" s="288" t="s">
        <v>225</v>
      </c>
      <c r="D5" s="230">
        <v>100.0</v>
      </c>
      <c r="E5" s="230">
        <v>4.0</v>
      </c>
      <c r="F5" s="289">
        <v>0.0</v>
      </c>
      <c r="G5" s="230"/>
      <c r="H5" s="230"/>
      <c r="I5" s="289"/>
      <c r="J5" s="230"/>
      <c r="K5" s="230"/>
      <c r="L5" s="289"/>
      <c r="M5" s="230"/>
      <c r="N5" s="230"/>
      <c r="O5" s="289"/>
      <c r="P5" s="230"/>
      <c r="Q5" s="230"/>
      <c r="R5" s="289"/>
      <c r="S5" s="230"/>
      <c r="T5" s="230"/>
      <c r="U5" s="230"/>
      <c r="V5" s="193"/>
      <c r="W5" s="287"/>
      <c r="X5" s="284" t="s">
        <v>231</v>
      </c>
      <c r="Y5" s="290">
        <f>Y4*(1.0278-(2*0.0278))</f>
        <v>106.0658957</v>
      </c>
      <c r="Z5" s="286">
        <f>Y5/Y4</f>
        <v>0.9722</v>
      </c>
      <c r="AA5" s="193"/>
      <c r="AB5" s="152"/>
    </row>
    <row r="6">
      <c r="A6" s="280"/>
      <c r="B6" s="287"/>
      <c r="C6" s="282" t="s">
        <v>232</v>
      </c>
      <c r="D6" s="229">
        <v>1.0</v>
      </c>
      <c r="E6" s="229">
        <v>1.0</v>
      </c>
      <c r="F6" s="283">
        <v>1.0</v>
      </c>
      <c r="G6" s="229"/>
      <c r="H6" s="229"/>
      <c r="I6" s="283"/>
      <c r="J6" s="229"/>
      <c r="K6" s="229"/>
      <c r="L6" s="283"/>
      <c r="M6" s="229"/>
      <c r="N6" s="229"/>
      <c r="O6" s="283"/>
      <c r="P6" s="229"/>
      <c r="Q6" s="229"/>
      <c r="R6" s="283"/>
      <c r="S6" s="229"/>
      <c r="T6" s="229"/>
      <c r="U6" s="229"/>
      <c r="V6" s="193"/>
      <c r="W6" s="287"/>
      <c r="X6" s="284" t="s">
        <v>233</v>
      </c>
      <c r="Y6" s="285">
        <f>Y4*(1.0278-(3*0.0278))</f>
        <v>103.0329479</v>
      </c>
      <c r="Z6" s="286">
        <f>Y6/Y4</f>
        <v>0.9444</v>
      </c>
      <c r="AA6" s="193"/>
      <c r="AB6" s="152"/>
    </row>
    <row r="7">
      <c r="A7" s="280"/>
      <c r="B7" s="287"/>
      <c r="C7" s="288" t="s">
        <v>234</v>
      </c>
      <c r="D7" s="230">
        <v>1.0</v>
      </c>
      <c r="E7" s="230">
        <v>1.0</v>
      </c>
      <c r="F7" s="289">
        <v>1.0</v>
      </c>
      <c r="G7" s="230"/>
      <c r="H7" s="230"/>
      <c r="I7" s="289"/>
      <c r="J7" s="230"/>
      <c r="K7" s="230"/>
      <c r="L7" s="289"/>
      <c r="M7" s="230"/>
      <c r="N7" s="230"/>
      <c r="O7" s="289"/>
      <c r="P7" s="230"/>
      <c r="Q7" s="230"/>
      <c r="R7" s="289"/>
      <c r="S7" s="230"/>
      <c r="T7" s="230"/>
      <c r="U7" s="230"/>
      <c r="V7" s="193"/>
      <c r="W7" s="287"/>
      <c r="X7" s="284" t="s">
        <v>235</v>
      </c>
      <c r="Y7" s="290">
        <f>Y4*(1.0278-(4*0.0278))</f>
        <v>100</v>
      </c>
      <c r="Z7" s="286">
        <f>Y7/Y4</f>
        <v>0.9166</v>
      </c>
      <c r="AA7" s="193"/>
      <c r="AB7" s="152"/>
    </row>
    <row r="8">
      <c r="A8" s="280"/>
      <c r="B8" s="287"/>
      <c r="C8" s="282" t="s">
        <v>236</v>
      </c>
      <c r="D8" s="229">
        <v>1.0</v>
      </c>
      <c r="E8" s="229">
        <v>1.0</v>
      </c>
      <c r="F8" s="283">
        <v>1.0</v>
      </c>
      <c r="G8" s="229"/>
      <c r="H8" s="229"/>
      <c r="I8" s="283"/>
      <c r="J8" s="229"/>
      <c r="K8" s="229"/>
      <c r="L8" s="283"/>
      <c r="M8" s="229"/>
      <c r="N8" s="229"/>
      <c r="O8" s="283"/>
      <c r="P8" s="229"/>
      <c r="Q8" s="229"/>
      <c r="R8" s="283"/>
      <c r="S8" s="229"/>
      <c r="T8" s="229"/>
      <c r="U8" s="229"/>
      <c r="V8" s="193"/>
      <c r="W8" s="287"/>
      <c r="X8" s="284" t="s">
        <v>237</v>
      </c>
      <c r="Y8" s="285">
        <f>Y4*(1.0278-(5*0.0278))</f>
        <v>96.96705215</v>
      </c>
      <c r="Z8" s="286">
        <f>Y8/Y4</f>
        <v>0.8888</v>
      </c>
      <c r="AA8" s="193"/>
      <c r="AB8" s="152"/>
    </row>
    <row r="9">
      <c r="A9" s="280"/>
      <c r="B9" s="287"/>
      <c r="C9" s="288" t="s">
        <v>238</v>
      </c>
      <c r="D9" s="230">
        <v>1.0</v>
      </c>
      <c r="E9" s="230">
        <v>1.0</v>
      </c>
      <c r="F9" s="289">
        <v>1.0</v>
      </c>
      <c r="G9" s="230"/>
      <c r="H9" s="230"/>
      <c r="I9" s="289"/>
      <c r="J9" s="230"/>
      <c r="K9" s="230"/>
      <c r="L9" s="289"/>
      <c r="M9" s="230"/>
      <c r="N9" s="230"/>
      <c r="O9" s="289"/>
      <c r="P9" s="230"/>
      <c r="Q9" s="230"/>
      <c r="R9" s="289"/>
      <c r="S9" s="230"/>
      <c r="T9" s="230"/>
      <c r="U9" s="230"/>
      <c r="V9" s="193"/>
      <c r="W9" s="291" t="s">
        <v>239</v>
      </c>
      <c r="X9" s="284" t="s">
        <v>240</v>
      </c>
      <c r="Y9" s="290">
        <f>Y4*(1.0278-(6*0.0278))</f>
        <v>93.9341043</v>
      </c>
      <c r="Z9" s="286">
        <f>Y9/Y4</f>
        <v>0.861</v>
      </c>
      <c r="AA9" s="193"/>
      <c r="AB9" s="152"/>
    </row>
    <row r="10">
      <c r="A10" s="280"/>
      <c r="B10" s="287"/>
      <c r="C10" s="282" t="s">
        <v>241</v>
      </c>
      <c r="D10" s="229">
        <v>1.0</v>
      </c>
      <c r="E10" s="229">
        <v>1.0</v>
      </c>
      <c r="F10" s="283">
        <v>1.0</v>
      </c>
      <c r="G10" s="229"/>
      <c r="H10" s="229"/>
      <c r="I10" s="283"/>
      <c r="J10" s="229"/>
      <c r="K10" s="229"/>
      <c r="L10" s="283"/>
      <c r="M10" s="229"/>
      <c r="N10" s="229"/>
      <c r="O10" s="283"/>
      <c r="P10" s="229"/>
      <c r="Q10" s="229"/>
      <c r="R10" s="283"/>
      <c r="S10" s="229"/>
      <c r="T10" s="229"/>
      <c r="U10" s="229"/>
      <c r="V10" s="193"/>
      <c r="W10" s="287"/>
      <c r="X10" s="284" t="s">
        <v>242</v>
      </c>
      <c r="Y10" s="290">
        <f>Y4*(1.0278-(7*0.0278))</f>
        <v>90.90115645</v>
      </c>
      <c r="Z10" s="286">
        <f>Y10/Y4</f>
        <v>0.8332</v>
      </c>
      <c r="AA10" s="193"/>
      <c r="AB10" s="172"/>
    </row>
    <row r="11">
      <c r="A11" s="280"/>
      <c r="B11" s="287"/>
      <c r="C11" s="288" t="s">
        <v>243</v>
      </c>
      <c r="D11" s="230">
        <v>1.0</v>
      </c>
      <c r="E11" s="230">
        <v>1.0</v>
      </c>
      <c r="F11" s="289">
        <v>1.0</v>
      </c>
      <c r="G11" s="230"/>
      <c r="H11" s="230"/>
      <c r="I11" s="289"/>
      <c r="J11" s="230"/>
      <c r="K11" s="230"/>
      <c r="L11" s="289"/>
      <c r="M11" s="230"/>
      <c r="N11" s="230"/>
      <c r="O11" s="289"/>
      <c r="P11" s="230"/>
      <c r="Q11" s="230"/>
      <c r="R11" s="289"/>
      <c r="S11" s="230"/>
      <c r="T11" s="230"/>
      <c r="U11" s="230"/>
      <c r="V11" s="193"/>
      <c r="W11" s="287"/>
      <c r="X11" s="284" t="s">
        <v>244</v>
      </c>
      <c r="Y11" s="290">
        <f>Y4*(1.0278-(8*0.0278))</f>
        <v>87.8682086</v>
      </c>
      <c r="Z11" s="286">
        <f>Y11/Y4</f>
        <v>0.8054</v>
      </c>
      <c r="AA11" s="193"/>
      <c r="AB11" s="193"/>
    </row>
    <row r="12">
      <c r="A12" s="280"/>
      <c r="B12" s="287"/>
      <c r="C12" s="282" t="s">
        <v>245</v>
      </c>
      <c r="D12" s="229">
        <v>1.0</v>
      </c>
      <c r="E12" s="229">
        <v>1.0</v>
      </c>
      <c r="F12" s="283">
        <v>1.0</v>
      </c>
      <c r="G12" s="229"/>
      <c r="H12" s="229"/>
      <c r="I12" s="283"/>
      <c r="J12" s="229"/>
      <c r="K12" s="229"/>
      <c r="L12" s="283"/>
      <c r="M12" s="229"/>
      <c r="N12" s="229"/>
      <c r="O12" s="283"/>
      <c r="P12" s="229"/>
      <c r="Q12" s="229"/>
      <c r="R12" s="283"/>
      <c r="S12" s="229"/>
      <c r="T12" s="229"/>
      <c r="U12" s="229"/>
      <c r="V12" s="193"/>
      <c r="W12" s="287"/>
      <c r="X12" s="284" t="s">
        <v>246</v>
      </c>
      <c r="Y12" s="290">
        <f>Y4*(1.0278-(9*0.0278))</f>
        <v>84.83526075</v>
      </c>
      <c r="Z12" s="286">
        <f>Y12/Y4</f>
        <v>0.7776</v>
      </c>
      <c r="AA12" s="193"/>
      <c r="AB12" s="193"/>
    </row>
    <row r="13">
      <c r="A13" s="280"/>
      <c r="B13" s="292"/>
      <c r="C13" s="288" t="s">
        <v>247</v>
      </c>
      <c r="D13" s="230">
        <v>1.0</v>
      </c>
      <c r="E13" s="230">
        <v>1.0</v>
      </c>
      <c r="F13" s="289">
        <v>1.0</v>
      </c>
      <c r="G13" s="230"/>
      <c r="H13" s="230"/>
      <c r="I13" s="289"/>
      <c r="J13" s="230"/>
      <c r="K13" s="230"/>
      <c r="L13" s="289"/>
      <c r="M13" s="230"/>
      <c r="N13" s="230"/>
      <c r="O13" s="289"/>
      <c r="P13" s="230"/>
      <c r="Q13" s="230"/>
      <c r="R13" s="289"/>
      <c r="S13" s="230"/>
      <c r="T13" s="230"/>
      <c r="U13" s="230"/>
      <c r="V13" s="193"/>
      <c r="W13" s="287"/>
      <c r="X13" s="284" t="s">
        <v>248</v>
      </c>
      <c r="Y13" s="290">
        <f>Y4*(1.0278-(10*0.0278))</f>
        <v>81.8023129</v>
      </c>
      <c r="Z13" s="286">
        <f>Y13/Y4</f>
        <v>0.7498</v>
      </c>
      <c r="AA13" s="193"/>
      <c r="AB13" s="193"/>
    </row>
    <row r="14">
      <c r="A14" s="280"/>
      <c r="B14" s="281" t="s">
        <v>249</v>
      </c>
      <c r="C14" s="282" t="s">
        <v>250</v>
      </c>
      <c r="D14" s="229">
        <v>1.0</v>
      </c>
      <c r="E14" s="229">
        <v>1.0</v>
      </c>
      <c r="F14" s="283">
        <v>1.0</v>
      </c>
      <c r="G14" s="229"/>
      <c r="H14" s="229"/>
      <c r="I14" s="283"/>
      <c r="J14" s="229"/>
      <c r="K14" s="229"/>
      <c r="L14" s="283"/>
      <c r="M14" s="229"/>
      <c r="N14" s="229"/>
      <c r="O14" s="283"/>
      <c r="P14" s="229"/>
      <c r="Q14" s="229"/>
      <c r="R14" s="283"/>
      <c r="S14" s="229"/>
      <c r="T14" s="229"/>
      <c r="U14" s="229"/>
      <c r="V14" s="193"/>
      <c r="W14" s="287"/>
      <c r="X14" s="284" t="s">
        <v>251</v>
      </c>
      <c r="Y14" s="290">
        <f>Y4/(1+(11/30))</f>
        <v>79.82842211</v>
      </c>
      <c r="Z14" s="286">
        <f>Y14/Y4</f>
        <v>0.7317073171</v>
      </c>
      <c r="AA14" s="193"/>
      <c r="AB14" s="193"/>
    </row>
    <row r="15">
      <c r="A15" s="280"/>
      <c r="B15" s="287"/>
      <c r="C15" s="288" t="s">
        <v>252</v>
      </c>
      <c r="D15" s="230">
        <v>1.0</v>
      </c>
      <c r="E15" s="230">
        <v>1.0</v>
      </c>
      <c r="F15" s="289">
        <v>1.0</v>
      </c>
      <c r="G15" s="230"/>
      <c r="H15" s="230"/>
      <c r="I15" s="289"/>
      <c r="J15" s="230"/>
      <c r="K15" s="230"/>
      <c r="L15" s="289"/>
      <c r="M15" s="230"/>
      <c r="N15" s="230"/>
      <c r="O15" s="289"/>
      <c r="P15" s="230"/>
      <c r="Q15" s="230"/>
      <c r="R15" s="289"/>
      <c r="S15" s="230"/>
      <c r="T15" s="230"/>
      <c r="U15" s="230"/>
      <c r="V15" s="193"/>
      <c r="W15" s="292"/>
      <c r="X15" s="284" t="s">
        <v>253</v>
      </c>
      <c r="Y15" s="290">
        <f>Y4/(1+(12/30))</f>
        <v>77.92774539</v>
      </c>
      <c r="Z15" s="286">
        <f>Y15/Y4</f>
        <v>0.7142857143</v>
      </c>
      <c r="AA15" s="193"/>
      <c r="AB15" s="193"/>
    </row>
    <row r="16">
      <c r="A16" s="280"/>
      <c r="B16" s="287"/>
      <c r="C16" s="282" t="s">
        <v>254</v>
      </c>
      <c r="D16" s="229">
        <v>1.0</v>
      </c>
      <c r="E16" s="229">
        <v>1.0</v>
      </c>
      <c r="F16" s="283">
        <v>1.0</v>
      </c>
      <c r="G16" s="229"/>
      <c r="H16" s="229"/>
      <c r="I16" s="283"/>
      <c r="J16" s="229"/>
      <c r="K16" s="229"/>
      <c r="L16" s="283"/>
      <c r="M16" s="229"/>
      <c r="N16" s="229"/>
      <c r="O16" s="283"/>
      <c r="P16" s="229"/>
      <c r="Q16" s="229"/>
      <c r="R16" s="283"/>
      <c r="S16" s="229"/>
      <c r="T16" s="229"/>
      <c r="U16" s="229"/>
      <c r="V16" s="193"/>
      <c r="W16" s="281" t="s">
        <v>255</v>
      </c>
      <c r="X16" s="284" t="s">
        <v>256</v>
      </c>
      <c r="Y16" s="290">
        <f>Y4/(1+(13/30))</f>
        <v>76.11547225</v>
      </c>
      <c r="Z16" s="286">
        <f>Y16/Y4</f>
        <v>0.6976744186</v>
      </c>
      <c r="AA16" s="193"/>
      <c r="AB16" s="193"/>
    </row>
    <row r="17">
      <c r="A17" s="280"/>
      <c r="B17" s="287"/>
      <c r="C17" s="288" t="s">
        <v>257</v>
      </c>
      <c r="D17" s="230">
        <v>1.0</v>
      </c>
      <c r="E17" s="230">
        <v>1.0</v>
      </c>
      <c r="F17" s="289">
        <v>1.0</v>
      </c>
      <c r="G17" s="230"/>
      <c r="H17" s="230"/>
      <c r="I17" s="289"/>
      <c r="J17" s="230"/>
      <c r="K17" s="230"/>
      <c r="L17" s="289"/>
      <c r="M17" s="230"/>
      <c r="N17" s="230"/>
      <c r="O17" s="289"/>
      <c r="P17" s="230"/>
      <c r="Q17" s="230"/>
      <c r="R17" s="289"/>
      <c r="S17" s="230"/>
      <c r="T17" s="230"/>
      <c r="U17" s="230"/>
      <c r="V17" s="193"/>
      <c r="W17" s="287"/>
      <c r="X17" s="284" t="s">
        <v>258</v>
      </c>
      <c r="Y17" s="290">
        <f>Y4/(1+(14/30))</f>
        <v>74.38557515</v>
      </c>
      <c r="Z17" s="286">
        <f>Y17/Y4</f>
        <v>0.6818181818</v>
      </c>
      <c r="AA17" s="193"/>
      <c r="AB17" s="193"/>
    </row>
    <row r="18">
      <c r="A18" s="280"/>
      <c r="B18" s="287"/>
      <c r="C18" s="293" t="s">
        <v>259</v>
      </c>
      <c r="D18" s="229">
        <v>1.0</v>
      </c>
      <c r="E18" s="229">
        <v>1.0</v>
      </c>
      <c r="F18" s="283">
        <v>1.0</v>
      </c>
      <c r="G18" s="229"/>
      <c r="H18" s="229"/>
      <c r="I18" s="283"/>
      <c r="J18" s="229"/>
      <c r="K18" s="229"/>
      <c r="L18" s="283"/>
      <c r="M18" s="229"/>
      <c r="N18" s="229"/>
      <c r="O18" s="283"/>
      <c r="P18" s="229"/>
      <c r="Q18" s="229"/>
      <c r="R18" s="283"/>
      <c r="S18" s="229"/>
      <c r="T18" s="229"/>
      <c r="U18" s="229"/>
      <c r="V18" s="193"/>
      <c r="W18" s="287"/>
      <c r="X18" s="284" t="s">
        <v>260</v>
      </c>
      <c r="Y18" s="290">
        <f>Y4/(1+(15/30))</f>
        <v>72.73256237</v>
      </c>
      <c r="Z18" s="286">
        <f>Y18/Y4</f>
        <v>0.6666666667</v>
      </c>
      <c r="AA18" s="193"/>
      <c r="AB18" s="193"/>
    </row>
    <row r="19">
      <c r="A19" s="280"/>
      <c r="B19" s="287"/>
      <c r="C19" s="288" t="s">
        <v>261</v>
      </c>
      <c r="D19" s="230">
        <v>1.0</v>
      </c>
      <c r="E19" s="230">
        <v>1.0</v>
      </c>
      <c r="F19" s="289">
        <v>1.0</v>
      </c>
      <c r="G19" s="230"/>
      <c r="H19" s="230"/>
      <c r="I19" s="289"/>
      <c r="J19" s="230"/>
      <c r="K19" s="230"/>
      <c r="L19" s="289"/>
      <c r="M19" s="230"/>
      <c r="N19" s="230"/>
      <c r="O19" s="289"/>
      <c r="P19" s="230"/>
      <c r="Q19" s="230"/>
      <c r="R19" s="289"/>
      <c r="S19" s="230"/>
      <c r="T19" s="230"/>
      <c r="U19" s="230"/>
      <c r="V19" s="193"/>
      <c r="W19" s="287"/>
      <c r="X19" s="284" t="s">
        <v>262</v>
      </c>
      <c r="Y19" s="290">
        <f>Y4/(1+(16/30))</f>
        <v>71.15141971</v>
      </c>
      <c r="Z19" s="286">
        <f>Y19/Y4</f>
        <v>0.652173913</v>
      </c>
      <c r="AA19" s="193"/>
      <c r="AB19" s="193"/>
    </row>
    <row r="20">
      <c r="A20" s="280"/>
      <c r="B20" s="287"/>
      <c r="C20" s="282" t="s">
        <v>263</v>
      </c>
      <c r="D20" s="229">
        <v>1.0</v>
      </c>
      <c r="E20" s="229">
        <v>1.0</v>
      </c>
      <c r="F20" s="283">
        <v>1.0</v>
      </c>
      <c r="G20" s="229"/>
      <c r="H20" s="229"/>
      <c r="I20" s="283"/>
      <c r="J20" s="229"/>
      <c r="K20" s="229"/>
      <c r="L20" s="283"/>
      <c r="M20" s="229"/>
      <c r="N20" s="229"/>
      <c r="O20" s="283"/>
      <c r="P20" s="229"/>
      <c r="Q20" s="229"/>
      <c r="R20" s="283"/>
      <c r="S20" s="229"/>
      <c r="T20" s="229"/>
      <c r="U20" s="229"/>
      <c r="V20" s="193"/>
      <c r="W20" s="287"/>
      <c r="X20" s="284" t="s">
        <v>264</v>
      </c>
      <c r="Y20" s="290">
        <f>Y4/(1+(17/30))</f>
        <v>69.63755971</v>
      </c>
      <c r="Z20" s="286">
        <f>Y20/Y4</f>
        <v>0.6382978723</v>
      </c>
      <c r="AA20" s="193"/>
      <c r="AB20" s="193"/>
    </row>
    <row r="21">
      <c r="A21" s="280"/>
      <c r="B21" s="287"/>
      <c r="C21" s="288" t="s">
        <v>265</v>
      </c>
      <c r="D21" s="230">
        <v>1.0</v>
      </c>
      <c r="E21" s="230">
        <v>1.0</v>
      </c>
      <c r="F21" s="289">
        <v>1.0</v>
      </c>
      <c r="G21" s="230"/>
      <c r="H21" s="230"/>
      <c r="I21" s="289"/>
      <c r="J21" s="230"/>
      <c r="K21" s="230"/>
      <c r="L21" s="289"/>
      <c r="M21" s="230"/>
      <c r="N21" s="230"/>
      <c r="O21" s="289"/>
      <c r="P21" s="230"/>
      <c r="Q21" s="230"/>
      <c r="R21" s="289"/>
      <c r="S21" s="230"/>
      <c r="T21" s="230"/>
      <c r="U21" s="230"/>
      <c r="V21" s="193"/>
      <c r="W21" s="287"/>
      <c r="X21" s="284" t="s">
        <v>266</v>
      </c>
      <c r="Y21" s="290">
        <f>Y4/(1+(18/30))</f>
        <v>68.18677722</v>
      </c>
      <c r="Z21" s="286">
        <f>Y21/Y4</f>
        <v>0.625</v>
      </c>
      <c r="AA21" s="193"/>
      <c r="AB21" s="193"/>
    </row>
    <row r="22">
      <c r="A22" s="280"/>
      <c r="B22" s="287"/>
      <c r="C22" s="293" t="s">
        <v>267</v>
      </c>
      <c r="D22" s="229">
        <v>1.0</v>
      </c>
      <c r="E22" s="229">
        <v>1.0</v>
      </c>
      <c r="F22" s="283">
        <v>1.0</v>
      </c>
      <c r="G22" s="229"/>
      <c r="H22" s="229"/>
      <c r="I22" s="283"/>
      <c r="J22" s="229"/>
      <c r="K22" s="229"/>
      <c r="L22" s="283"/>
      <c r="M22" s="229"/>
      <c r="N22" s="229"/>
      <c r="O22" s="283"/>
      <c r="P22" s="229"/>
      <c r="Q22" s="229"/>
      <c r="R22" s="283"/>
      <c r="S22" s="229"/>
      <c r="T22" s="229"/>
      <c r="U22" s="229"/>
      <c r="V22" s="193"/>
      <c r="W22" s="287"/>
      <c r="X22" s="284" t="s">
        <v>268</v>
      </c>
      <c r="Y22" s="290">
        <f>Y4/(1+(19/30))</f>
        <v>66.79521034</v>
      </c>
      <c r="Z22" s="286">
        <f>Y22/Y4</f>
        <v>0.612244898</v>
      </c>
      <c r="AA22" s="193"/>
      <c r="AB22" s="193"/>
    </row>
    <row r="23">
      <c r="A23" s="280"/>
      <c r="B23" s="287"/>
      <c r="C23" s="294" t="s">
        <v>269</v>
      </c>
      <c r="D23" s="230">
        <v>1.0</v>
      </c>
      <c r="E23" s="230">
        <v>1.0</v>
      </c>
      <c r="F23" s="289">
        <v>1.0</v>
      </c>
      <c r="G23" s="230"/>
      <c r="H23" s="230"/>
      <c r="I23" s="289"/>
      <c r="J23" s="230"/>
      <c r="K23" s="230"/>
      <c r="L23" s="289"/>
      <c r="M23" s="230"/>
      <c r="N23" s="230"/>
      <c r="O23" s="289"/>
      <c r="P23" s="230"/>
      <c r="Q23" s="230"/>
      <c r="R23" s="289"/>
      <c r="S23" s="230"/>
      <c r="T23" s="230"/>
      <c r="U23" s="230"/>
      <c r="V23" s="193"/>
      <c r="W23" s="292"/>
      <c r="X23" s="284" t="s">
        <v>270</v>
      </c>
      <c r="Y23" s="290">
        <f>Y4/(1+(20/30))</f>
        <v>65.45930613</v>
      </c>
      <c r="Z23" s="286">
        <f>Y23/Y4</f>
        <v>0.6</v>
      </c>
      <c r="AA23" s="193"/>
      <c r="AB23" s="193"/>
    </row>
    <row r="24">
      <c r="A24" s="280"/>
      <c r="B24" s="287"/>
      <c r="C24" s="293" t="s">
        <v>271</v>
      </c>
      <c r="D24" s="229">
        <v>1.0</v>
      </c>
      <c r="E24" s="229">
        <v>1.0</v>
      </c>
      <c r="F24" s="283">
        <v>1.0</v>
      </c>
      <c r="G24" s="229"/>
      <c r="H24" s="229"/>
      <c r="I24" s="283"/>
      <c r="J24" s="229"/>
      <c r="K24" s="229"/>
      <c r="L24" s="283"/>
      <c r="M24" s="229"/>
      <c r="N24" s="229"/>
      <c r="O24" s="283"/>
      <c r="P24" s="229"/>
      <c r="Q24" s="229"/>
      <c r="R24" s="283"/>
      <c r="S24" s="229"/>
      <c r="T24" s="229"/>
      <c r="U24" s="229"/>
      <c r="V24" s="193"/>
      <c r="W24" s="295"/>
      <c r="X24" s="296"/>
      <c r="Y24" s="296"/>
      <c r="Z24" s="296"/>
      <c r="AA24" s="193"/>
      <c r="AB24" s="193"/>
    </row>
    <row r="25">
      <c r="A25" s="280"/>
      <c r="B25" s="287"/>
      <c r="C25" s="294" t="s">
        <v>272</v>
      </c>
      <c r="D25" s="230">
        <v>1.0</v>
      </c>
      <c r="E25" s="230">
        <v>1.0</v>
      </c>
      <c r="F25" s="289">
        <v>1.0</v>
      </c>
      <c r="G25" s="230"/>
      <c r="H25" s="230"/>
      <c r="I25" s="289"/>
      <c r="J25" s="230"/>
      <c r="K25" s="230"/>
      <c r="L25" s="289"/>
      <c r="M25" s="230"/>
      <c r="N25" s="230"/>
      <c r="O25" s="289"/>
      <c r="P25" s="230"/>
      <c r="Q25" s="230"/>
      <c r="R25" s="289"/>
      <c r="S25" s="230"/>
      <c r="T25" s="230"/>
      <c r="U25" s="230"/>
      <c r="V25" s="193"/>
      <c r="W25" s="193"/>
      <c r="X25" s="193"/>
      <c r="Y25" s="193"/>
      <c r="Z25" s="193"/>
      <c r="AA25" s="193"/>
      <c r="AB25" s="193"/>
    </row>
    <row r="26">
      <c r="A26" s="280"/>
      <c r="B26" s="287"/>
      <c r="C26" s="293" t="s">
        <v>273</v>
      </c>
      <c r="D26" s="229">
        <v>1.0</v>
      </c>
      <c r="E26" s="229">
        <v>1.0</v>
      </c>
      <c r="F26" s="283">
        <v>1.0</v>
      </c>
      <c r="G26" s="229"/>
      <c r="H26" s="229"/>
      <c r="I26" s="283"/>
      <c r="J26" s="229"/>
      <c r="K26" s="229"/>
      <c r="L26" s="283"/>
      <c r="M26" s="229"/>
      <c r="N26" s="229"/>
      <c r="O26" s="283"/>
      <c r="P26" s="229"/>
      <c r="Q26" s="229"/>
      <c r="R26" s="283"/>
      <c r="S26" s="229"/>
      <c r="T26" s="229"/>
      <c r="U26" s="229"/>
      <c r="V26" s="193"/>
      <c r="W26" s="297" t="s">
        <v>274</v>
      </c>
      <c r="X26" s="298"/>
      <c r="Y26" s="298"/>
      <c r="Z26" s="298"/>
      <c r="AA26" s="193"/>
      <c r="AB26" s="193"/>
    </row>
    <row r="27">
      <c r="A27" s="280"/>
      <c r="B27" s="299"/>
      <c r="C27" s="294" t="s">
        <v>275</v>
      </c>
      <c r="D27" s="230">
        <v>1.0</v>
      </c>
      <c r="E27" s="230">
        <v>1.0</v>
      </c>
      <c r="F27" s="289">
        <v>1.0</v>
      </c>
      <c r="G27" s="230"/>
      <c r="H27" s="230"/>
      <c r="I27" s="289"/>
      <c r="J27" s="230"/>
      <c r="K27" s="230"/>
      <c r="L27" s="289"/>
      <c r="M27" s="230"/>
      <c r="N27" s="230"/>
      <c r="O27" s="289"/>
      <c r="P27" s="230"/>
      <c r="Q27" s="230"/>
      <c r="R27" s="289"/>
      <c r="S27" s="230"/>
      <c r="T27" s="230"/>
      <c r="U27" s="230"/>
      <c r="V27" s="193"/>
      <c r="W27" s="294" t="s">
        <v>276</v>
      </c>
      <c r="AA27" s="193"/>
      <c r="AB27" s="192"/>
    </row>
    <row r="28">
      <c r="A28" s="280"/>
      <c r="B28" s="281"/>
      <c r="C28" s="293" t="s">
        <v>277</v>
      </c>
      <c r="D28" s="229">
        <v>1.0</v>
      </c>
      <c r="E28" s="229">
        <v>1.0</v>
      </c>
      <c r="F28" s="283">
        <v>1.0</v>
      </c>
      <c r="G28" s="229"/>
      <c r="H28" s="229"/>
      <c r="I28" s="283"/>
      <c r="J28" s="229"/>
      <c r="K28" s="229"/>
      <c r="L28" s="283"/>
      <c r="M28" s="229"/>
      <c r="N28" s="229"/>
      <c r="O28" s="283"/>
      <c r="P28" s="229"/>
      <c r="Q28" s="229"/>
      <c r="R28" s="283"/>
      <c r="S28" s="229"/>
      <c r="T28" s="229"/>
      <c r="U28" s="229"/>
      <c r="V28" s="193"/>
      <c r="W28" s="293"/>
      <c r="X28" s="300">
        <v>100.0</v>
      </c>
      <c r="Y28" s="301">
        <f>X28*0.72</f>
        <v>72</v>
      </c>
      <c r="AA28" s="193"/>
      <c r="AB28" s="193"/>
    </row>
    <row r="29">
      <c r="A29" s="280"/>
      <c r="B29" s="302"/>
      <c r="C29" s="294" t="s">
        <v>278</v>
      </c>
      <c r="D29" s="230">
        <v>1.0</v>
      </c>
      <c r="E29" s="230">
        <v>1.0</v>
      </c>
      <c r="F29" s="289">
        <v>1.0</v>
      </c>
      <c r="G29" s="230"/>
      <c r="H29" s="230"/>
      <c r="I29" s="289"/>
      <c r="J29" s="230"/>
      <c r="K29" s="230"/>
      <c r="L29" s="289"/>
      <c r="M29" s="230"/>
      <c r="N29" s="230"/>
      <c r="O29" s="289"/>
      <c r="P29" s="230"/>
      <c r="Q29" s="230"/>
      <c r="R29" s="289"/>
      <c r="S29" s="230"/>
      <c r="T29" s="230"/>
      <c r="U29" s="230"/>
      <c r="V29" s="193"/>
      <c r="W29" s="294" t="s">
        <v>279</v>
      </c>
      <c r="AA29" s="193"/>
      <c r="AB29" s="193"/>
    </row>
    <row r="30">
      <c r="A30" s="280"/>
      <c r="B30" s="303"/>
      <c r="C30" s="293" t="s">
        <v>280</v>
      </c>
      <c r="D30" s="229">
        <v>1.0</v>
      </c>
      <c r="E30" s="229">
        <v>1.0</v>
      </c>
      <c r="F30" s="283">
        <v>1.0</v>
      </c>
      <c r="G30" s="229"/>
      <c r="H30" s="229"/>
      <c r="I30" s="283"/>
      <c r="J30" s="229"/>
      <c r="K30" s="229"/>
      <c r="L30" s="283"/>
      <c r="M30" s="229"/>
      <c r="N30" s="229"/>
      <c r="O30" s="283"/>
      <c r="P30" s="229"/>
      <c r="Q30" s="229"/>
      <c r="R30" s="283"/>
      <c r="S30" s="229"/>
      <c r="T30" s="229"/>
      <c r="U30" s="229"/>
      <c r="V30" s="193"/>
      <c r="W30" s="293"/>
      <c r="X30" s="300">
        <v>100.0</v>
      </c>
      <c r="Y30" s="301">
        <f>X30/0.72</f>
        <v>138.8888889</v>
      </c>
      <c r="AA30" s="193"/>
      <c r="AB30" s="193"/>
    </row>
    <row r="31">
      <c r="A31" s="304"/>
      <c r="B31" s="305"/>
      <c r="C31" s="294" t="s">
        <v>281</v>
      </c>
      <c r="D31" s="230">
        <v>1.0</v>
      </c>
      <c r="E31" s="230">
        <v>1.0</v>
      </c>
      <c r="F31" s="289">
        <v>1.0</v>
      </c>
      <c r="G31" s="230"/>
      <c r="H31" s="230"/>
      <c r="I31" s="289"/>
      <c r="J31" s="230"/>
      <c r="K31" s="230"/>
      <c r="L31" s="289"/>
      <c r="M31" s="230"/>
      <c r="N31" s="230"/>
      <c r="O31" s="289"/>
      <c r="P31" s="230"/>
      <c r="Q31" s="230"/>
      <c r="R31" s="289"/>
      <c r="S31" s="230"/>
      <c r="T31" s="230"/>
      <c r="U31" s="230"/>
      <c r="V31" s="193"/>
      <c r="W31" s="306" t="s">
        <v>282</v>
      </c>
      <c r="AA31" s="193"/>
      <c r="AB31" s="193"/>
    </row>
    <row r="32">
      <c r="A32" s="304"/>
      <c r="B32" s="305"/>
      <c r="C32" s="293" t="s">
        <v>283</v>
      </c>
      <c r="D32" s="229">
        <v>1.0</v>
      </c>
      <c r="E32" s="229">
        <v>1.0</v>
      </c>
      <c r="F32" s="283">
        <v>1.0</v>
      </c>
      <c r="G32" s="229"/>
      <c r="H32" s="229"/>
      <c r="I32" s="283"/>
      <c r="J32" s="229"/>
      <c r="K32" s="229"/>
      <c r="L32" s="283"/>
      <c r="M32" s="229"/>
      <c r="N32" s="229"/>
      <c r="O32" s="283"/>
      <c r="P32" s="229"/>
      <c r="Q32" s="229"/>
      <c r="R32" s="283"/>
      <c r="S32" s="229"/>
      <c r="T32" s="229"/>
      <c r="U32" s="229"/>
      <c r="V32" s="193"/>
      <c r="W32" s="110"/>
      <c r="X32" s="110"/>
      <c r="Y32" s="110"/>
      <c r="Z32" s="110"/>
      <c r="AA32" s="193"/>
      <c r="AB32" s="193"/>
    </row>
    <row r="33" ht="15.0" customHeight="1">
      <c r="A33" s="304"/>
      <c r="B33" s="305"/>
      <c r="C33" s="294" t="s">
        <v>284</v>
      </c>
      <c r="D33" s="230">
        <v>1.0</v>
      </c>
      <c r="E33" s="230">
        <v>1.0</v>
      </c>
      <c r="F33" s="289">
        <v>1.0</v>
      </c>
      <c r="G33" s="230"/>
      <c r="H33" s="230"/>
      <c r="I33" s="289"/>
      <c r="J33" s="230"/>
      <c r="K33" s="230"/>
      <c r="L33" s="289"/>
      <c r="M33" s="230"/>
      <c r="N33" s="230"/>
      <c r="O33" s="289"/>
      <c r="P33" s="230"/>
      <c r="Q33" s="230"/>
      <c r="R33" s="289"/>
      <c r="S33" s="230"/>
      <c r="T33" s="230"/>
      <c r="U33" s="230"/>
      <c r="V33" s="193"/>
      <c r="W33" s="297" t="s">
        <v>285</v>
      </c>
      <c r="X33" s="298"/>
      <c r="Y33" s="298"/>
      <c r="Z33" s="298"/>
      <c r="AA33" s="193"/>
      <c r="AB33" s="193"/>
    </row>
    <row r="34" ht="15.0" customHeight="1">
      <c r="A34" s="304"/>
      <c r="B34" s="305"/>
      <c r="C34" s="293" t="s">
        <v>286</v>
      </c>
      <c r="D34" s="229">
        <v>1.0</v>
      </c>
      <c r="E34" s="229">
        <v>1.0</v>
      </c>
      <c r="F34" s="283">
        <v>1.0</v>
      </c>
      <c r="G34" s="229"/>
      <c r="H34" s="229"/>
      <c r="I34" s="283"/>
      <c r="J34" s="229"/>
      <c r="K34" s="229"/>
      <c r="L34" s="283"/>
      <c r="M34" s="229"/>
      <c r="N34" s="229"/>
      <c r="O34" s="283"/>
      <c r="P34" s="229"/>
      <c r="Q34" s="229"/>
      <c r="R34" s="283"/>
      <c r="S34" s="229"/>
      <c r="T34" s="229"/>
      <c r="U34" s="229"/>
      <c r="V34" s="193"/>
      <c r="W34" s="294" t="s">
        <v>287</v>
      </c>
      <c r="AA34" s="193"/>
      <c r="AB34" s="193"/>
    </row>
    <row r="35">
      <c r="A35" s="304"/>
      <c r="B35" s="305"/>
      <c r="C35" s="294" t="s">
        <v>288</v>
      </c>
      <c r="D35" s="230">
        <v>1.0</v>
      </c>
      <c r="E35" s="230">
        <v>1.0</v>
      </c>
      <c r="F35" s="289">
        <v>1.0</v>
      </c>
      <c r="G35" s="230"/>
      <c r="H35" s="230"/>
      <c r="I35" s="289"/>
      <c r="J35" s="230"/>
      <c r="K35" s="230"/>
      <c r="L35" s="289"/>
      <c r="M35" s="230"/>
      <c r="N35" s="230"/>
      <c r="O35" s="289"/>
      <c r="P35" s="230"/>
      <c r="Q35" s="230"/>
      <c r="R35" s="289"/>
      <c r="S35" s="230"/>
      <c r="T35" s="230"/>
      <c r="U35" s="230"/>
      <c r="V35" s="193"/>
      <c r="W35" s="293" t="s">
        <v>289</v>
      </c>
      <c r="AA35" s="193"/>
      <c r="AB35" s="193"/>
    </row>
    <row r="36">
      <c r="A36" s="304"/>
      <c r="B36" s="305"/>
      <c r="C36" s="282" t="s">
        <v>290</v>
      </c>
      <c r="D36" s="229">
        <v>1.0</v>
      </c>
      <c r="E36" s="229">
        <v>1.0</v>
      </c>
      <c r="F36" s="283">
        <v>1.0</v>
      </c>
      <c r="G36" s="229"/>
      <c r="H36" s="229"/>
      <c r="I36" s="283"/>
      <c r="J36" s="229"/>
      <c r="K36" s="229"/>
      <c r="L36" s="283"/>
      <c r="M36" s="229"/>
      <c r="N36" s="229"/>
      <c r="O36" s="283"/>
      <c r="P36" s="229"/>
      <c r="Q36" s="229"/>
      <c r="R36" s="283"/>
      <c r="S36" s="229"/>
      <c r="T36" s="229"/>
      <c r="U36" s="229"/>
      <c r="V36" s="193"/>
      <c r="W36" s="294" t="s">
        <v>291</v>
      </c>
      <c r="AA36" s="193"/>
      <c r="AB36" s="193"/>
    </row>
    <row r="37">
      <c r="A37" s="304"/>
      <c r="B37" s="305"/>
      <c r="C37" s="288" t="s">
        <v>292</v>
      </c>
      <c r="D37" s="230">
        <v>1.0</v>
      </c>
      <c r="E37" s="230">
        <v>1.0</v>
      </c>
      <c r="F37" s="289">
        <v>1.0</v>
      </c>
      <c r="G37" s="230"/>
      <c r="H37" s="230"/>
      <c r="I37" s="289"/>
      <c r="J37" s="230"/>
      <c r="K37" s="230"/>
      <c r="L37" s="289"/>
      <c r="M37" s="230"/>
      <c r="N37" s="230"/>
      <c r="O37" s="289"/>
      <c r="P37" s="230"/>
      <c r="Q37" s="230"/>
      <c r="R37" s="289"/>
      <c r="S37" s="230"/>
      <c r="T37" s="230"/>
      <c r="U37" s="230"/>
      <c r="V37" s="193"/>
      <c r="W37" s="293" t="s">
        <v>293</v>
      </c>
      <c r="AA37" s="193"/>
      <c r="AB37" s="193"/>
    </row>
    <row r="38">
      <c r="A38" s="304"/>
      <c r="B38" s="305"/>
      <c r="C38" s="282" t="s">
        <v>294</v>
      </c>
      <c r="D38" s="229">
        <v>1.0</v>
      </c>
      <c r="E38" s="229">
        <v>1.0</v>
      </c>
      <c r="F38" s="283">
        <v>1.0</v>
      </c>
      <c r="G38" s="229"/>
      <c r="H38" s="229"/>
      <c r="I38" s="283"/>
      <c r="J38" s="229"/>
      <c r="K38" s="229"/>
      <c r="L38" s="283"/>
      <c r="M38" s="229"/>
      <c r="N38" s="229"/>
      <c r="O38" s="283"/>
      <c r="P38" s="229"/>
      <c r="Q38" s="229"/>
      <c r="R38" s="283"/>
      <c r="S38" s="229"/>
      <c r="T38" s="229"/>
      <c r="U38" s="229"/>
      <c r="V38" s="193"/>
      <c r="W38" s="294" t="s">
        <v>295</v>
      </c>
      <c r="AA38" s="193"/>
      <c r="AB38" s="193"/>
    </row>
    <row r="39">
      <c r="A39" s="304"/>
      <c r="B39" s="305"/>
      <c r="C39" s="288"/>
      <c r="D39" s="230"/>
      <c r="E39" s="230"/>
      <c r="F39" s="289"/>
      <c r="G39" s="230"/>
      <c r="H39" s="230"/>
      <c r="I39" s="289"/>
      <c r="J39" s="230"/>
      <c r="K39" s="230"/>
      <c r="L39" s="289"/>
      <c r="M39" s="230"/>
      <c r="N39" s="230"/>
      <c r="O39" s="289"/>
      <c r="P39" s="230"/>
      <c r="Q39" s="230"/>
      <c r="R39" s="289"/>
      <c r="S39" s="230"/>
      <c r="T39" s="230"/>
      <c r="U39" s="230"/>
      <c r="V39" s="193"/>
      <c r="W39" s="293" t="s">
        <v>296</v>
      </c>
      <c r="AA39" s="193"/>
      <c r="AB39" s="193"/>
    </row>
    <row r="40">
      <c r="A40" s="304"/>
      <c r="B40" s="305"/>
      <c r="C40" s="282"/>
      <c r="D40" s="229"/>
      <c r="E40" s="229"/>
      <c r="F40" s="283"/>
      <c r="G40" s="229"/>
      <c r="H40" s="229"/>
      <c r="I40" s="283"/>
      <c r="J40" s="229"/>
      <c r="K40" s="229"/>
      <c r="L40" s="283"/>
      <c r="M40" s="229"/>
      <c r="N40" s="229"/>
      <c r="O40" s="283"/>
      <c r="P40" s="229"/>
      <c r="Q40" s="229"/>
      <c r="R40" s="283"/>
      <c r="S40" s="229"/>
      <c r="T40" s="229"/>
      <c r="U40" s="229"/>
      <c r="V40" s="193"/>
      <c r="W40" s="294" t="s">
        <v>297</v>
      </c>
      <c r="AA40" s="193"/>
      <c r="AB40" s="193"/>
    </row>
    <row r="41">
      <c r="A41" s="304"/>
      <c r="B41" s="295"/>
      <c r="C41" s="288"/>
      <c r="D41" s="230"/>
      <c r="E41" s="230"/>
      <c r="F41" s="289"/>
      <c r="G41" s="230"/>
      <c r="H41" s="230"/>
      <c r="I41" s="289"/>
      <c r="J41" s="230"/>
      <c r="K41" s="230"/>
      <c r="L41" s="289"/>
      <c r="M41" s="230"/>
      <c r="N41" s="230"/>
      <c r="O41" s="289"/>
      <c r="P41" s="230"/>
      <c r="Q41" s="230"/>
      <c r="R41" s="289"/>
      <c r="S41" s="230"/>
      <c r="T41" s="230"/>
      <c r="U41" s="230"/>
      <c r="V41" s="193"/>
      <c r="W41" s="293" t="s">
        <v>298</v>
      </c>
      <c r="AA41" s="193"/>
      <c r="AB41" s="193"/>
    </row>
    <row r="42">
      <c r="A42" s="304"/>
      <c r="B42" s="305"/>
      <c r="C42" s="307"/>
      <c r="D42" s="284"/>
      <c r="E42" s="284"/>
      <c r="F42" s="308"/>
      <c r="G42" s="284"/>
      <c r="H42" s="284"/>
      <c r="I42" s="308"/>
      <c r="J42" s="284"/>
      <c r="K42" s="284"/>
      <c r="L42" s="308"/>
      <c r="M42" s="284"/>
      <c r="N42" s="284"/>
      <c r="O42" s="308"/>
      <c r="P42" s="284"/>
      <c r="Q42" s="284"/>
      <c r="R42" s="308"/>
      <c r="S42" s="284"/>
      <c r="T42" s="284"/>
      <c r="U42" s="284"/>
      <c r="V42" s="193"/>
      <c r="W42" s="294"/>
      <c r="AA42" s="193"/>
      <c r="AB42" s="193"/>
    </row>
    <row r="43">
      <c r="A43" s="304"/>
      <c r="B43" s="295"/>
      <c r="C43" s="307"/>
      <c r="D43" s="284"/>
      <c r="E43" s="284"/>
      <c r="F43" s="308"/>
      <c r="G43" s="284"/>
      <c r="H43" s="284"/>
      <c r="I43" s="308"/>
      <c r="J43" s="284"/>
      <c r="K43" s="284"/>
      <c r="L43" s="308"/>
      <c r="M43" s="284"/>
      <c r="N43" s="284"/>
      <c r="O43" s="308"/>
      <c r="P43" s="284"/>
      <c r="Q43" s="284"/>
      <c r="R43" s="308"/>
      <c r="S43" s="284"/>
      <c r="T43" s="284"/>
      <c r="U43" s="284"/>
      <c r="V43" s="193"/>
      <c r="W43" s="193"/>
      <c r="X43" s="193"/>
      <c r="Y43" s="193"/>
      <c r="Z43" s="193"/>
      <c r="AA43" s="193"/>
      <c r="AB43" s="193"/>
    </row>
    <row r="44">
      <c r="A44" s="304"/>
      <c r="B44" s="305"/>
      <c r="C44" s="307"/>
      <c r="D44" s="284"/>
      <c r="E44" s="284"/>
      <c r="F44" s="308"/>
      <c r="G44" s="284"/>
      <c r="H44" s="284"/>
      <c r="I44" s="308"/>
      <c r="J44" s="284"/>
      <c r="K44" s="284"/>
      <c r="L44" s="308"/>
      <c r="M44" s="284"/>
      <c r="N44" s="284"/>
      <c r="O44" s="308"/>
      <c r="P44" s="284"/>
      <c r="Q44" s="284"/>
      <c r="R44" s="308"/>
      <c r="S44" s="284"/>
      <c r="T44" s="284"/>
      <c r="U44" s="284"/>
      <c r="V44" s="193"/>
      <c r="W44" s="193"/>
      <c r="X44" s="193"/>
      <c r="Y44" s="193"/>
      <c r="Z44" s="193"/>
      <c r="AA44" s="193"/>
      <c r="AB44" s="193"/>
    </row>
    <row r="45" hidden="1">
      <c r="A45" s="304"/>
      <c r="B45" s="295"/>
      <c r="C45" s="307"/>
      <c r="D45" s="284"/>
      <c r="E45" s="284"/>
      <c r="F45" s="308"/>
      <c r="G45" s="284"/>
      <c r="H45" s="284"/>
      <c r="I45" s="308"/>
      <c r="J45" s="284"/>
      <c r="K45" s="284"/>
      <c r="L45" s="308"/>
      <c r="M45" s="284"/>
      <c r="N45" s="284"/>
      <c r="O45" s="308"/>
      <c r="P45" s="284"/>
      <c r="Q45" s="284"/>
      <c r="R45" s="308"/>
      <c r="S45" s="284"/>
      <c r="T45" s="284"/>
      <c r="U45" s="284"/>
      <c r="V45" s="193"/>
      <c r="W45" s="193"/>
      <c r="X45" s="193"/>
      <c r="Y45" s="193"/>
      <c r="Z45" s="193"/>
      <c r="AA45" s="193"/>
      <c r="AB45" s="193"/>
    </row>
    <row r="46" hidden="1">
      <c r="A46" s="304"/>
      <c r="B46" s="305"/>
      <c r="C46" s="307"/>
      <c r="D46" s="284"/>
      <c r="E46" s="284"/>
      <c r="F46" s="308"/>
      <c r="G46" s="284"/>
      <c r="H46" s="284"/>
      <c r="I46" s="308"/>
      <c r="J46" s="284"/>
      <c r="K46" s="284"/>
      <c r="L46" s="308"/>
      <c r="M46" s="284"/>
      <c r="N46" s="284"/>
      <c r="O46" s="308"/>
      <c r="P46" s="284"/>
      <c r="Q46" s="284"/>
      <c r="R46" s="308"/>
      <c r="S46" s="284"/>
      <c r="T46" s="284"/>
      <c r="U46" s="284"/>
      <c r="V46" s="193"/>
      <c r="W46" s="193"/>
      <c r="X46" s="193"/>
      <c r="Y46" s="193"/>
      <c r="Z46" s="193"/>
      <c r="AA46" s="193"/>
      <c r="AB46" s="193"/>
    </row>
    <row r="47" hidden="1">
      <c r="A47" s="304"/>
      <c r="B47" s="295"/>
      <c r="C47" s="307"/>
      <c r="D47" s="284"/>
      <c r="E47" s="284"/>
      <c r="F47" s="308"/>
      <c r="G47" s="284"/>
      <c r="H47" s="284"/>
      <c r="I47" s="308"/>
      <c r="J47" s="284"/>
      <c r="K47" s="284"/>
      <c r="L47" s="308"/>
      <c r="M47" s="284"/>
      <c r="N47" s="284"/>
      <c r="O47" s="308"/>
      <c r="P47" s="284"/>
      <c r="Q47" s="284"/>
      <c r="R47" s="308"/>
      <c r="S47" s="284"/>
      <c r="T47" s="284"/>
      <c r="U47" s="284"/>
      <c r="V47" s="193"/>
      <c r="W47" s="193"/>
      <c r="X47" s="193"/>
      <c r="Y47" s="193"/>
      <c r="Z47" s="193"/>
      <c r="AA47" s="193"/>
      <c r="AB47" s="193"/>
    </row>
    <row r="48" hidden="1">
      <c r="A48" s="304"/>
      <c r="B48" s="305"/>
      <c r="C48" s="307"/>
      <c r="D48" s="284"/>
      <c r="E48" s="284"/>
      <c r="F48" s="308"/>
      <c r="G48" s="284"/>
      <c r="H48" s="284"/>
      <c r="I48" s="308"/>
      <c r="J48" s="284"/>
      <c r="K48" s="284"/>
      <c r="L48" s="308"/>
      <c r="M48" s="284"/>
      <c r="N48" s="284"/>
      <c r="O48" s="308"/>
      <c r="P48" s="284"/>
      <c r="Q48" s="284"/>
      <c r="R48" s="308"/>
      <c r="S48" s="284"/>
      <c r="T48" s="284"/>
      <c r="U48" s="284"/>
      <c r="V48" s="193"/>
      <c r="W48" s="193"/>
      <c r="X48" s="193"/>
      <c r="Y48" s="193"/>
      <c r="Z48" s="193"/>
      <c r="AA48" s="193"/>
      <c r="AB48" s="193"/>
    </row>
    <row r="49">
      <c r="A49" s="304"/>
      <c r="B49" s="295"/>
      <c r="C49" s="307"/>
      <c r="D49" s="284"/>
      <c r="E49" s="284"/>
      <c r="F49" s="308"/>
      <c r="G49" s="284"/>
      <c r="H49" s="284"/>
      <c r="I49" s="308"/>
      <c r="J49" s="284"/>
      <c r="K49" s="284"/>
      <c r="L49" s="308"/>
      <c r="M49" s="284"/>
      <c r="N49" s="284"/>
      <c r="O49" s="308"/>
      <c r="P49" s="284"/>
      <c r="Q49" s="284"/>
      <c r="R49" s="308"/>
      <c r="S49" s="284"/>
      <c r="T49" s="284"/>
      <c r="U49" s="284"/>
      <c r="V49" s="193"/>
      <c r="W49" s="193"/>
      <c r="X49" s="193"/>
      <c r="Y49" s="193"/>
      <c r="Z49" s="193"/>
      <c r="AA49" s="193"/>
      <c r="AB49" s="193"/>
    </row>
    <row r="50">
      <c r="A50" s="304"/>
      <c r="B50" s="305"/>
      <c r="C50" s="307"/>
      <c r="D50" s="284"/>
      <c r="E50" s="284"/>
      <c r="F50" s="308"/>
      <c r="G50" s="284"/>
      <c r="H50" s="284"/>
      <c r="I50" s="308"/>
      <c r="J50" s="284"/>
      <c r="K50" s="284"/>
      <c r="L50" s="308"/>
      <c r="M50" s="284"/>
      <c r="N50" s="284"/>
      <c r="O50" s="308"/>
      <c r="P50" s="284"/>
      <c r="Q50" s="284"/>
      <c r="R50" s="308"/>
      <c r="S50" s="284"/>
      <c r="T50" s="284"/>
      <c r="U50" s="284"/>
      <c r="V50" s="193"/>
      <c r="W50" s="193"/>
      <c r="X50" s="193"/>
      <c r="Y50" s="193"/>
      <c r="Z50" s="193"/>
      <c r="AA50" s="193"/>
      <c r="AB50" s="193"/>
    </row>
    <row r="51" hidden="1">
      <c r="A51" s="304"/>
      <c r="B51" s="295"/>
      <c r="C51" s="307"/>
      <c r="D51" s="284"/>
      <c r="E51" s="284"/>
      <c r="F51" s="308"/>
      <c r="G51" s="284"/>
      <c r="H51" s="284"/>
      <c r="I51" s="308"/>
      <c r="J51" s="284"/>
      <c r="K51" s="284"/>
      <c r="L51" s="308"/>
      <c r="M51" s="284"/>
      <c r="N51" s="284"/>
      <c r="O51" s="308"/>
      <c r="P51" s="284"/>
      <c r="Q51" s="284"/>
      <c r="R51" s="308"/>
      <c r="S51" s="284"/>
      <c r="T51" s="284"/>
      <c r="U51" s="284"/>
      <c r="V51" s="193"/>
      <c r="W51" s="193"/>
      <c r="X51" s="193"/>
      <c r="Y51" s="193"/>
      <c r="Z51" s="193"/>
      <c r="AA51" s="193"/>
      <c r="AB51" s="193"/>
    </row>
    <row r="52" hidden="1">
      <c r="A52" s="304"/>
      <c r="B52" s="305"/>
      <c r="C52" s="307"/>
      <c r="D52" s="284"/>
      <c r="E52" s="284"/>
      <c r="F52" s="308"/>
      <c r="G52" s="284"/>
      <c r="H52" s="284"/>
      <c r="I52" s="308"/>
      <c r="J52" s="284"/>
      <c r="K52" s="284"/>
      <c r="L52" s="308"/>
      <c r="M52" s="284"/>
      <c r="N52" s="284"/>
      <c r="O52" s="308"/>
      <c r="P52" s="284"/>
      <c r="Q52" s="284"/>
      <c r="R52" s="308"/>
      <c r="S52" s="284"/>
      <c r="T52" s="284"/>
      <c r="U52" s="284"/>
      <c r="V52" s="193"/>
      <c r="W52" s="193"/>
      <c r="X52" s="193"/>
      <c r="Y52" s="193"/>
      <c r="Z52" s="193"/>
      <c r="AA52" s="193"/>
      <c r="AB52" s="193"/>
    </row>
    <row r="53" hidden="1">
      <c r="A53" s="304"/>
      <c r="B53" s="295"/>
      <c r="C53" s="307"/>
      <c r="D53" s="284"/>
      <c r="E53" s="284"/>
      <c r="F53" s="308"/>
      <c r="G53" s="284"/>
      <c r="H53" s="284"/>
      <c r="I53" s="308"/>
      <c r="J53" s="284"/>
      <c r="K53" s="284"/>
      <c r="L53" s="308"/>
      <c r="M53" s="284"/>
      <c r="N53" s="284"/>
      <c r="O53" s="308"/>
      <c r="P53" s="284"/>
      <c r="Q53" s="284"/>
      <c r="R53" s="308"/>
      <c r="S53" s="284"/>
      <c r="T53" s="284"/>
      <c r="U53" s="284"/>
      <c r="V53" s="193"/>
      <c r="W53" s="193"/>
      <c r="X53" s="193"/>
      <c r="Y53" s="193"/>
      <c r="Z53" s="193"/>
      <c r="AA53" s="193"/>
      <c r="AB53" s="193"/>
    </row>
    <row r="54" hidden="1">
      <c r="A54" s="304"/>
      <c r="B54" s="305"/>
      <c r="C54" s="307"/>
      <c r="D54" s="284"/>
      <c r="E54" s="284"/>
      <c r="F54" s="308"/>
      <c r="G54" s="284"/>
      <c r="H54" s="284"/>
      <c r="I54" s="308"/>
      <c r="J54" s="284"/>
      <c r="K54" s="284"/>
      <c r="L54" s="308"/>
      <c r="M54" s="284"/>
      <c r="N54" s="284"/>
      <c r="O54" s="308"/>
      <c r="P54" s="284"/>
      <c r="Q54" s="284"/>
      <c r="R54" s="308"/>
      <c r="S54" s="284"/>
      <c r="T54" s="284"/>
      <c r="U54" s="284"/>
      <c r="V54" s="193"/>
      <c r="W54" s="193"/>
      <c r="X54" s="193"/>
      <c r="Y54" s="193"/>
      <c r="Z54" s="193"/>
      <c r="AA54" s="193"/>
      <c r="AB54" s="193"/>
    </row>
    <row r="55">
      <c r="A55" s="304"/>
      <c r="B55" s="295"/>
      <c r="C55" s="307"/>
      <c r="D55" s="284"/>
      <c r="E55" s="284"/>
      <c r="F55" s="308"/>
      <c r="G55" s="284"/>
      <c r="H55" s="284"/>
      <c r="I55" s="308"/>
      <c r="J55" s="284"/>
      <c r="K55" s="284"/>
      <c r="L55" s="308"/>
      <c r="M55" s="284"/>
      <c r="N55" s="284"/>
      <c r="O55" s="308"/>
      <c r="P55" s="284"/>
      <c r="Q55" s="284"/>
      <c r="R55" s="308"/>
      <c r="S55" s="284"/>
      <c r="T55" s="284"/>
      <c r="U55" s="284"/>
      <c r="V55" s="193"/>
      <c r="W55" s="193"/>
      <c r="X55" s="193"/>
      <c r="Y55" s="193"/>
      <c r="Z55" s="193"/>
      <c r="AA55" s="193"/>
      <c r="AB55" s="193"/>
    </row>
    <row r="56">
      <c r="A56" s="304"/>
      <c r="B56" s="305"/>
      <c r="C56" s="307"/>
      <c r="D56" s="284"/>
      <c r="E56" s="284"/>
      <c r="F56" s="308"/>
      <c r="G56" s="284"/>
      <c r="H56" s="284"/>
      <c r="I56" s="308"/>
      <c r="J56" s="284"/>
      <c r="K56" s="284"/>
      <c r="L56" s="308"/>
      <c r="M56" s="284"/>
      <c r="N56" s="284"/>
      <c r="O56" s="308"/>
      <c r="P56" s="284"/>
      <c r="Q56" s="284"/>
      <c r="R56" s="308"/>
      <c r="S56" s="284"/>
      <c r="T56" s="284"/>
      <c r="U56" s="284"/>
      <c r="V56" s="193"/>
      <c r="W56" s="193"/>
      <c r="X56" s="193"/>
      <c r="Y56" s="193"/>
      <c r="Z56" s="193"/>
      <c r="AA56" s="193"/>
      <c r="AB56" s="192"/>
    </row>
    <row r="57" hidden="1">
      <c r="A57" s="304"/>
      <c r="B57" s="295"/>
      <c r="C57" s="307"/>
      <c r="D57" s="284"/>
      <c r="E57" s="284"/>
      <c r="F57" s="308"/>
      <c r="G57" s="284"/>
      <c r="H57" s="284"/>
      <c r="I57" s="308"/>
      <c r="J57" s="284"/>
      <c r="K57" s="284"/>
      <c r="L57" s="308"/>
      <c r="M57" s="284"/>
      <c r="N57" s="284"/>
      <c r="O57" s="308"/>
      <c r="P57" s="284"/>
      <c r="Q57" s="284"/>
      <c r="R57" s="308"/>
      <c r="S57" s="284"/>
      <c r="T57" s="284"/>
      <c r="U57" s="284"/>
      <c r="V57" s="193"/>
      <c r="W57" s="193"/>
      <c r="X57" s="193"/>
      <c r="Y57" s="193"/>
      <c r="Z57" s="193"/>
      <c r="AA57" s="193"/>
      <c r="AB57" s="193"/>
    </row>
    <row r="58" hidden="1">
      <c r="A58" s="304"/>
      <c r="B58" s="305"/>
      <c r="C58" s="307"/>
      <c r="D58" s="284"/>
      <c r="E58" s="284"/>
      <c r="F58" s="308"/>
      <c r="G58" s="284"/>
      <c r="H58" s="284"/>
      <c r="I58" s="308"/>
      <c r="J58" s="284"/>
      <c r="K58" s="284"/>
      <c r="L58" s="308"/>
      <c r="M58" s="284"/>
      <c r="N58" s="284"/>
      <c r="O58" s="308"/>
      <c r="P58" s="284"/>
      <c r="Q58" s="284"/>
      <c r="R58" s="308"/>
      <c r="S58" s="284"/>
      <c r="T58" s="284"/>
      <c r="U58" s="284"/>
      <c r="V58" s="193"/>
      <c r="W58" s="193"/>
      <c r="X58" s="193"/>
      <c r="Y58" s="193"/>
      <c r="Z58" s="193"/>
      <c r="AA58" s="193"/>
      <c r="AB58" s="193"/>
    </row>
    <row r="59" hidden="1">
      <c r="A59" s="304"/>
      <c r="B59" s="295"/>
      <c r="C59" s="307"/>
      <c r="D59" s="284"/>
      <c r="E59" s="284"/>
      <c r="F59" s="308"/>
      <c r="G59" s="284"/>
      <c r="H59" s="284"/>
      <c r="I59" s="308"/>
      <c r="J59" s="284"/>
      <c r="K59" s="284"/>
      <c r="L59" s="308"/>
      <c r="M59" s="284"/>
      <c r="N59" s="284"/>
      <c r="O59" s="308"/>
      <c r="P59" s="284"/>
      <c r="Q59" s="284"/>
      <c r="R59" s="308"/>
      <c r="S59" s="284"/>
      <c r="T59" s="284"/>
      <c r="U59" s="284"/>
      <c r="V59" s="193"/>
      <c r="W59" s="193"/>
      <c r="X59" s="193"/>
      <c r="Y59" s="193"/>
      <c r="Z59" s="193"/>
      <c r="AA59" s="193"/>
      <c r="AB59" s="193"/>
    </row>
    <row r="60" hidden="1">
      <c r="A60" s="304"/>
      <c r="B60" s="305"/>
      <c r="C60" s="307"/>
      <c r="D60" s="284"/>
      <c r="E60" s="284"/>
      <c r="F60" s="308"/>
      <c r="G60" s="284"/>
      <c r="H60" s="284"/>
      <c r="I60" s="308"/>
      <c r="J60" s="284"/>
      <c r="K60" s="284"/>
      <c r="L60" s="308"/>
      <c r="M60" s="284"/>
      <c r="N60" s="284"/>
      <c r="O60" s="308"/>
      <c r="P60" s="284"/>
      <c r="Q60" s="284"/>
      <c r="R60" s="308"/>
      <c r="S60" s="284"/>
      <c r="T60" s="284"/>
      <c r="U60" s="284"/>
      <c r="V60" s="193"/>
      <c r="W60" s="193"/>
      <c r="X60" s="193"/>
      <c r="Y60" s="193"/>
      <c r="Z60" s="193"/>
      <c r="AA60" s="193"/>
      <c r="AB60" s="193"/>
    </row>
    <row r="61">
      <c r="A61" s="304"/>
      <c r="B61" s="295"/>
      <c r="C61" s="307"/>
      <c r="D61" s="284"/>
      <c r="E61" s="284"/>
      <c r="F61" s="308"/>
      <c r="G61" s="284"/>
      <c r="H61" s="284"/>
      <c r="I61" s="308"/>
      <c r="J61" s="284"/>
      <c r="K61" s="284"/>
      <c r="L61" s="308"/>
      <c r="M61" s="284"/>
      <c r="N61" s="284"/>
      <c r="O61" s="308"/>
      <c r="P61" s="284"/>
      <c r="Q61" s="284"/>
      <c r="R61" s="308"/>
      <c r="S61" s="284"/>
      <c r="T61" s="284"/>
      <c r="U61" s="284"/>
      <c r="V61" s="193"/>
      <c r="W61" s="193"/>
      <c r="X61" s="193"/>
      <c r="Y61" s="193"/>
      <c r="Z61" s="193"/>
      <c r="AA61" s="193"/>
      <c r="AB61" s="193"/>
    </row>
    <row r="62">
      <c r="A62" s="304"/>
      <c r="B62" s="305"/>
      <c r="C62" s="307"/>
      <c r="D62" s="284"/>
      <c r="E62" s="284"/>
      <c r="F62" s="308"/>
      <c r="G62" s="284"/>
      <c r="H62" s="284"/>
      <c r="I62" s="308"/>
      <c r="J62" s="284"/>
      <c r="K62" s="284"/>
      <c r="L62" s="308"/>
      <c r="M62" s="284"/>
      <c r="N62" s="284"/>
      <c r="O62" s="308"/>
      <c r="P62" s="284"/>
      <c r="Q62" s="284"/>
      <c r="R62" s="308"/>
      <c r="S62" s="284"/>
      <c r="T62" s="284"/>
      <c r="U62" s="284"/>
      <c r="V62" s="193"/>
      <c r="W62" s="193"/>
      <c r="X62" s="193"/>
      <c r="Y62" s="193"/>
      <c r="Z62" s="193"/>
      <c r="AA62" s="193"/>
      <c r="AB62" s="193"/>
    </row>
    <row r="63" hidden="1">
      <c r="A63" s="304"/>
      <c r="B63" s="295"/>
      <c r="C63" s="307"/>
      <c r="D63" s="284"/>
      <c r="E63" s="284"/>
      <c r="F63" s="308"/>
      <c r="G63" s="284"/>
      <c r="H63" s="284"/>
      <c r="I63" s="308"/>
      <c r="J63" s="284"/>
      <c r="K63" s="284"/>
      <c r="L63" s="308"/>
      <c r="M63" s="284"/>
      <c r="N63" s="284"/>
      <c r="O63" s="308"/>
      <c r="P63" s="284"/>
      <c r="Q63" s="284"/>
      <c r="R63" s="308"/>
      <c r="S63" s="284"/>
      <c r="T63" s="284"/>
      <c r="U63" s="284"/>
      <c r="V63" s="193"/>
      <c r="W63" s="193"/>
      <c r="X63" s="193"/>
      <c r="Y63" s="193"/>
      <c r="Z63" s="193"/>
      <c r="AA63" s="193"/>
      <c r="AB63" s="193"/>
    </row>
    <row r="64" hidden="1">
      <c r="A64" s="304"/>
      <c r="B64" s="305"/>
      <c r="C64" s="307"/>
      <c r="D64" s="284"/>
      <c r="E64" s="284"/>
      <c r="F64" s="308"/>
      <c r="G64" s="284"/>
      <c r="H64" s="284"/>
      <c r="I64" s="308"/>
      <c r="J64" s="284"/>
      <c r="K64" s="284"/>
      <c r="L64" s="308"/>
      <c r="M64" s="284"/>
      <c r="N64" s="284"/>
      <c r="O64" s="308"/>
      <c r="P64" s="284"/>
      <c r="Q64" s="284"/>
      <c r="R64" s="308"/>
      <c r="S64" s="284"/>
      <c r="T64" s="284"/>
      <c r="U64" s="284"/>
      <c r="V64" s="193"/>
      <c r="W64" s="193"/>
      <c r="X64" s="193"/>
      <c r="Y64" s="193"/>
      <c r="Z64" s="193"/>
      <c r="AA64" s="193"/>
      <c r="AB64" s="193"/>
    </row>
    <row r="65" hidden="1">
      <c r="A65" s="304"/>
      <c r="B65" s="295"/>
      <c r="C65" s="307"/>
      <c r="D65" s="284"/>
      <c r="E65" s="284"/>
      <c r="F65" s="308"/>
      <c r="G65" s="284"/>
      <c r="H65" s="284"/>
      <c r="I65" s="308"/>
      <c r="J65" s="284"/>
      <c r="K65" s="284"/>
      <c r="L65" s="308"/>
      <c r="M65" s="284"/>
      <c r="N65" s="284"/>
      <c r="O65" s="308"/>
      <c r="P65" s="284"/>
      <c r="Q65" s="284"/>
      <c r="R65" s="308"/>
      <c r="S65" s="284"/>
      <c r="T65" s="284"/>
      <c r="U65" s="284"/>
      <c r="V65" s="193"/>
      <c r="W65" s="193"/>
      <c r="X65" s="193"/>
      <c r="Y65" s="193"/>
      <c r="Z65" s="193"/>
      <c r="AA65" s="193"/>
      <c r="AB65" s="193"/>
    </row>
    <row r="66" hidden="1">
      <c r="A66" s="304"/>
      <c r="B66" s="305"/>
      <c r="C66" s="307"/>
      <c r="D66" s="284"/>
      <c r="E66" s="284"/>
      <c r="F66" s="308"/>
      <c r="G66" s="284"/>
      <c r="H66" s="284"/>
      <c r="I66" s="308"/>
      <c r="J66" s="284"/>
      <c r="K66" s="284"/>
      <c r="L66" s="308"/>
      <c r="M66" s="284"/>
      <c r="N66" s="284"/>
      <c r="O66" s="308"/>
      <c r="P66" s="284"/>
      <c r="Q66" s="284"/>
      <c r="R66" s="308"/>
      <c r="S66" s="284"/>
      <c r="T66" s="284"/>
      <c r="U66" s="284"/>
      <c r="V66" s="193"/>
      <c r="W66" s="193"/>
      <c r="X66" s="193"/>
      <c r="Y66" s="193"/>
      <c r="Z66" s="193"/>
      <c r="AA66" s="193"/>
      <c r="AB66" s="193"/>
    </row>
    <row r="67">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row>
  </sheetData>
  <mergeCells count="30">
    <mergeCell ref="B4:B13"/>
    <mergeCell ref="B14:B27"/>
    <mergeCell ref="B1:F1"/>
    <mergeCell ref="D2:F2"/>
    <mergeCell ref="G2:I2"/>
    <mergeCell ref="J2:L2"/>
    <mergeCell ref="M2:O2"/>
    <mergeCell ref="P2:R2"/>
    <mergeCell ref="S2:U2"/>
    <mergeCell ref="W1:Z1"/>
    <mergeCell ref="AB3:AB10"/>
    <mergeCell ref="W4:W8"/>
    <mergeCell ref="W9:W15"/>
    <mergeCell ref="W16:W23"/>
    <mergeCell ref="W26:Z26"/>
    <mergeCell ref="W27:Z27"/>
    <mergeCell ref="W36:Z36"/>
    <mergeCell ref="W37:Z37"/>
    <mergeCell ref="W38:Z38"/>
    <mergeCell ref="W39:Z39"/>
    <mergeCell ref="W40:Z40"/>
    <mergeCell ref="W41:Z41"/>
    <mergeCell ref="W42:Z42"/>
    <mergeCell ref="Y28:Z28"/>
    <mergeCell ref="W29:Z29"/>
    <mergeCell ref="Y30:Z30"/>
    <mergeCell ref="W31:Z31"/>
    <mergeCell ref="W33:Z33"/>
    <mergeCell ref="W34:Z34"/>
    <mergeCell ref="W35:Z35"/>
  </mergeCells>
  <dataValidations>
    <dataValidation type="list" allowBlank="1" sqref="X3">
      <formula1>'Lifting Records'!$C$4:$C$67</formula1>
    </dataValidation>
    <dataValidation type="list" allowBlank="1" sqref="Z2">
      <formula1>"1,2,3,4,5,6"</formula1>
    </dataValidation>
  </dataValidations>
  <hyperlinks>
    <hyperlink r:id="rId1" ref="AB3"/>
  </hyperlinks>
  <drawing r:id="rId2"/>
  <tableParts count="4">
    <tablePart r:id="rId7"/>
    <tablePart r:id="rId8"/>
    <tablePart r:id="rId9"/>
    <tablePart r:id="rId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outlineLevelRow="1"/>
  <cols>
    <col customWidth="1" min="1" max="1" width="0.43"/>
    <col customWidth="1" min="2" max="9" width="3.71"/>
    <col customWidth="1" min="10" max="10" width="2.29"/>
    <col customWidth="1" min="11" max="11" width="5.86"/>
    <col customWidth="1" min="13" max="13" width="0.43"/>
    <col customWidth="1" min="14" max="21" width="3.71"/>
    <col customWidth="1" min="22" max="22" width="5.86"/>
    <col customWidth="1" hidden="1" min="23" max="23" width="6.43"/>
    <col customWidth="1" min="25" max="25" width="0.43"/>
    <col customWidth="1" min="26" max="32" width="8.71"/>
    <col customWidth="1" min="33" max="33" width="4.43"/>
  </cols>
  <sheetData>
    <row r="1" ht="45.0" customHeight="1">
      <c r="A1" s="309"/>
      <c r="B1" s="310" t="s">
        <v>299</v>
      </c>
      <c r="C1" s="311"/>
      <c r="D1" s="311"/>
      <c r="E1" s="311"/>
      <c r="F1" s="311"/>
      <c r="G1" s="311"/>
      <c r="H1" s="311"/>
      <c r="I1" s="311"/>
      <c r="J1" s="311"/>
      <c r="K1" s="312"/>
      <c r="L1" s="313"/>
      <c r="M1" s="314"/>
      <c r="N1" s="310" t="s">
        <v>300</v>
      </c>
      <c r="O1" s="311"/>
      <c r="P1" s="311"/>
      <c r="Q1" s="311"/>
      <c r="R1" s="311"/>
      <c r="S1" s="311"/>
      <c r="T1" s="311"/>
      <c r="U1" s="311"/>
      <c r="V1" s="312"/>
      <c r="W1" s="315"/>
      <c r="X1" s="313"/>
      <c r="Y1" s="316"/>
      <c r="Z1" s="317" t="s">
        <v>301</v>
      </c>
      <c r="AA1" s="318"/>
      <c r="AB1" s="318"/>
      <c r="AC1" s="319"/>
      <c r="AD1" s="191"/>
      <c r="AE1" s="191"/>
      <c r="AF1" s="193"/>
      <c r="AG1" s="193"/>
    </row>
    <row r="2" ht="1.5" customHeight="1">
      <c r="A2" s="309"/>
      <c r="B2" s="320"/>
      <c r="C2" s="320"/>
      <c r="D2" s="320"/>
      <c r="E2" s="320"/>
      <c r="F2" s="320"/>
      <c r="G2" s="320"/>
      <c r="H2" s="320"/>
      <c r="I2" s="320"/>
      <c r="J2" s="320"/>
      <c r="K2" s="320"/>
      <c r="L2" s="191"/>
      <c r="M2" s="321"/>
      <c r="N2" s="320"/>
      <c r="O2" s="320"/>
      <c r="P2" s="320"/>
      <c r="Q2" s="320"/>
      <c r="R2" s="320"/>
      <c r="S2" s="320"/>
      <c r="T2" s="320"/>
      <c r="U2" s="320"/>
      <c r="V2" s="322"/>
      <c r="W2" s="323"/>
      <c r="X2" s="324"/>
      <c r="Y2" s="325"/>
      <c r="Z2" s="323"/>
      <c r="AA2" s="323"/>
      <c r="AB2" s="323"/>
      <c r="AC2" s="323"/>
      <c r="AD2" s="191"/>
      <c r="AE2" s="191"/>
      <c r="AF2" s="193"/>
      <c r="AG2" s="193"/>
    </row>
    <row r="3">
      <c r="A3" s="326"/>
      <c r="B3" s="327" t="s">
        <v>302</v>
      </c>
      <c r="C3" s="328" t="s">
        <v>303</v>
      </c>
      <c r="D3" s="328" t="s">
        <v>304</v>
      </c>
      <c r="E3" s="328" t="s">
        <v>305</v>
      </c>
      <c r="F3" s="328" t="s">
        <v>306</v>
      </c>
      <c r="G3" s="328" t="s">
        <v>307</v>
      </c>
      <c r="H3" s="328" t="s">
        <v>308</v>
      </c>
      <c r="I3" s="329" t="s">
        <v>309</v>
      </c>
      <c r="J3" s="330"/>
      <c r="K3" s="331" t="s">
        <v>78</v>
      </c>
      <c r="L3" s="324"/>
      <c r="M3" s="332"/>
      <c r="N3" s="333" t="s">
        <v>304</v>
      </c>
      <c r="O3" s="334" t="s">
        <v>310</v>
      </c>
      <c r="P3" s="334" t="s">
        <v>311</v>
      </c>
      <c r="Q3" s="334" t="s">
        <v>312</v>
      </c>
      <c r="R3" s="334" t="s">
        <v>313</v>
      </c>
      <c r="S3" s="334" t="s">
        <v>314</v>
      </c>
      <c r="T3" s="334" t="s">
        <v>308</v>
      </c>
      <c r="U3" s="330"/>
      <c r="V3" s="335" t="s">
        <v>78</v>
      </c>
      <c r="W3" s="325"/>
      <c r="X3" s="324"/>
      <c r="Y3" s="336"/>
      <c r="Z3" s="337" t="s">
        <v>315</v>
      </c>
      <c r="AA3" s="338" t="s">
        <v>316</v>
      </c>
      <c r="AB3" s="338" t="s">
        <v>79</v>
      </c>
      <c r="AC3" s="339" t="s">
        <v>78</v>
      </c>
      <c r="AD3" s="191"/>
      <c r="AE3" s="191"/>
      <c r="AF3" s="193"/>
      <c r="AG3" s="142" t="s">
        <v>96</v>
      </c>
    </row>
    <row r="4" ht="1.5" customHeight="1">
      <c r="A4" s="340"/>
      <c r="B4" s="341"/>
      <c r="C4" s="341"/>
      <c r="D4" s="341"/>
      <c r="E4" s="341"/>
      <c r="F4" s="341"/>
      <c r="G4" s="341"/>
      <c r="H4" s="341"/>
      <c r="I4" s="341"/>
      <c r="J4" s="340"/>
      <c r="K4" s="342"/>
      <c r="L4" s="324"/>
      <c r="M4" s="340"/>
      <c r="N4" s="341"/>
      <c r="O4" s="341"/>
      <c r="P4" s="341"/>
      <c r="Q4" s="341"/>
      <c r="R4" s="341"/>
      <c r="S4" s="341"/>
      <c r="T4" s="341"/>
      <c r="U4" s="340"/>
      <c r="V4" s="343"/>
      <c r="W4" s="325"/>
      <c r="X4" s="324"/>
      <c r="Y4" s="325"/>
      <c r="Z4" s="344"/>
      <c r="AA4" s="344"/>
      <c r="AB4" s="344"/>
      <c r="AC4" s="325"/>
      <c r="AD4" s="191"/>
      <c r="AE4" s="191"/>
      <c r="AF4" s="193"/>
      <c r="AG4" s="152"/>
    </row>
    <row r="5">
      <c r="A5" s="340"/>
      <c r="B5" s="345"/>
      <c r="C5" s="346"/>
      <c r="D5" s="346"/>
      <c r="E5" s="346"/>
      <c r="F5" s="346"/>
      <c r="G5" s="346"/>
      <c r="H5" s="346"/>
      <c r="I5" s="347"/>
      <c r="J5" s="348"/>
      <c r="K5" s="349">
        <v>44562.0</v>
      </c>
      <c r="L5" s="324"/>
      <c r="M5" s="340"/>
      <c r="N5" s="350"/>
      <c r="O5" s="350"/>
      <c r="P5" s="350"/>
      <c r="Q5" s="350"/>
      <c r="R5" s="350"/>
      <c r="S5" s="350"/>
      <c r="T5" s="350"/>
      <c r="U5" s="348"/>
      <c r="V5" s="349">
        <v>44562.0</v>
      </c>
      <c r="W5" s="351">
        <f t="shared" ref="W5:W16" si="1">SUM(N5:T5)</f>
        <v>0</v>
      </c>
      <c r="X5" s="352"/>
      <c r="Y5" s="325"/>
      <c r="Z5" s="353" t="s">
        <v>317</v>
      </c>
      <c r="AA5" s="354"/>
      <c r="AB5" s="355"/>
      <c r="AC5" s="356">
        <v>44562.0</v>
      </c>
      <c r="AD5" s="191"/>
      <c r="AE5" s="191"/>
      <c r="AF5" s="193"/>
      <c r="AG5" s="152"/>
    </row>
    <row r="6">
      <c r="A6" s="325"/>
      <c r="B6" s="357"/>
      <c r="C6" s="358"/>
      <c r="D6" s="358"/>
      <c r="E6" s="358"/>
      <c r="F6" s="358"/>
      <c r="G6" s="358"/>
      <c r="H6" s="358"/>
      <c r="I6" s="359"/>
      <c r="J6" s="348"/>
      <c r="K6" s="349">
        <v>44593.0</v>
      </c>
      <c r="L6" s="324"/>
      <c r="M6" s="325"/>
      <c r="N6" s="360"/>
      <c r="O6" s="361"/>
      <c r="P6" s="361"/>
      <c r="Q6" s="361"/>
      <c r="R6" s="361"/>
      <c r="S6" s="361"/>
      <c r="T6" s="362"/>
      <c r="U6" s="348"/>
      <c r="V6" s="349">
        <v>44593.0</v>
      </c>
      <c r="W6" s="351">
        <f t="shared" si="1"/>
        <v>0</v>
      </c>
      <c r="X6" s="352"/>
      <c r="Y6" s="325"/>
      <c r="Z6" s="363"/>
      <c r="AA6" s="364"/>
      <c r="AB6" s="365"/>
      <c r="AC6" s="356">
        <v>44593.0</v>
      </c>
      <c r="AD6" s="191"/>
      <c r="AE6" s="191"/>
      <c r="AF6" s="193"/>
      <c r="AG6" s="152"/>
    </row>
    <row r="7">
      <c r="A7" s="325"/>
      <c r="B7" s="357"/>
      <c r="C7" s="358"/>
      <c r="D7" s="358"/>
      <c r="E7" s="358"/>
      <c r="F7" s="358"/>
      <c r="G7" s="358"/>
      <c r="H7" s="358"/>
      <c r="I7" s="359"/>
      <c r="J7" s="348"/>
      <c r="K7" s="349">
        <v>44621.0</v>
      </c>
      <c r="L7" s="324"/>
      <c r="M7" s="325"/>
      <c r="N7" s="350"/>
      <c r="O7" s="350"/>
      <c r="P7" s="350"/>
      <c r="Q7" s="350"/>
      <c r="R7" s="350"/>
      <c r="S7" s="350"/>
      <c r="T7" s="350"/>
      <c r="U7" s="348"/>
      <c r="V7" s="349">
        <v>44621.0</v>
      </c>
      <c r="W7" s="351">
        <f t="shared" si="1"/>
        <v>0</v>
      </c>
      <c r="X7" s="352"/>
      <c r="Y7" s="325"/>
      <c r="Z7" s="363"/>
      <c r="AA7" s="364"/>
      <c r="AB7" s="365"/>
      <c r="AC7" s="356">
        <v>44621.0</v>
      </c>
      <c r="AD7" s="191"/>
      <c r="AE7" s="191"/>
      <c r="AF7" s="193"/>
      <c r="AG7" s="152"/>
    </row>
    <row r="8">
      <c r="A8" s="325"/>
      <c r="B8" s="345"/>
      <c r="C8" s="346"/>
      <c r="D8" s="346"/>
      <c r="E8" s="346"/>
      <c r="F8" s="346"/>
      <c r="G8" s="346"/>
      <c r="H8" s="346"/>
      <c r="I8" s="347"/>
      <c r="J8" s="348"/>
      <c r="K8" s="349">
        <v>44652.0</v>
      </c>
      <c r="L8" s="324"/>
      <c r="M8" s="325"/>
      <c r="N8" s="360"/>
      <c r="O8" s="361"/>
      <c r="P8" s="361"/>
      <c r="Q8" s="361"/>
      <c r="R8" s="361"/>
      <c r="S8" s="361"/>
      <c r="T8" s="362"/>
      <c r="U8" s="348"/>
      <c r="V8" s="349">
        <v>44652.0</v>
      </c>
      <c r="W8" s="351">
        <f t="shared" si="1"/>
        <v>0</v>
      </c>
      <c r="X8" s="352"/>
      <c r="Y8" s="325"/>
      <c r="Z8" s="363"/>
      <c r="AA8" s="364"/>
      <c r="AB8" s="365"/>
      <c r="AC8" s="356">
        <v>44652.0</v>
      </c>
      <c r="AD8" s="191"/>
      <c r="AE8" s="191"/>
      <c r="AF8" s="193"/>
      <c r="AG8" s="152"/>
    </row>
    <row r="9">
      <c r="A9" s="325"/>
      <c r="B9" s="357"/>
      <c r="C9" s="358"/>
      <c r="D9" s="358"/>
      <c r="E9" s="358"/>
      <c r="F9" s="358"/>
      <c r="G9" s="358"/>
      <c r="H9" s="358"/>
      <c r="I9" s="359"/>
      <c r="J9" s="348"/>
      <c r="K9" s="349">
        <v>44682.0</v>
      </c>
      <c r="L9" s="324"/>
      <c r="M9" s="325"/>
      <c r="N9" s="350"/>
      <c r="O9" s="350"/>
      <c r="P9" s="350"/>
      <c r="Q9" s="350"/>
      <c r="R9" s="350"/>
      <c r="S9" s="350"/>
      <c r="T9" s="350"/>
      <c r="U9" s="348"/>
      <c r="V9" s="349">
        <v>44682.0</v>
      </c>
      <c r="W9" s="351">
        <f t="shared" si="1"/>
        <v>0</v>
      </c>
      <c r="X9" s="352"/>
      <c r="Y9" s="325"/>
      <c r="Z9" s="363"/>
      <c r="AA9" s="364"/>
      <c r="AB9" s="365"/>
      <c r="AC9" s="356">
        <v>44682.0</v>
      </c>
      <c r="AD9" s="191"/>
      <c r="AE9" s="191"/>
      <c r="AF9" s="193"/>
      <c r="AG9" s="152"/>
    </row>
    <row r="10">
      <c r="A10" s="325"/>
      <c r="B10" s="357"/>
      <c r="C10" s="358"/>
      <c r="D10" s="358"/>
      <c r="E10" s="358"/>
      <c r="F10" s="358"/>
      <c r="G10" s="358"/>
      <c r="H10" s="358"/>
      <c r="I10" s="359"/>
      <c r="J10" s="348"/>
      <c r="K10" s="349">
        <v>44713.0</v>
      </c>
      <c r="L10" s="324"/>
      <c r="M10" s="325"/>
      <c r="N10" s="360"/>
      <c r="O10" s="361"/>
      <c r="P10" s="361"/>
      <c r="Q10" s="361"/>
      <c r="R10" s="361"/>
      <c r="S10" s="361"/>
      <c r="T10" s="362"/>
      <c r="U10" s="348"/>
      <c r="V10" s="349">
        <v>44713.0</v>
      </c>
      <c r="W10" s="351">
        <f t="shared" si="1"/>
        <v>0</v>
      </c>
      <c r="X10" s="352"/>
      <c r="Y10" s="325"/>
      <c r="Z10" s="363"/>
      <c r="AA10" s="364"/>
      <c r="AB10" s="365"/>
      <c r="AC10" s="356">
        <v>44713.0</v>
      </c>
      <c r="AD10" s="191"/>
      <c r="AE10" s="191"/>
      <c r="AF10" s="193"/>
      <c r="AG10" s="152"/>
    </row>
    <row r="11">
      <c r="A11" s="325"/>
      <c r="B11" s="345"/>
      <c r="C11" s="346"/>
      <c r="D11" s="346"/>
      <c r="E11" s="346"/>
      <c r="F11" s="346"/>
      <c r="G11" s="346"/>
      <c r="H11" s="346"/>
      <c r="I11" s="347"/>
      <c r="J11" s="348"/>
      <c r="K11" s="349">
        <v>44743.0</v>
      </c>
      <c r="L11" s="324"/>
      <c r="M11" s="325"/>
      <c r="N11" s="350"/>
      <c r="O11" s="350"/>
      <c r="P11" s="350"/>
      <c r="Q11" s="350"/>
      <c r="R11" s="350"/>
      <c r="S11" s="350"/>
      <c r="T11" s="350"/>
      <c r="U11" s="348"/>
      <c r="V11" s="349">
        <v>44743.0</v>
      </c>
      <c r="W11" s="351">
        <f t="shared" si="1"/>
        <v>0</v>
      </c>
      <c r="X11" s="352"/>
      <c r="Y11" s="325"/>
      <c r="Z11" s="363"/>
      <c r="AA11" s="364"/>
      <c r="AB11" s="365"/>
      <c r="AC11" s="356">
        <v>44743.0</v>
      </c>
      <c r="AD11" s="191"/>
      <c r="AE11" s="191"/>
      <c r="AF11" s="193"/>
      <c r="AG11" s="172"/>
    </row>
    <row r="12">
      <c r="A12" s="325"/>
      <c r="B12" s="357"/>
      <c r="C12" s="358"/>
      <c r="D12" s="358"/>
      <c r="E12" s="358"/>
      <c r="F12" s="358"/>
      <c r="G12" s="358"/>
      <c r="H12" s="358"/>
      <c r="I12" s="359"/>
      <c r="J12" s="348"/>
      <c r="K12" s="349">
        <v>44774.0</v>
      </c>
      <c r="L12" s="324"/>
      <c r="M12" s="325"/>
      <c r="N12" s="360"/>
      <c r="O12" s="361"/>
      <c r="P12" s="361"/>
      <c r="Q12" s="361"/>
      <c r="R12" s="361"/>
      <c r="S12" s="361"/>
      <c r="T12" s="362"/>
      <c r="U12" s="348"/>
      <c r="V12" s="349">
        <v>44774.0</v>
      </c>
      <c r="W12" s="351">
        <f t="shared" si="1"/>
        <v>0</v>
      </c>
      <c r="X12" s="352"/>
      <c r="Y12" s="325"/>
      <c r="Z12" s="363"/>
      <c r="AA12" s="364"/>
      <c r="AB12" s="365"/>
      <c r="AC12" s="356">
        <v>44774.0</v>
      </c>
      <c r="AD12" s="191"/>
      <c r="AE12" s="191"/>
      <c r="AF12" s="193"/>
      <c r="AG12" s="193"/>
    </row>
    <row r="13">
      <c r="A13" s="325"/>
      <c r="B13" s="357"/>
      <c r="C13" s="358"/>
      <c r="D13" s="358"/>
      <c r="E13" s="358"/>
      <c r="F13" s="358"/>
      <c r="G13" s="358"/>
      <c r="H13" s="358"/>
      <c r="I13" s="359"/>
      <c r="J13" s="348"/>
      <c r="K13" s="349">
        <v>44805.0</v>
      </c>
      <c r="L13" s="324"/>
      <c r="M13" s="325"/>
      <c r="N13" s="350"/>
      <c r="O13" s="350"/>
      <c r="P13" s="350"/>
      <c r="Q13" s="350"/>
      <c r="R13" s="350"/>
      <c r="S13" s="350"/>
      <c r="T13" s="350"/>
      <c r="U13" s="348"/>
      <c r="V13" s="349">
        <v>44805.0</v>
      </c>
      <c r="W13" s="351">
        <f t="shared" si="1"/>
        <v>0</v>
      </c>
      <c r="X13" s="352"/>
      <c r="Y13" s="325"/>
      <c r="Z13" s="363"/>
      <c r="AA13" s="364"/>
      <c r="AB13" s="365"/>
      <c r="AC13" s="356">
        <v>44805.0</v>
      </c>
      <c r="AD13" s="191"/>
      <c r="AE13" s="191"/>
      <c r="AF13" s="193"/>
      <c r="AG13" s="193"/>
    </row>
    <row r="14">
      <c r="A14" s="325"/>
      <c r="B14" s="345"/>
      <c r="C14" s="346"/>
      <c r="D14" s="346"/>
      <c r="E14" s="346"/>
      <c r="F14" s="346"/>
      <c r="G14" s="346"/>
      <c r="H14" s="346"/>
      <c r="I14" s="347"/>
      <c r="J14" s="348"/>
      <c r="K14" s="349">
        <v>44835.0</v>
      </c>
      <c r="L14" s="324"/>
      <c r="M14" s="325"/>
      <c r="N14" s="360"/>
      <c r="O14" s="361"/>
      <c r="P14" s="361"/>
      <c r="Q14" s="361"/>
      <c r="R14" s="361"/>
      <c r="S14" s="361"/>
      <c r="T14" s="362"/>
      <c r="U14" s="348"/>
      <c r="V14" s="349">
        <v>44835.0</v>
      </c>
      <c r="W14" s="351">
        <f t="shared" si="1"/>
        <v>0</v>
      </c>
      <c r="X14" s="352"/>
      <c r="Y14" s="325"/>
      <c r="Z14" s="363"/>
      <c r="AA14" s="364"/>
      <c r="AB14" s="365"/>
      <c r="AC14" s="356">
        <v>44835.0</v>
      </c>
      <c r="AD14" s="191"/>
      <c r="AE14" s="191"/>
      <c r="AF14" s="193"/>
      <c r="AG14" s="193"/>
    </row>
    <row r="15">
      <c r="A15" s="325"/>
      <c r="B15" s="357"/>
      <c r="C15" s="358"/>
      <c r="D15" s="358"/>
      <c r="E15" s="358"/>
      <c r="F15" s="358"/>
      <c r="G15" s="358"/>
      <c r="H15" s="358"/>
      <c r="I15" s="359"/>
      <c r="J15" s="348"/>
      <c r="K15" s="349">
        <v>44866.0</v>
      </c>
      <c r="L15" s="324"/>
      <c r="M15" s="325"/>
      <c r="N15" s="350"/>
      <c r="O15" s="350"/>
      <c r="P15" s="350"/>
      <c r="Q15" s="350"/>
      <c r="R15" s="350"/>
      <c r="S15" s="350"/>
      <c r="T15" s="350"/>
      <c r="U15" s="348"/>
      <c r="V15" s="349">
        <v>44866.0</v>
      </c>
      <c r="W15" s="351">
        <f t="shared" si="1"/>
        <v>0</v>
      </c>
      <c r="X15" s="352"/>
      <c r="Y15" s="325"/>
      <c r="Z15" s="363"/>
      <c r="AA15" s="364"/>
      <c r="AB15" s="365"/>
      <c r="AC15" s="356">
        <v>44866.0</v>
      </c>
      <c r="AD15" s="191"/>
      <c r="AE15" s="191"/>
      <c r="AF15" s="193"/>
      <c r="AG15" s="192"/>
    </row>
    <row r="16">
      <c r="A16" s="325"/>
      <c r="B16" s="357"/>
      <c r="C16" s="358"/>
      <c r="D16" s="358"/>
      <c r="E16" s="358"/>
      <c r="F16" s="358"/>
      <c r="G16" s="358"/>
      <c r="H16" s="358"/>
      <c r="I16" s="359"/>
      <c r="J16" s="366"/>
      <c r="K16" s="367">
        <v>44896.0</v>
      </c>
      <c r="L16" s="324"/>
      <c r="M16" s="325"/>
      <c r="N16" s="360"/>
      <c r="O16" s="361"/>
      <c r="P16" s="361"/>
      <c r="Q16" s="361"/>
      <c r="R16" s="361"/>
      <c r="S16" s="361"/>
      <c r="T16" s="362"/>
      <c r="U16" s="366"/>
      <c r="V16" s="367">
        <v>44896.0</v>
      </c>
      <c r="W16" s="351">
        <f t="shared" si="1"/>
        <v>0</v>
      </c>
      <c r="X16" s="352"/>
      <c r="Y16" s="325"/>
      <c r="Z16" s="363"/>
      <c r="AA16" s="364"/>
      <c r="AB16" s="365"/>
      <c r="AC16" s="368">
        <v>44896.0</v>
      </c>
      <c r="AD16" s="191"/>
      <c r="AE16" s="191"/>
      <c r="AF16" s="193"/>
      <c r="AG16" s="193"/>
    </row>
    <row r="17">
      <c r="A17" s="369"/>
      <c r="B17" s="257"/>
      <c r="C17" s="257"/>
      <c r="D17" s="257"/>
      <c r="E17" s="370"/>
      <c r="F17" s="257"/>
      <c r="G17" s="370"/>
      <c r="H17" s="257"/>
      <c r="I17" s="257"/>
      <c r="J17" s="257"/>
      <c r="K17" s="257"/>
      <c r="L17" s="193"/>
      <c r="M17" s="371"/>
      <c r="N17" s="372"/>
      <c r="O17" s="372"/>
      <c r="P17" s="372"/>
      <c r="Q17" s="372"/>
      <c r="R17" s="372"/>
      <c r="S17" s="372"/>
      <c r="T17" s="372"/>
      <c r="U17" s="371"/>
      <c r="V17" s="371"/>
      <c r="W17" s="352"/>
      <c r="X17" s="193"/>
      <c r="Y17" s="193"/>
      <c r="Z17" s="371"/>
      <c r="AA17" s="371"/>
      <c r="AB17" s="257"/>
      <c r="AC17" s="257"/>
      <c r="AD17" s="193"/>
      <c r="AE17" s="193"/>
      <c r="AF17" s="193"/>
      <c r="AG17" s="193"/>
    </row>
    <row r="18">
      <c r="A18" s="369"/>
      <c r="B18" s="373" t="s">
        <v>318</v>
      </c>
      <c r="C18" s="193"/>
      <c r="D18" s="192"/>
      <c r="E18" s="192"/>
      <c r="F18" s="193"/>
      <c r="G18" s="192"/>
      <c r="H18" s="193"/>
      <c r="I18" s="193"/>
      <c r="J18" s="193"/>
      <c r="K18" s="193"/>
      <c r="L18" s="352"/>
      <c r="M18" s="374"/>
      <c r="N18" s="375" t="s">
        <v>319</v>
      </c>
      <c r="O18" s="376"/>
      <c r="P18" s="376"/>
      <c r="Q18" s="376"/>
      <c r="R18" s="377"/>
      <c r="S18" s="378">
        <f>(4.57/(IFERROR(ifs(('Quick Stats'!C4)="Male", (1.112-(0.00043499*(VLOOKUP(U18,V5:W16,2,FALSE)))+(0.00000055*((VLOOKUP(U18,V5:W16,2,FALSE))^2))-(0.00028826*(IFERROR('Quick Stats'!C5, 25)))), ('Quick Stats'!C4)="Female", (1.097-(0.00046971*(VLOOKUP(U18,V5:W16,2,FALSE)))+(0.00000056*((VLOOKUP(U18,V5:W16,2,FALSE))^2))-(0.00012828*(IFERROR('Quick Stats'!C5, 25))))), (1.112-(0.00043499*(VLOOKUP(U18,V5:W16,2,FALSE)))+(0.00000055*((VLOOKUP(U18,V5:W16,2,FALSE))^2))-(0.00028826*(IFERROR('Quick Stats'!C5, 25)))))))-4.142</f>
        <v>0.007511794955</v>
      </c>
      <c r="T18" s="379"/>
      <c r="U18" s="380">
        <v>44593.0</v>
      </c>
      <c r="V18" s="381"/>
      <c r="W18" s="352"/>
      <c r="X18" s="193"/>
      <c r="Y18" s="193"/>
      <c r="Z18" s="193"/>
      <c r="AA18" s="193"/>
      <c r="AB18" s="193"/>
      <c r="AC18" s="193"/>
      <c r="AD18" s="193"/>
      <c r="AE18" s="193"/>
      <c r="AF18" s="193"/>
      <c r="AG18" s="193"/>
    </row>
    <row r="19">
      <c r="A19" s="369"/>
      <c r="B19" s="193"/>
      <c r="C19" s="193"/>
      <c r="D19" s="193"/>
      <c r="E19" s="192"/>
      <c r="F19" s="193"/>
      <c r="G19" s="192"/>
      <c r="H19" s="193"/>
      <c r="I19" s="193"/>
      <c r="J19" s="193"/>
      <c r="K19" s="193"/>
      <c r="L19" s="193"/>
      <c r="M19" s="257"/>
      <c r="N19" s="257"/>
      <c r="O19" s="257"/>
      <c r="P19" s="257"/>
      <c r="Q19" s="257"/>
      <c r="R19" s="257"/>
      <c r="S19" s="257"/>
      <c r="T19" s="257"/>
      <c r="U19" s="257"/>
      <c r="V19" s="257"/>
      <c r="W19" s="352"/>
      <c r="X19" s="193"/>
      <c r="Y19" s="193"/>
      <c r="Z19" s="257"/>
      <c r="AA19" s="257"/>
      <c r="AB19" s="193"/>
      <c r="AC19" s="193"/>
      <c r="AD19" s="193"/>
      <c r="AE19" s="193"/>
      <c r="AF19" s="193"/>
      <c r="AG19" s="193"/>
    </row>
    <row r="20">
      <c r="A20" s="369"/>
      <c r="B20" s="382" t="s">
        <v>320</v>
      </c>
      <c r="C20" s="383"/>
      <c r="D20" s="383"/>
      <c r="E20" s="383"/>
      <c r="F20" s="383"/>
      <c r="G20" s="383"/>
      <c r="H20" s="383"/>
      <c r="I20" s="383"/>
      <c r="J20" s="383"/>
      <c r="K20" s="384"/>
      <c r="L20" s="193"/>
      <c r="M20" s="382" t="s">
        <v>320</v>
      </c>
      <c r="N20" s="383"/>
      <c r="O20" s="383"/>
      <c r="P20" s="383"/>
      <c r="Q20" s="383"/>
      <c r="R20" s="383"/>
      <c r="S20" s="383"/>
      <c r="T20" s="383"/>
      <c r="U20" s="383"/>
      <c r="V20" s="384"/>
      <c r="W20" s="352"/>
      <c r="X20" s="193"/>
      <c r="Y20" s="193"/>
      <c r="Z20" s="193"/>
      <c r="AA20" s="193"/>
      <c r="AB20" s="193"/>
      <c r="AC20" s="193"/>
      <c r="AD20" s="193"/>
      <c r="AE20" s="193"/>
      <c r="AF20" s="193"/>
      <c r="AG20" s="193"/>
    </row>
    <row r="21">
      <c r="A21" s="369"/>
      <c r="B21" s="385" t="s">
        <v>321</v>
      </c>
      <c r="C21" s="386"/>
      <c r="D21" s="386"/>
      <c r="E21" s="386"/>
      <c r="F21" s="386"/>
      <c r="G21" s="386"/>
      <c r="H21" s="386"/>
      <c r="I21" s="386"/>
      <c r="J21" s="386"/>
      <c r="K21" s="387"/>
      <c r="L21" s="193"/>
      <c r="M21" s="385" t="s">
        <v>321</v>
      </c>
      <c r="N21" s="386"/>
      <c r="O21" s="386"/>
      <c r="P21" s="386"/>
      <c r="Q21" s="386"/>
      <c r="R21" s="386"/>
      <c r="S21" s="386"/>
      <c r="T21" s="386"/>
      <c r="U21" s="386"/>
      <c r="V21" s="387"/>
      <c r="W21" s="193"/>
      <c r="X21" s="193"/>
      <c r="Y21" s="193"/>
      <c r="Z21" s="193"/>
      <c r="AA21" s="193"/>
      <c r="AB21" s="193"/>
      <c r="AC21" s="193"/>
      <c r="AD21" s="193"/>
      <c r="AE21" s="193"/>
      <c r="AF21" s="193"/>
      <c r="AG21" s="193"/>
    </row>
    <row r="22" outlineLevel="1">
      <c r="A22" s="369"/>
      <c r="B22" s="388" t="s">
        <v>322</v>
      </c>
      <c r="C22" s="389"/>
      <c r="D22" s="389"/>
      <c r="E22" s="389"/>
      <c r="F22" s="389"/>
      <c r="G22" s="389"/>
      <c r="H22" s="389"/>
      <c r="I22" s="389"/>
      <c r="J22" s="389"/>
      <c r="K22" s="390"/>
      <c r="L22" s="193"/>
      <c r="M22" s="388" t="s">
        <v>323</v>
      </c>
      <c r="N22" s="389"/>
      <c r="O22" s="389"/>
      <c r="P22" s="389"/>
      <c r="Q22" s="389"/>
      <c r="R22" s="389"/>
      <c r="S22" s="389"/>
      <c r="T22" s="389"/>
      <c r="U22" s="389"/>
      <c r="V22" s="390"/>
      <c r="W22" s="193"/>
      <c r="X22" s="193"/>
      <c r="Y22" s="193"/>
      <c r="Z22" s="193"/>
      <c r="AA22" s="193"/>
      <c r="AB22" s="193"/>
      <c r="AC22" s="193"/>
      <c r="AD22" s="193"/>
      <c r="AE22" s="193"/>
      <c r="AF22" s="193"/>
      <c r="AG22" s="193"/>
    </row>
    <row r="23" collapsed="1">
      <c r="A23" s="369"/>
      <c r="B23" s="385" t="s">
        <v>302</v>
      </c>
      <c r="C23" s="386"/>
      <c r="D23" s="386"/>
      <c r="E23" s="386"/>
      <c r="F23" s="386"/>
      <c r="G23" s="386"/>
      <c r="H23" s="386"/>
      <c r="I23" s="386"/>
      <c r="J23" s="386"/>
      <c r="K23" s="387"/>
      <c r="L23" s="193"/>
      <c r="M23" s="385" t="s">
        <v>304</v>
      </c>
      <c r="N23" s="386"/>
      <c r="O23" s="386"/>
      <c r="P23" s="386"/>
      <c r="Q23" s="386"/>
      <c r="R23" s="386"/>
      <c r="S23" s="386"/>
      <c r="T23" s="386"/>
      <c r="U23" s="386"/>
      <c r="V23" s="387"/>
      <c r="W23" s="193"/>
      <c r="X23" s="193"/>
      <c r="Y23" s="193"/>
      <c r="Z23" s="193"/>
      <c r="AA23" s="193"/>
      <c r="AB23" s="193"/>
      <c r="AC23" s="193"/>
      <c r="AD23" s="193"/>
      <c r="AE23" s="193"/>
      <c r="AF23" s="193"/>
      <c r="AG23" s="193"/>
    </row>
    <row r="24" ht="90.0" hidden="1" customHeight="1" outlineLevel="1">
      <c r="A24" s="369"/>
      <c r="B24" s="391" t="s">
        <v>324</v>
      </c>
      <c r="C24" s="389"/>
      <c r="D24" s="389"/>
      <c r="E24" s="389"/>
      <c r="F24" s="389"/>
      <c r="G24" s="389"/>
      <c r="H24" s="389"/>
      <c r="I24" s="389"/>
      <c r="J24" s="389"/>
      <c r="K24" s="390"/>
      <c r="L24" s="193"/>
      <c r="M24" s="391" t="s">
        <v>325</v>
      </c>
      <c r="N24" s="389"/>
      <c r="O24" s="389"/>
      <c r="P24" s="389"/>
      <c r="Q24" s="389"/>
      <c r="R24" s="389"/>
      <c r="S24" s="389"/>
      <c r="T24" s="389"/>
      <c r="U24" s="389"/>
      <c r="V24" s="390"/>
      <c r="W24" s="193"/>
      <c r="X24" s="193"/>
      <c r="Y24" s="193"/>
      <c r="Z24" s="193"/>
      <c r="AA24" s="193"/>
      <c r="AB24" s="193"/>
      <c r="AC24" s="193"/>
      <c r="AD24" s="193"/>
      <c r="AE24" s="193"/>
      <c r="AF24" s="193"/>
      <c r="AG24" s="193"/>
    </row>
    <row r="25" collapsed="1">
      <c r="A25" s="369"/>
      <c r="B25" s="385" t="s">
        <v>303</v>
      </c>
      <c r="C25" s="386"/>
      <c r="D25" s="386"/>
      <c r="E25" s="386"/>
      <c r="F25" s="386"/>
      <c r="G25" s="386"/>
      <c r="H25" s="386"/>
      <c r="I25" s="386"/>
      <c r="J25" s="386"/>
      <c r="K25" s="387"/>
      <c r="L25" s="193"/>
      <c r="M25" s="385" t="s">
        <v>310</v>
      </c>
      <c r="N25" s="386"/>
      <c r="O25" s="386"/>
      <c r="P25" s="386"/>
      <c r="Q25" s="386"/>
      <c r="R25" s="386"/>
      <c r="S25" s="386"/>
      <c r="T25" s="386"/>
      <c r="U25" s="386"/>
      <c r="V25" s="387"/>
      <c r="W25" s="193"/>
      <c r="X25" s="193"/>
      <c r="Y25" s="193"/>
      <c r="Z25" s="193"/>
      <c r="AA25" s="193"/>
      <c r="AB25" s="193"/>
      <c r="AC25" s="193"/>
      <c r="AD25" s="193"/>
      <c r="AE25" s="193"/>
      <c r="AF25" s="193"/>
      <c r="AG25" s="193"/>
    </row>
    <row r="26" ht="90.0" hidden="1" customHeight="1" outlineLevel="1">
      <c r="A26" s="369"/>
      <c r="B26" s="391" t="s">
        <v>326</v>
      </c>
      <c r="C26" s="389"/>
      <c r="D26" s="389"/>
      <c r="E26" s="389"/>
      <c r="F26" s="389"/>
      <c r="G26" s="389"/>
      <c r="H26" s="389"/>
      <c r="I26" s="389"/>
      <c r="J26" s="389"/>
      <c r="K26" s="390"/>
      <c r="L26" s="193"/>
      <c r="M26" s="391" t="s">
        <v>327</v>
      </c>
      <c r="N26" s="389"/>
      <c r="O26" s="389"/>
      <c r="P26" s="389"/>
      <c r="Q26" s="389"/>
      <c r="R26" s="389"/>
      <c r="S26" s="389"/>
      <c r="T26" s="389"/>
      <c r="U26" s="389"/>
      <c r="V26" s="390"/>
      <c r="W26" s="193"/>
      <c r="X26" s="193"/>
      <c r="Y26" s="193"/>
      <c r="Z26" s="193"/>
      <c r="AA26" s="193"/>
      <c r="AB26" s="193"/>
      <c r="AC26" s="193"/>
      <c r="AD26" s="193"/>
      <c r="AE26" s="193"/>
      <c r="AF26" s="193"/>
      <c r="AG26" s="193"/>
    </row>
    <row r="27" collapsed="1">
      <c r="A27" s="369"/>
      <c r="B27" s="385" t="s">
        <v>304</v>
      </c>
      <c r="C27" s="386"/>
      <c r="D27" s="386"/>
      <c r="E27" s="386"/>
      <c r="F27" s="386"/>
      <c r="G27" s="386"/>
      <c r="H27" s="386"/>
      <c r="I27" s="386"/>
      <c r="J27" s="386"/>
      <c r="K27" s="387"/>
      <c r="L27" s="193"/>
      <c r="M27" s="385" t="s">
        <v>311</v>
      </c>
      <c r="N27" s="386"/>
      <c r="O27" s="386"/>
      <c r="P27" s="386"/>
      <c r="Q27" s="386"/>
      <c r="R27" s="386"/>
      <c r="S27" s="386"/>
      <c r="T27" s="386"/>
      <c r="U27" s="386"/>
      <c r="V27" s="387"/>
      <c r="W27" s="193"/>
      <c r="X27" s="193"/>
      <c r="Y27" s="193"/>
      <c r="Z27" s="193"/>
      <c r="AA27" s="193"/>
      <c r="AB27" s="193"/>
      <c r="AC27" s="193"/>
      <c r="AD27" s="193"/>
      <c r="AE27" s="193"/>
      <c r="AF27" s="193"/>
      <c r="AG27" s="193"/>
    </row>
    <row r="28" ht="90.0" hidden="1" customHeight="1" outlineLevel="1">
      <c r="A28" s="369"/>
      <c r="B28" s="391" t="s">
        <v>328</v>
      </c>
      <c r="C28" s="389"/>
      <c r="D28" s="389"/>
      <c r="E28" s="389"/>
      <c r="F28" s="389"/>
      <c r="G28" s="389"/>
      <c r="H28" s="389"/>
      <c r="I28" s="389"/>
      <c r="J28" s="389"/>
      <c r="K28" s="390"/>
      <c r="L28" s="193"/>
      <c r="M28" s="391" t="s">
        <v>329</v>
      </c>
      <c r="N28" s="389"/>
      <c r="O28" s="389"/>
      <c r="P28" s="389"/>
      <c r="Q28" s="389"/>
      <c r="R28" s="389"/>
      <c r="S28" s="389"/>
      <c r="T28" s="389"/>
      <c r="U28" s="389"/>
      <c r="V28" s="390"/>
      <c r="W28" s="193"/>
      <c r="X28" s="193"/>
      <c r="Y28" s="193"/>
      <c r="Z28" s="193"/>
      <c r="AA28" s="193"/>
      <c r="AB28" s="193"/>
      <c r="AC28" s="193"/>
      <c r="AD28" s="193"/>
      <c r="AE28" s="193"/>
      <c r="AF28" s="193"/>
      <c r="AG28" s="193"/>
    </row>
    <row r="29" collapsed="1">
      <c r="A29" s="369"/>
      <c r="B29" s="385" t="s">
        <v>305</v>
      </c>
      <c r="C29" s="386"/>
      <c r="D29" s="386"/>
      <c r="E29" s="386"/>
      <c r="F29" s="386"/>
      <c r="G29" s="386"/>
      <c r="H29" s="386"/>
      <c r="I29" s="386"/>
      <c r="J29" s="386"/>
      <c r="K29" s="387"/>
      <c r="L29" s="193"/>
      <c r="M29" s="385" t="s">
        <v>312</v>
      </c>
      <c r="N29" s="386"/>
      <c r="O29" s="386"/>
      <c r="P29" s="386"/>
      <c r="Q29" s="386"/>
      <c r="R29" s="386"/>
      <c r="S29" s="386"/>
      <c r="T29" s="386"/>
      <c r="U29" s="386"/>
      <c r="V29" s="387"/>
      <c r="W29" s="193"/>
      <c r="X29" s="193"/>
      <c r="Y29" s="193"/>
      <c r="Z29" s="193"/>
      <c r="AA29" s="193"/>
      <c r="AB29" s="193"/>
      <c r="AC29" s="193"/>
      <c r="AD29" s="193"/>
      <c r="AE29" s="193"/>
      <c r="AF29" s="193"/>
      <c r="AG29" s="193"/>
    </row>
    <row r="30" ht="90.0" hidden="1" customHeight="1" outlineLevel="1">
      <c r="A30" s="369"/>
      <c r="B30" s="391" t="s">
        <v>330</v>
      </c>
      <c r="C30" s="389"/>
      <c r="D30" s="389"/>
      <c r="E30" s="389"/>
      <c r="F30" s="389"/>
      <c r="G30" s="389"/>
      <c r="H30" s="389"/>
      <c r="I30" s="389"/>
      <c r="J30" s="389"/>
      <c r="K30" s="390"/>
      <c r="L30" s="193"/>
      <c r="M30" s="391" t="s">
        <v>331</v>
      </c>
      <c r="N30" s="389"/>
      <c r="O30" s="389"/>
      <c r="P30" s="389"/>
      <c r="Q30" s="389"/>
      <c r="R30" s="389"/>
      <c r="S30" s="389"/>
      <c r="T30" s="389"/>
      <c r="U30" s="389"/>
      <c r="V30" s="390"/>
      <c r="W30" s="193"/>
      <c r="X30" s="193"/>
      <c r="Y30" s="193"/>
      <c r="Z30" s="193"/>
      <c r="AA30" s="193"/>
      <c r="AB30" s="193"/>
      <c r="AC30" s="193"/>
      <c r="AD30" s="193"/>
      <c r="AE30" s="193"/>
      <c r="AF30" s="193"/>
      <c r="AG30" s="193"/>
    </row>
    <row r="31" collapsed="1">
      <c r="A31" s="369"/>
      <c r="B31" s="385" t="s">
        <v>306</v>
      </c>
      <c r="C31" s="386"/>
      <c r="D31" s="386"/>
      <c r="E31" s="386"/>
      <c r="F31" s="386"/>
      <c r="G31" s="386"/>
      <c r="H31" s="386"/>
      <c r="I31" s="386"/>
      <c r="J31" s="386"/>
      <c r="K31" s="387"/>
      <c r="L31" s="193"/>
      <c r="M31" s="385" t="s">
        <v>313</v>
      </c>
      <c r="N31" s="386"/>
      <c r="O31" s="386"/>
      <c r="P31" s="386"/>
      <c r="Q31" s="386"/>
      <c r="R31" s="386"/>
      <c r="S31" s="386"/>
      <c r="T31" s="386"/>
      <c r="U31" s="386"/>
      <c r="V31" s="387"/>
      <c r="W31" s="193"/>
      <c r="X31" s="193"/>
      <c r="Y31" s="193"/>
      <c r="Z31" s="193"/>
      <c r="AA31" s="193"/>
      <c r="AB31" s="193"/>
      <c r="AC31" s="193"/>
      <c r="AD31" s="193"/>
      <c r="AE31" s="193"/>
      <c r="AF31" s="193"/>
      <c r="AG31" s="193"/>
    </row>
    <row r="32" ht="90.0" hidden="1" customHeight="1" outlineLevel="1">
      <c r="A32" s="369"/>
      <c r="B32" s="391" t="s">
        <v>332</v>
      </c>
      <c r="C32" s="389"/>
      <c r="D32" s="389"/>
      <c r="E32" s="389"/>
      <c r="F32" s="389"/>
      <c r="G32" s="389"/>
      <c r="H32" s="389"/>
      <c r="I32" s="389"/>
      <c r="J32" s="389"/>
      <c r="K32" s="390"/>
      <c r="L32" s="193"/>
      <c r="M32" s="391" t="s">
        <v>333</v>
      </c>
      <c r="N32" s="389"/>
      <c r="O32" s="389"/>
      <c r="P32" s="389"/>
      <c r="Q32" s="389"/>
      <c r="R32" s="389"/>
      <c r="S32" s="389"/>
      <c r="T32" s="389"/>
      <c r="U32" s="389"/>
      <c r="V32" s="390"/>
      <c r="W32" s="193"/>
      <c r="X32" s="193"/>
      <c r="Y32" s="193"/>
      <c r="Z32" s="193"/>
      <c r="AA32" s="193"/>
      <c r="AB32" s="193"/>
      <c r="AC32" s="193"/>
      <c r="AD32" s="193"/>
      <c r="AE32" s="193"/>
      <c r="AF32" s="193"/>
      <c r="AG32" s="193"/>
    </row>
    <row r="33" collapsed="1">
      <c r="A33" s="369"/>
      <c r="B33" s="385" t="s">
        <v>307</v>
      </c>
      <c r="C33" s="386"/>
      <c r="D33" s="386"/>
      <c r="E33" s="386"/>
      <c r="F33" s="386"/>
      <c r="G33" s="386"/>
      <c r="H33" s="386"/>
      <c r="I33" s="386"/>
      <c r="J33" s="386"/>
      <c r="K33" s="387"/>
      <c r="L33" s="193"/>
      <c r="M33" s="385" t="s">
        <v>314</v>
      </c>
      <c r="N33" s="386"/>
      <c r="O33" s="386"/>
      <c r="P33" s="386"/>
      <c r="Q33" s="386"/>
      <c r="R33" s="386"/>
      <c r="S33" s="386"/>
      <c r="T33" s="386"/>
      <c r="U33" s="386"/>
      <c r="V33" s="387"/>
      <c r="W33" s="193"/>
      <c r="X33" s="193"/>
      <c r="Y33" s="193"/>
      <c r="Z33" s="193"/>
      <c r="AA33" s="193"/>
      <c r="AB33" s="193"/>
      <c r="AC33" s="193"/>
      <c r="AD33" s="193"/>
      <c r="AE33" s="193"/>
      <c r="AF33" s="193"/>
      <c r="AG33" s="193"/>
    </row>
    <row r="34" ht="90.0" hidden="1" customHeight="1" outlineLevel="1">
      <c r="A34" s="369"/>
      <c r="B34" s="391" t="s">
        <v>334</v>
      </c>
      <c r="C34" s="389"/>
      <c r="D34" s="389"/>
      <c r="E34" s="389"/>
      <c r="F34" s="389"/>
      <c r="G34" s="389"/>
      <c r="H34" s="389"/>
      <c r="I34" s="389"/>
      <c r="J34" s="389"/>
      <c r="K34" s="390"/>
      <c r="L34" s="193"/>
      <c r="M34" s="391" t="s">
        <v>335</v>
      </c>
      <c r="N34" s="389"/>
      <c r="O34" s="389"/>
      <c r="P34" s="389"/>
      <c r="Q34" s="389"/>
      <c r="R34" s="389"/>
      <c r="S34" s="389"/>
      <c r="T34" s="389"/>
      <c r="U34" s="389"/>
      <c r="V34" s="390"/>
      <c r="W34" s="193"/>
      <c r="X34" s="193"/>
      <c r="Y34" s="193"/>
      <c r="Z34" s="193"/>
      <c r="AA34" s="193"/>
      <c r="AB34" s="193"/>
      <c r="AC34" s="193"/>
      <c r="AD34" s="193"/>
      <c r="AE34" s="193"/>
      <c r="AF34" s="193"/>
      <c r="AG34" s="193"/>
    </row>
    <row r="35" collapsed="1">
      <c r="A35" s="369"/>
      <c r="B35" s="385" t="s">
        <v>308</v>
      </c>
      <c r="C35" s="386"/>
      <c r="D35" s="386"/>
      <c r="E35" s="386"/>
      <c r="F35" s="386"/>
      <c r="G35" s="386"/>
      <c r="H35" s="386"/>
      <c r="I35" s="386"/>
      <c r="J35" s="386"/>
      <c r="K35" s="387"/>
      <c r="L35" s="193"/>
      <c r="M35" s="385" t="s">
        <v>308</v>
      </c>
      <c r="N35" s="386"/>
      <c r="O35" s="386"/>
      <c r="P35" s="386"/>
      <c r="Q35" s="386"/>
      <c r="R35" s="386"/>
      <c r="S35" s="386"/>
      <c r="T35" s="386"/>
      <c r="U35" s="386"/>
      <c r="V35" s="387"/>
      <c r="W35" s="193"/>
      <c r="X35" s="193"/>
      <c r="Y35" s="193"/>
      <c r="Z35" s="193"/>
      <c r="AA35" s="193"/>
      <c r="AB35" s="193"/>
      <c r="AC35" s="193"/>
      <c r="AD35" s="193"/>
      <c r="AE35" s="193"/>
      <c r="AF35" s="193"/>
      <c r="AG35" s="193"/>
    </row>
    <row r="36" ht="90.0" hidden="1" customHeight="1" outlineLevel="1">
      <c r="A36" s="369"/>
      <c r="B36" s="391" t="s">
        <v>336</v>
      </c>
      <c r="C36" s="389"/>
      <c r="D36" s="389"/>
      <c r="E36" s="389"/>
      <c r="F36" s="389"/>
      <c r="G36" s="389"/>
      <c r="H36" s="389"/>
      <c r="I36" s="389"/>
      <c r="J36" s="389"/>
      <c r="K36" s="390"/>
      <c r="L36" s="193"/>
      <c r="M36" s="391" t="s">
        <v>337</v>
      </c>
      <c r="N36" s="389"/>
      <c r="O36" s="389"/>
      <c r="P36" s="389"/>
      <c r="Q36" s="389"/>
      <c r="R36" s="389"/>
      <c r="S36" s="389"/>
      <c r="T36" s="389"/>
      <c r="U36" s="389"/>
      <c r="V36" s="390"/>
      <c r="W36" s="193"/>
      <c r="X36" s="193"/>
      <c r="Y36" s="193"/>
      <c r="Z36" s="193"/>
      <c r="AA36" s="193"/>
      <c r="AB36" s="193"/>
      <c r="AC36" s="193"/>
      <c r="AD36" s="193"/>
      <c r="AE36" s="193"/>
      <c r="AF36" s="193"/>
      <c r="AG36" s="193"/>
    </row>
    <row r="37" collapsed="1">
      <c r="A37" s="369"/>
      <c r="B37" s="385" t="s">
        <v>309</v>
      </c>
      <c r="C37" s="386"/>
      <c r="D37" s="386"/>
      <c r="E37" s="386"/>
      <c r="F37" s="386"/>
      <c r="G37" s="386"/>
      <c r="H37" s="386"/>
      <c r="I37" s="386"/>
      <c r="J37" s="386"/>
      <c r="K37" s="387"/>
      <c r="L37" s="193"/>
      <c r="M37" s="193"/>
      <c r="N37" s="193"/>
      <c r="O37" s="193"/>
      <c r="P37" s="193"/>
      <c r="Q37" s="193"/>
      <c r="R37" s="193"/>
      <c r="S37" s="193"/>
      <c r="T37" s="193"/>
      <c r="U37" s="193"/>
      <c r="V37" s="193"/>
      <c r="W37" s="193"/>
      <c r="X37" s="193"/>
      <c r="Y37" s="193"/>
      <c r="Z37" s="193"/>
      <c r="AA37" s="193"/>
      <c r="AB37" s="193"/>
      <c r="AC37" s="193"/>
      <c r="AD37" s="193"/>
      <c r="AE37" s="193"/>
      <c r="AF37" s="193"/>
      <c r="AG37" s="193"/>
    </row>
    <row r="38" ht="90.0" hidden="1" customHeight="1" outlineLevel="1">
      <c r="A38" s="369"/>
      <c r="B38" s="391" t="s">
        <v>338</v>
      </c>
      <c r="C38" s="389"/>
      <c r="D38" s="389"/>
      <c r="E38" s="389"/>
      <c r="F38" s="389"/>
      <c r="G38" s="389"/>
      <c r="H38" s="389"/>
      <c r="I38" s="389"/>
      <c r="J38" s="389"/>
      <c r="K38" s="390"/>
      <c r="L38" s="193"/>
      <c r="M38" s="193"/>
      <c r="N38" s="193"/>
      <c r="O38" s="193"/>
      <c r="P38" s="193"/>
      <c r="Q38" s="193"/>
      <c r="R38" s="193"/>
      <c r="S38" s="193"/>
      <c r="T38" s="193"/>
      <c r="U38" s="193"/>
      <c r="V38" s="193"/>
      <c r="W38" s="193"/>
      <c r="X38" s="193"/>
      <c r="Y38" s="193"/>
      <c r="Z38" s="193"/>
      <c r="AA38" s="193"/>
      <c r="AB38" s="193"/>
      <c r="AC38" s="193"/>
      <c r="AD38" s="193"/>
      <c r="AE38" s="193"/>
      <c r="AF38" s="193"/>
      <c r="AG38" s="193"/>
    </row>
    <row r="39">
      <c r="A39" s="369"/>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c r="AD39" s="193"/>
      <c r="AE39" s="193"/>
      <c r="AF39" s="193"/>
      <c r="AG39" s="193"/>
    </row>
    <row r="40">
      <c r="A40" s="369"/>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c r="AD40" s="193"/>
      <c r="AE40" s="193"/>
      <c r="AF40" s="193"/>
      <c r="AG40" s="193"/>
    </row>
    <row r="41">
      <c r="A41" s="369"/>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c r="AD41" s="193"/>
      <c r="AE41" s="193"/>
      <c r="AF41" s="193"/>
      <c r="AG41" s="193"/>
    </row>
    <row r="42">
      <c r="A42" s="369"/>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c r="AD42" s="193"/>
      <c r="AE42" s="193"/>
      <c r="AF42" s="193"/>
      <c r="AG42" s="193"/>
    </row>
    <row r="43">
      <c r="A43" s="369"/>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c r="AD43" s="193"/>
      <c r="AE43" s="193"/>
      <c r="AF43" s="193"/>
      <c r="AG43" s="193"/>
    </row>
    <row r="44">
      <c r="A44" s="369"/>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c r="AD44" s="193"/>
      <c r="AE44" s="193"/>
      <c r="AF44" s="193"/>
      <c r="AG44" s="193"/>
    </row>
    <row r="45">
      <c r="A45" s="369"/>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c r="AD45" s="193"/>
      <c r="AE45" s="193"/>
      <c r="AF45" s="193"/>
      <c r="AG45" s="193"/>
    </row>
    <row r="46">
      <c r="A46" s="369"/>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c r="AD46" s="193"/>
      <c r="AE46" s="193"/>
      <c r="AF46" s="193"/>
      <c r="AG46" s="193"/>
    </row>
    <row r="47">
      <c r="A47" s="369"/>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c r="AD47" s="193"/>
      <c r="AE47" s="193"/>
      <c r="AF47" s="193"/>
      <c r="AG47" s="193"/>
    </row>
    <row r="48">
      <c r="A48" s="369"/>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c r="AD48" s="193"/>
      <c r="AE48" s="193"/>
      <c r="AF48" s="193"/>
      <c r="AG48" s="193"/>
    </row>
    <row r="49">
      <c r="A49" s="369"/>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c r="AD49" s="193"/>
      <c r="AE49" s="193"/>
      <c r="AF49" s="193"/>
      <c r="AG49" s="193"/>
    </row>
    <row r="50">
      <c r="A50" s="369"/>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c r="AD50" s="193"/>
      <c r="AE50" s="193"/>
      <c r="AF50" s="193"/>
      <c r="AG50" s="193"/>
    </row>
    <row r="51">
      <c r="A51" s="369"/>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c r="AD51" s="193"/>
      <c r="AE51" s="193"/>
      <c r="AF51" s="193"/>
      <c r="AG51" s="193"/>
    </row>
    <row r="52">
      <c r="A52" s="369"/>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c r="AD52" s="193"/>
      <c r="AE52" s="193"/>
      <c r="AF52" s="193"/>
      <c r="AG52" s="193"/>
    </row>
    <row r="53">
      <c r="A53" s="369"/>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row>
    <row r="54">
      <c r="A54" s="369"/>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93"/>
      <c r="AF54" s="193"/>
      <c r="AG54" s="193"/>
    </row>
    <row r="55">
      <c r="A55" s="369"/>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c r="AD55" s="193"/>
      <c r="AE55" s="193"/>
      <c r="AF55" s="193"/>
      <c r="AG55" s="193"/>
    </row>
    <row r="56">
      <c r="A56" s="369"/>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row>
    <row r="57">
      <c r="A57" s="369"/>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c r="AD57" s="193"/>
      <c r="AE57" s="193"/>
      <c r="AF57" s="193"/>
      <c r="AG57" s="193"/>
    </row>
    <row r="58">
      <c r="A58" s="369"/>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c r="AD58" s="193"/>
      <c r="AE58" s="193"/>
      <c r="AF58" s="193"/>
      <c r="AG58" s="193"/>
    </row>
    <row r="59">
      <c r="A59" s="369"/>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c r="AD59" s="193"/>
      <c r="AE59" s="193"/>
      <c r="AF59" s="193"/>
      <c r="AG59" s="193"/>
    </row>
    <row r="60">
      <c r="A60" s="369"/>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c r="AD60" s="193"/>
      <c r="AE60" s="193"/>
      <c r="AF60" s="193"/>
      <c r="AG60" s="193"/>
    </row>
    <row r="61">
      <c r="A61" s="369"/>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c r="AD61" s="193"/>
      <c r="AE61" s="193"/>
      <c r="AF61" s="193"/>
      <c r="AG61" s="193"/>
    </row>
    <row r="62">
      <c r="A62" s="369"/>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c r="AD62" s="193"/>
      <c r="AE62" s="193"/>
      <c r="AF62" s="193"/>
      <c r="AG62" s="193"/>
    </row>
  </sheetData>
  <mergeCells count="43">
    <mergeCell ref="B1:K1"/>
    <mergeCell ref="N1:V1"/>
    <mergeCell ref="Z1:AC1"/>
    <mergeCell ref="AG3:AG11"/>
    <mergeCell ref="N18:R18"/>
    <mergeCell ref="S18:T18"/>
    <mergeCell ref="U18:V18"/>
    <mergeCell ref="B20:K20"/>
    <mergeCell ref="M20:V20"/>
    <mergeCell ref="B21:K21"/>
    <mergeCell ref="M21:V21"/>
    <mergeCell ref="B22:K22"/>
    <mergeCell ref="M22:V22"/>
    <mergeCell ref="M23:V23"/>
    <mergeCell ref="B23:K23"/>
    <mergeCell ref="B24:K24"/>
    <mergeCell ref="B25:K25"/>
    <mergeCell ref="B26:K26"/>
    <mergeCell ref="B27:K27"/>
    <mergeCell ref="B28:K28"/>
    <mergeCell ref="B29:K29"/>
    <mergeCell ref="M31:V31"/>
    <mergeCell ref="M32:V32"/>
    <mergeCell ref="M33:V33"/>
    <mergeCell ref="M34:V34"/>
    <mergeCell ref="M35:V35"/>
    <mergeCell ref="M36:V36"/>
    <mergeCell ref="M24:V24"/>
    <mergeCell ref="M25:V25"/>
    <mergeCell ref="M26:V26"/>
    <mergeCell ref="M27:V27"/>
    <mergeCell ref="M28:V28"/>
    <mergeCell ref="M29:V29"/>
    <mergeCell ref="M30:V30"/>
    <mergeCell ref="B37:K37"/>
    <mergeCell ref="B38:K38"/>
    <mergeCell ref="B30:K30"/>
    <mergeCell ref="B31:K31"/>
    <mergeCell ref="B32:K32"/>
    <mergeCell ref="B33:K33"/>
    <mergeCell ref="B34:K34"/>
    <mergeCell ref="B35:K35"/>
    <mergeCell ref="B36:K36"/>
  </mergeCells>
  <dataValidations>
    <dataValidation type="list" allowBlank="1" sqref="U18">
      <formula1>$U$5:$V$16</formula1>
    </dataValidation>
  </dataValidations>
  <hyperlinks>
    <hyperlink r:id="rId1" ref="AG3"/>
    <hyperlink r:id="rId2" ref="Z5"/>
    <hyperlink r:id="rId3" ref="B22"/>
    <hyperlink r:id="rId4" ref="M22"/>
  </hyperlinks>
  <drawing r:id="rId5"/>
  <tableParts count="3">
    <tablePart r:id="rId9"/>
    <tablePart r:id="rId10"/>
    <tablePart r:id="rId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outlineLevelCol="1"/>
  <cols>
    <col customWidth="1" min="1" max="1" width="28.71"/>
    <col collapsed="1" customWidth="1" min="2" max="2" width="4.43"/>
    <col customWidth="1" hidden="1" min="3" max="9" width="7.71" outlineLevel="1"/>
    <col customWidth="1" hidden="1" min="10" max="10" width="6.57" outlineLevel="1"/>
    <col customWidth="1" min="11" max="11" width="4.43"/>
    <col customWidth="1" min="12" max="18" width="7.71" outlineLevel="1"/>
    <col customWidth="1" min="19" max="19" width="6.57" outlineLevel="1"/>
    <col collapsed="1" customWidth="1" min="20" max="20" width="4.43"/>
    <col customWidth="1" hidden="1" min="21" max="27" width="7.71" outlineLevel="1"/>
    <col customWidth="1" hidden="1" min="28" max="28" width="6.57" outlineLevel="1"/>
    <col collapsed="1" customWidth="1" min="29" max="29" width="4.43"/>
    <col customWidth="1" hidden="1" min="30" max="36" width="7.71" outlineLevel="1"/>
    <col customWidth="1" hidden="1" min="37" max="37" width="6.57" outlineLevel="1"/>
    <col collapsed="1" customWidth="1" min="38" max="38" width="4.43"/>
    <col customWidth="1" hidden="1" min="39" max="45" width="7.71" outlineLevel="1"/>
    <col customWidth="1" hidden="1" min="46" max="46" width="6.57" outlineLevel="1"/>
    <col collapsed="1" customWidth="1" min="47" max="47" width="4.43"/>
    <col customWidth="1" hidden="1" min="48" max="54" width="7.71" outlineLevel="1"/>
    <col customWidth="1" hidden="1" min="55" max="55" width="6.57" outlineLevel="1"/>
    <col collapsed="1" customWidth="1" min="56" max="56" width="4.43"/>
    <col customWidth="1" hidden="1" min="57" max="63" width="7.71" outlineLevel="1"/>
    <col customWidth="1" hidden="1" min="64" max="64" width="6.57" outlineLevel="1"/>
    <col collapsed="1" customWidth="1" min="65" max="65" width="4.43"/>
    <col customWidth="1" hidden="1" min="66" max="72" width="7.71" outlineLevel="1"/>
    <col customWidth="1" hidden="1" min="73" max="73" width="6.57" outlineLevel="1"/>
    <col collapsed="1" customWidth="1" min="74" max="74" width="4.43"/>
    <col customWidth="1" hidden="1" min="75" max="81" width="7.71" outlineLevel="1"/>
    <col customWidth="1" hidden="1" min="82" max="82" width="6.57" outlineLevel="1"/>
    <col collapsed="1" customWidth="1" min="83" max="83" width="4.43"/>
    <col customWidth="1" hidden="1" min="84" max="90" width="7.71" outlineLevel="1"/>
    <col customWidth="1" hidden="1" min="91" max="91" width="6.57" outlineLevel="1"/>
    <col collapsed="1" customWidth="1" min="92" max="92" width="4.43"/>
    <col customWidth="1" hidden="1" min="93" max="99" width="7.71" outlineLevel="1"/>
    <col customWidth="1" hidden="1" min="100" max="100" width="6.57" outlineLevel="1"/>
    <col collapsed="1" customWidth="1" min="101" max="101" width="4.43"/>
    <col customWidth="1" hidden="1" min="102" max="108" width="7.71" outlineLevel="1"/>
    <col customWidth="1" hidden="1" min="109" max="109" width="6.57" outlineLevel="1"/>
    <col collapsed="1" customWidth="1" min="110" max="110" width="4.43"/>
    <col customWidth="1" hidden="1" min="111" max="117" width="7.71" outlineLevel="1"/>
    <col customWidth="1" hidden="1" min="118" max="118" width="6.57" outlineLevel="1"/>
    <col collapsed="1" customWidth="1" min="119" max="119" width="4.43"/>
    <col customWidth="1" hidden="1" min="120" max="126" width="7.71" outlineLevel="1"/>
    <col customWidth="1" hidden="1" min="127" max="127" width="6.57" outlineLevel="1"/>
    <col collapsed="1" customWidth="1" min="128" max="128" width="4.43"/>
    <col customWidth="1" hidden="1" min="129" max="135" width="7.71" outlineLevel="1"/>
    <col customWidth="1" hidden="1" min="136" max="136" width="6.57" outlineLevel="1"/>
    <col collapsed="1" customWidth="1" min="137" max="137" width="4.43"/>
    <col customWidth="1" hidden="1" min="138" max="144" width="7.71" outlineLevel="1"/>
    <col customWidth="1" hidden="1" min="145" max="145" width="6.57" outlineLevel="1"/>
    <col collapsed="1" customWidth="1" min="146" max="146" width="4.43"/>
    <col customWidth="1" hidden="1" min="147" max="153" width="7.71" outlineLevel="1"/>
    <col customWidth="1" hidden="1" min="154" max="154" width="6.57" outlineLevel="1"/>
    <col collapsed="1" customWidth="1" min="155" max="155" width="4.43"/>
    <col customWidth="1" hidden="1" min="156" max="162" width="7.71" outlineLevel="1"/>
    <col customWidth="1" hidden="1" min="163" max="163" width="6.57" outlineLevel="1"/>
    <col collapsed="1" customWidth="1" min="164" max="164" width="4.43"/>
    <col customWidth="1" hidden="1" min="165" max="171" width="7.71" outlineLevel="1"/>
    <col customWidth="1" hidden="1" min="172" max="172" width="6.57" outlineLevel="1"/>
    <col collapsed="1" customWidth="1" min="173" max="173" width="4.43"/>
    <col customWidth="1" hidden="1" min="174" max="180" width="7.71" outlineLevel="1"/>
    <col customWidth="1" hidden="1" min="181" max="181" width="6.57" outlineLevel="1"/>
    <col collapsed="1" customWidth="1" min="182" max="182" width="4.43"/>
    <col customWidth="1" hidden="1" min="183" max="189" width="7.71" outlineLevel="1"/>
    <col customWidth="1" hidden="1" min="190" max="190" width="6.57" outlineLevel="1"/>
    <col collapsed="1" customWidth="1" min="191" max="191" width="4.43"/>
    <col customWidth="1" hidden="1" min="192" max="198" width="7.71" outlineLevel="1"/>
    <col customWidth="1" hidden="1" min="199" max="199" width="6.57" outlineLevel="1"/>
    <col collapsed="1" customWidth="1" min="200" max="200" width="4.43"/>
    <col customWidth="1" hidden="1" min="201" max="207" width="7.71" outlineLevel="1"/>
    <col customWidth="1" hidden="1" min="208" max="208" width="6.57" outlineLevel="1"/>
    <col collapsed="1" customWidth="1" min="209" max="209" width="4.43"/>
    <col customWidth="1" hidden="1" min="210" max="216" width="7.71" outlineLevel="1"/>
    <col customWidth="1" hidden="1" min="217" max="217" width="6.57" outlineLevel="1"/>
    <col collapsed="1" customWidth="1" min="218" max="218" width="4.43"/>
    <col customWidth="1" hidden="1" min="219" max="225" width="7.71" outlineLevel="1"/>
    <col customWidth="1" hidden="1" min="226" max="226" width="6.57" outlineLevel="1"/>
    <col collapsed="1" customWidth="1" min="227" max="227" width="4.43"/>
    <col customWidth="1" hidden="1" min="228" max="234" width="7.71" outlineLevel="1"/>
    <col customWidth="1" hidden="1" min="235" max="235" width="6.57" outlineLevel="1"/>
    <col collapsed="1" customWidth="1" min="236" max="236" width="4.43"/>
    <col customWidth="1" hidden="1" min="237" max="243" width="7.71" outlineLevel="1"/>
    <col customWidth="1" hidden="1" min="244" max="244" width="6.57" outlineLevel="1"/>
    <col collapsed="1" customWidth="1" min="245" max="245" width="4.43"/>
    <col customWidth="1" hidden="1" min="246" max="252" width="7.71" outlineLevel="1"/>
    <col customWidth="1" hidden="1" min="253" max="253" width="6.57" outlineLevel="1"/>
    <col collapsed="1" customWidth="1" min="254" max="254" width="4.43"/>
    <col customWidth="1" hidden="1" min="255" max="261" width="7.71" outlineLevel="1"/>
    <col customWidth="1" hidden="1" min="262" max="262" width="6.57" outlineLevel="1"/>
    <col collapsed="1" customWidth="1" min="263" max="263" width="4.43"/>
    <col customWidth="1" hidden="1" min="264" max="270" width="7.71" outlineLevel="1"/>
    <col customWidth="1" hidden="1" min="271" max="271" width="6.57" outlineLevel="1"/>
    <col collapsed="1" customWidth="1" min="272" max="272" width="4.43"/>
    <col customWidth="1" hidden="1" min="273" max="279" width="7.71" outlineLevel="1"/>
    <col customWidth="1" hidden="1" min="280" max="280" width="6.57" outlineLevel="1"/>
    <col collapsed="1" customWidth="1" min="281" max="281" width="4.43"/>
    <col customWidth="1" hidden="1" min="282" max="288" width="7.71" outlineLevel="1"/>
    <col customWidth="1" hidden="1" min="289" max="289" width="6.57" outlineLevel="1"/>
    <col collapsed="1" customWidth="1" min="290" max="290" width="4.43"/>
    <col customWidth="1" hidden="1" min="291" max="297" width="7.71" outlineLevel="1"/>
    <col customWidth="1" hidden="1" min="298" max="298" width="6.57" outlineLevel="1"/>
    <col collapsed="1" customWidth="1" min="299" max="299" width="4.43"/>
    <col customWidth="1" hidden="1" min="300" max="306" width="7.71" outlineLevel="1"/>
    <col customWidth="1" hidden="1" min="307" max="307" width="6.57" outlineLevel="1"/>
    <col collapsed="1" customWidth="1" min="308" max="308" width="4.43"/>
    <col customWidth="1" hidden="1" min="309" max="315" width="7.71" outlineLevel="1"/>
    <col customWidth="1" hidden="1" min="316" max="316" width="6.57" outlineLevel="1"/>
    <col collapsed="1" customWidth="1" min="317" max="317" width="4.43"/>
    <col customWidth="1" hidden="1" min="318" max="324" width="7.71" outlineLevel="1"/>
    <col customWidth="1" hidden="1" min="325" max="325" width="6.57" outlineLevel="1"/>
    <col collapsed="1" customWidth="1" min="326" max="326" width="4.43"/>
    <col customWidth="1" hidden="1" min="327" max="333" width="7.71" outlineLevel="1"/>
    <col customWidth="1" hidden="1" min="334" max="334" width="6.57" outlineLevel="1"/>
    <col collapsed="1" customWidth="1" min="335" max="335" width="4.43"/>
    <col customWidth="1" hidden="1" min="336" max="342" width="7.71" outlineLevel="1"/>
    <col customWidth="1" hidden="1" min="343" max="343" width="6.57" outlineLevel="1"/>
    <col collapsed="1" customWidth="1" min="344" max="344" width="4.43"/>
    <col customWidth="1" hidden="1" min="345" max="351" width="7.71" outlineLevel="1"/>
    <col customWidth="1" hidden="1" min="352" max="352" width="6.57" outlineLevel="1"/>
    <col collapsed="1" customWidth="1" min="353" max="353" width="4.43"/>
    <col customWidth="1" hidden="1" min="354" max="360" width="7.71" outlineLevel="1"/>
    <col customWidth="1" hidden="1" min="361" max="361" width="6.57" outlineLevel="1"/>
    <col collapsed="1" customWidth="1" min="362" max="362" width="4.43"/>
    <col customWidth="1" hidden="1" min="363" max="369" width="7.71" outlineLevel="1"/>
    <col customWidth="1" hidden="1" min="370" max="370" width="6.57" outlineLevel="1"/>
    <col collapsed="1" customWidth="1" min="371" max="371" width="4.43"/>
    <col customWidth="1" hidden="1" min="372" max="378" width="7.71" outlineLevel="1"/>
    <col customWidth="1" hidden="1" min="379" max="379" width="6.57" outlineLevel="1"/>
    <col collapsed="1" customWidth="1" min="380" max="380" width="4.43"/>
    <col customWidth="1" hidden="1" min="381" max="387" width="7.71" outlineLevel="1"/>
    <col customWidth="1" hidden="1" min="388" max="388" width="6.57" outlineLevel="1"/>
    <col collapsed="1" customWidth="1" min="389" max="389" width="4.43"/>
    <col customWidth="1" hidden="1" min="390" max="396" width="7.71" outlineLevel="1"/>
    <col customWidth="1" hidden="1" min="397" max="397" width="6.57" outlineLevel="1"/>
    <col collapsed="1" customWidth="1" min="398" max="398" width="4.43"/>
    <col customWidth="1" hidden="1" min="399" max="405" width="7.71" outlineLevel="1"/>
    <col customWidth="1" hidden="1" min="406" max="406" width="6.57" outlineLevel="1"/>
    <col collapsed="1" customWidth="1" min="407" max="407" width="4.43"/>
    <col customWidth="1" hidden="1" min="408" max="414" width="7.71" outlineLevel="1"/>
    <col customWidth="1" hidden="1" min="415" max="415" width="6.57" outlineLevel="1"/>
    <col collapsed="1" customWidth="1" min="416" max="416" width="4.43"/>
    <col customWidth="1" hidden="1" min="417" max="423" width="7.71" outlineLevel="1"/>
    <col customWidth="1" hidden="1" min="424" max="424" width="6.57" outlineLevel="1"/>
    <col collapsed="1" customWidth="1" min="425" max="425" width="4.43"/>
    <col customWidth="1" hidden="1" min="426" max="432" width="7.71" outlineLevel="1"/>
    <col customWidth="1" hidden="1" min="433" max="433" width="6.57" outlineLevel="1"/>
    <col collapsed="1" customWidth="1" min="434" max="434" width="4.43"/>
    <col customWidth="1" hidden="1" min="435" max="441" width="7.71" outlineLevel="1"/>
    <col customWidth="1" hidden="1" min="442" max="442" width="6.57" outlineLevel="1"/>
    <col collapsed="1" customWidth="1" min="443" max="443" width="4.43"/>
    <col customWidth="1" hidden="1" min="444" max="450" width="7.71" outlineLevel="1"/>
    <col customWidth="1" hidden="1" min="451" max="451" width="6.57" outlineLevel="1"/>
    <col collapsed="1" customWidth="1" min="452" max="452" width="4.43"/>
    <col customWidth="1" hidden="1" min="453" max="459" width="7.71" outlineLevel="1"/>
    <col customWidth="1" hidden="1" min="460" max="460" width="6.57" outlineLevel="1"/>
    <col collapsed="1" customWidth="1" min="461" max="461" width="4.43"/>
    <col customWidth="1" hidden="1" min="462" max="468" width="7.71" outlineLevel="1"/>
    <col customWidth="1" hidden="1" min="469" max="469" width="6.57" outlineLevel="1"/>
    <col customWidth="1" min="470" max="470" width="0.86"/>
    <col customWidth="1" min="471" max="471" width="7.29"/>
  </cols>
  <sheetData>
    <row r="1" ht="15.0" customHeight="1">
      <c r="A1" s="392" t="s">
        <v>339</v>
      </c>
      <c r="B1" s="393"/>
      <c r="C1" s="394" t="s">
        <v>2</v>
      </c>
      <c r="D1" s="4"/>
      <c r="E1" s="4"/>
      <c r="F1" s="4"/>
      <c r="G1" s="4"/>
      <c r="H1" s="4"/>
      <c r="I1" s="4"/>
      <c r="J1" s="5"/>
      <c r="K1" s="395"/>
      <c r="L1" s="394" t="s">
        <v>3</v>
      </c>
      <c r="M1" s="4"/>
      <c r="N1" s="4"/>
      <c r="O1" s="4"/>
      <c r="P1" s="4"/>
      <c r="Q1" s="4"/>
      <c r="R1" s="4"/>
      <c r="S1" s="5"/>
      <c r="T1" s="396"/>
      <c r="U1" s="394" t="s">
        <v>4</v>
      </c>
      <c r="V1" s="4"/>
      <c r="W1" s="4"/>
      <c r="X1" s="4"/>
      <c r="Y1" s="4"/>
      <c r="Z1" s="4"/>
      <c r="AA1" s="4"/>
      <c r="AB1" s="5"/>
      <c r="AC1" s="396"/>
      <c r="AD1" s="394" t="s">
        <v>5</v>
      </c>
      <c r="AE1" s="4"/>
      <c r="AF1" s="4"/>
      <c r="AG1" s="4"/>
      <c r="AH1" s="4"/>
      <c r="AI1" s="4"/>
      <c r="AJ1" s="4"/>
      <c r="AK1" s="5"/>
      <c r="AL1" s="396"/>
      <c r="AM1" s="394" t="s">
        <v>7</v>
      </c>
      <c r="AN1" s="4"/>
      <c r="AO1" s="4"/>
      <c r="AP1" s="4"/>
      <c r="AQ1" s="4"/>
      <c r="AR1" s="4"/>
      <c r="AS1" s="4"/>
      <c r="AT1" s="5"/>
      <c r="AU1" s="396"/>
      <c r="AV1" s="394" t="s">
        <v>8</v>
      </c>
      <c r="AW1" s="4"/>
      <c r="AX1" s="4"/>
      <c r="AY1" s="4"/>
      <c r="AZ1" s="4"/>
      <c r="BA1" s="4"/>
      <c r="BB1" s="4"/>
      <c r="BC1" s="5"/>
      <c r="BD1" s="396"/>
      <c r="BE1" s="394" t="s">
        <v>9</v>
      </c>
      <c r="BF1" s="4"/>
      <c r="BG1" s="4"/>
      <c r="BH1" s="4"/>
      <c r="BI1" s="4"/>
      <c r="BJ1" s="4"/>
      <c r="BK1" s="4"/>
      <c r="BL1" s="5"/>
      <c r="BM1" s="396"/>
      <c r="BN1" s="394" t="s">
        <v>10</v>
      </c>
      <c r="BO1" s="4"/>
      <c r="BP1" s="4"/>
      <c r="BQ1" s="4"/>
      <c r="BR1" s="4"/>
      <c r="BS1" s="4"/>
      <c r="BT1" s="4"/>
      <c r="BU1" s="5"/>
      <c r="BV1" s="396"/>
      <c r="BW1" s="394" t="s">
        <v>11</v>
      </c>
      <c r="BX1" s="4"/>
      <c r="BY1" s="4"/>
      <c r="BZ1" s="4"/>
      <c r="CA1" s="4"/>
      <c r="CB1" s="4"/>
      <c r="CC1" s="4"/>
      <c r="CD1" s="5"/>
      <c r="CE1" s="396"/>
      <c r="CF1" s="394" t="s">
        <v>12</v>
      </c>
      <c r="CG1" s="4"/>
      <c r="CH1" s="4"/>
      <c r="CI1" s="4"/>
      <c r="CJ1" s="4"/>
      <c r="CK1" s="4"/>
      <c r="CL1" s="4"/>
      <c r="CM1" s="5"/>
      <c r="CN1" s="396"/>
      <c r="CO1" s="394" t="s">
        <v>13</v>
      </c>
      <c r="CP1" s="4"/>
      <c r="CQ1" s="4"/>
      <c r="CR1" s="4"/>
      <c r="CS1" s="4"/>
      <c r="CT1" s="4"/>
      <c r="CU1" s="4"/>
      <c r="CV1" s="5"/>
      <c r="CW1" s="396"/>
      <c r="CX1" s="394" t="s">
        <v>14</v>
      </c>
      <c r="CY1" s="4"/>
      <c r="CZ1" s="4"/>
      <c r="DA1" s="4"/>
      <c r="DB1" s="4"/>
      <c r="DC1" s="4"/>
      <c r="DD1" s="4"/>
      <c r="DE1" s="5"/>
      <c r="DF1" s="396"/>
      <c r="DG1" s="394" t="s">
        <v>15</v>
      </c>
      <c r="DH1" s="4"/>
      <c r="DI1" s="4"/>
      <c r="DJ1" s="4"/>
      <c r="DK1" s="4"/>
      <c r="DL1" s="4"/>
      <c r="DM1" s="4"/>
      <c r="DN1" s="5"/>
      <c r="DO1" s="396"/>
      <c r="DP1" s="394" t="s">
        <v>16</v>
      </c>
      <c r="DQ1" s="4"/>
      <c r="DR1" s="4"/>
      <c r="DS1" s="4"/>
      <c r="DT1" s="4"/>
      <c r="DU1" s="4"/>
      <c r="DV1" s="4"/>
      <c r="DW1" s="5"/>
      <c r="DX1" s="396"/>
      <c r="DY1" s="394" t="s">
        <v>17</v>
      </c>
      <c r="DZ1" s="4"/>
      <c r="EA1" s="4"/>
      <c r="EB1" s="4"/>
      <c r="EC1" s="4"/>
      <c r="ED1" s="4"/>
      <c r="EE1" s="4"/>
      <c r="EF1" s="5"/>
      <c r="EG1" s="396"/>
      <c r="EH1" s="394" t="s">
        <v>18</v>
      </c>
      <c r="EI1" s="4"/>
      <c r="EJ1" s="4"/>
      <c r="EK1" s="4"/>
      <c r="EL1" s="4"/>
      <c r="EM1" s="4"/>
      <c r="EN1" s="4"/>
      <c r="EO1" s="5"/>
      <c r="EP1" s="396"/>
      <c r="EQ1" s="394" t="s">
        <v>340</v>
      </c>
      <c r="ER1" s="4"/>
      <c r="ES1" s="4"/>
      <c r="ET1" s="4"/>
      <c r="EU1" s="4"/>
      <c r="EV1" s="4"/>
      <c r="EW1" s="4"/>
      <c r="EX1" s="5"/>
      <c r="EY1" s="396"/>
      <c r="EZ1" s="394" t="s">
        <v>341</v>
      </c>
      <c r="FA1" s="4"/>
      <c r="FB1" s="4"/>
      <c r="FC1" s="4"/>
      <c r="FD1" s="4"/>
      <c r="FE1" s="4"/>
      <c r="FF1" s="4"/>
      <c r="FG1" s="5"/>
      <c r="FH1" s="396"/>
      <c r="FI1" s="394" t="s">
        <v>342</v>
      </c>
      <c r="FJ1" s="4"/>
      <c r="FK1" s="4"/>
      <c r="FL1" s="4"/>
      <c r="FM1" s="4"/>
      <c r="FN1" s="4"/>
      <c r="FO1" s="4"/>
      <c r="FP1" s="5"/>
      <c r="FQ1" s="396"/>
      <c r="FR1" s="394" t="s">
        <v>343</v>
      </c>
      <c r="FS1" s="4"/>
      <c r="FT1" s="4"/>
      <c r="FU1" s="4"/>
      <c r="FV1" s="4"/>
      <c r="FW1" s="4"/>
      <c r="FX1" s="4"/>
      <c r="FY1" s="5"/>
      <c r="FZ1" s="396"/>
      <c r="GA1" s="394" t="s">
        <v>344</v>
      </c>
      <c r="GB1" s="4"/>
      <c r="GC1" s="4"/>
      <c r="GD1" s="4"/>
      <c r="GE1" s="4"/>
      <c r="GF1" s="4"/>
      <c r="GG1" s="4"/>
      <c r="GH1" s="5"/>
      <c r="GI1" s="396"/>
      <c r="GJ1" s="394" t="s">
        <v>345</v>
      </c>
      <c r="GK1" s="4"/>
      <c r="GL1" s="4"/>
      <c r="GM1" s="4"/>
      <c r="GN1" s="4"/>
      <c r="GO1" s="4"/>
      <c r="GP1" s="4"/>
      <c r="GQ1" s="5"/>
      <c r="GR1" s="396"/>
      <c r="GS1" s="394" t="s">
        <v>346</v>
      </c>
      <c r="GT1" s="4"/>
      <c r="GU1" s="4"/>
      <c r="GV1" s="4"/>
      <c r="GW1" s="4"/>
      <c r="GX1" s="4"/>
      <c r="GY1" s="4"/>
      <c r="GZ1" s="5"/>
      <c r="HA1" s="396"/>
      <c r="HB1" s="394" t="s">
        <v>347</v>
      </c>
      <c r="HC1" s="4"/>
      <c r="HD1" s="4"/>
      <c r="HE1" s="4"/>
      <c r="HF1" s="4"/>
      <c r="HG1" s="4"/>
      <c r="HH1" s="4"/>
      <c r="HI1" s="5"/>
      <c r="HJ1" s="396"/>
      <c r="HK1" s="394" t="s">
        <v>348</v>
      </c>
      <c r="HL1" s="4"/>
      <c r="HM1" s="4"/>
      <c r="HN1" s="4"/>
      <c r="HO1" s="4"/>
      <c r="HP1" s="4"/>
      <c r="HQ1" s="4"/>
      <c r="HR1" s="5"/>
      <c r="HS1" s="396"/>
      <c r="HT1" s="394" t="s">
        <v>349</v>
      </c>
      <c r="HU1" s="4"/>
      <c r="HV1" s="4"/>
      <c r="HW1" s="4"/>
      <c r="HX1" s="4"/>
      <c r="HY1" s="4"/>
      <c r="HZ1" s="4"/>
      <c r="IA1" s="5"/>
      <c r="IB1" s="396"/>
      <c r="IC1" s="394" t="s">
        <v>350</v>
      </c>
      <c r="ID1" s="4"/>
      <c r="IE1" s="4"/>
      <c r="IF1" s="4"/>
      <c r="IG1" s="4"/>
      <c r="IH1" s="4"/>
      <c r="II1" s="4"/>
      <c r="IJ1" s="5"/>
      <c r="IK1" s="396"/>
      <c r="IL1" s="394" t="s">
        <v>351</v>
      </c>
      <c r="IM1" s="4"/>
      <c r="IN1" s="4"/>
      <c r="IO1" s="4"/>
      <c r="IP1" s="4"/>
      <c r="IQ1" s="4"/>
      <c r="IR1" s="4"/>
      <c r="IS1" s="5"/>
      <c r="IT1" s="396"/>
      <c r="IU1" s="394" t="s">
        <v>352</v>
      </c>
      <c r="IV1" s="4"/>
      <c r="IW1" s="4"/>
      <c r="IX1" s="4"/>
      <c r="IY1" s="4"/>
      <c r="IZ1" s="4"/>
      <c r="JA1" s="4"/>
      <c r="JB1" s="5"/>
      <c r="JC1" s="396"/>
      <c r="JD1" s="394" t="s">
        <v>353</v>
      </c>
      <c r="JE1" s="4"/>
      <c r="JF1" s="4"/>
      <c r="JG1" s="4"/>
      <c r="JH1" s="4"/>
      <c r="JI1" s="4"/>
      <c r="JJ1" s="4"/>
      <c r="JK1" s="5"/>
      <c r="JL1" s="396"/>
      <c r="JM1" s="394" t="s">
        <v>354</v>
      </c>
      <c r="JN1" s="4"/>
      <c r="JO1" s="4"/>
      <c r="JP1" s="4"/>
      <c r="JQ1" s="4"/>
      <c r="JR1" s="4"/>
      <c r="JS1" s="4"/>
      <c r="JT1" s="5"/>
      <c r="JU1" s="396"/>
      <c r="JV1" s="394" t="s">
        <v>355</v>
      </c>
      <c r="JW1" s="4"/>
      <c r="JX1" s="4"/>
      <c r="JY1" s="4"/>
      <c r="JZ1" s="4"/>
      <c r="KA1" s="4"/>
      <c r="KB1" s="4"/>
      <c r="KC1" s="5"/>
      <c r="KD1" s="396"/>
      <c r="KE1" s="394" t="s">
        <v>356</v>
      </c>
      <c r="KF1" s="4"/>
      <c r="KG1" s="4"/>
      <c r="KH1" s="4"/>
      <c r="KI1" s="4"/>
      <c r="KJ1" s="4"/>
      <c r="KK1" s="4"/>
      <c r="KL1" s="5"/>
      <c r="KM1" s="396"/>
      <c r="KN1" s="394" t="s">
        <v>357</v>
      </c>
      <c r="KO1" s="4"/>
      <c r="KP1" s="4"/>
      <c r="KQ1" s="4"/>
      <c r="KR1" s="4"/>
      <c r="KS1" s="4"/>
      <c r="KT1" s="4"/>
      <c r="KU1" s="5"/>
      <c r="KV1" s="396"/>
      <c r="KW1" s="394" t="s">
        <v>358</v>
      </c>
      <c r="KX1" s="4"/>
      <c r="KY1" s="4"/>
      <c r="KZ1" s="4"/>
      <c r="LA1" s="4"/>
      <c r="LB1" s="4"/>
      <c r="LC1" s="4"/>
      <c r="LD1" s="5"/>
      <c r="LE1" s="396"/>
      <c r="LF1" s="394" t="s">
        <v>359</v>
      </c>
      <c r="LG1" s="4"/>
      <c r="LH1" s="4"/>
      <c r="LI1" s="4"/>
      <c r="LJ1" s="4"/>
      <c r="LK1" s="4"/>
      <c r="LL1" s="4"/>
      <c r="LM1" s="5"/>
      <c r="LN1" s="396"/>
      <c r="LO1" s="394" t="s">
        <v>360</v>
      </c>
      <c r="LP1" s="4"/>
      <c r="LQ1" s="4"/>
      <c r="LR1" s="4"/>
      <c r="LS1" s="4"/>
      <c r="LT1" s="4"/>
      <c r="LU1" s="4"/>
      <c r="LV1" s="5"/>
      <c r="LW1" s="396"/>
      <c r="LX1" s="394" t="s">
        <v>361</v>
      </c>
      <c r="LY1" s="4"/>
      <c r="LZ1" s="4"/>
      <c r="MA1" s="4"/>
      <c r="MB1" s="4"/>
      <c r="MC1" s="4"/>
      <c r="MD1" s="4"/>
      <c r="ME1" s="5"/>
      <c r="MF1" s="396"/>
      <c r="MG1" s="394" t="s">
        <v>362</v>
      </c>
      <c r="MH1" s="4"/>
      <c r="MI1" s="4"/>
      <c r="MJ1" s="4"/>
      <c r="MK1" s="4"/>
      <c r="ML1" s="4"/>
      <c r="MM1" s="4"/>
      <c r="MN1" s="5"/>
      <c r="MO1" s="396"/>
      <c r="MP1" s="394" t="s">
        <v>363</v>
      </c>
      <c r="MQ1" s="4"/>
      <c r="MR1" s="4"/>
      <c r="MS1" s="4"/>
      <c r="MT1" s="4"/>
      <c r="MU1" s="4"/>
      <c r="MV1" s="4"/>
      <c r="MW1" s="5"/>
      <c r="MX1" s="396"/>
      <c r="MY1" s="394" t="s">
        <v>364</v>
      </c>
      <c r="MZ1" s="4"/>
      <c r="NA1" s="4"/>
      <c r="NB1" s="4"/>
      <c r="NC1" s="4"/>
      <c r="ND1" s="4"/>
      <c r="NE1" s="4"/>
      <c r="NF1" s="5"/>
      <c r="NG1" s="396"/>
      <c r="NH1" s="394" t="s">
        <v>365</v>
      </c>
      <c r="NI1" s="4"/>
      <c r="NJ1" s="4"/>
      <c r="NK1" s="4"/>
      <c r="NL1" s="4"/>
      <c r="NM1" s="4"/>
      <c r="NN1" s="4"/>
      <c r="NO1" s="5"/>
      <c r="NP1" s="396"/>
      <c r="NQ1" s="394" t="s">
        <v>366</v>
      </c>
      <c r="NR1" s="4"/>
      <c r="NS1" s="4"/>
      <c r="NT1" s="4"/>
      <c r="NU1" s="4"/>
      <c r="NV1" s="4"/>
      <c r="NW1" s="4"/>
      <c r="NX1" s="5"/>
      <c r="NY1" s="396"/>
      <c r="NZ1" s="394" t="s">
        <v>367</v>
      </c>
      <c r="OA1" s="4"/>
      <c r="OB1" s="4"/>
      <c r="OC1" s="4"/>
      <c r="OD1" s="4"/>
      <c r="OE1" s="4"/>
      <c r="OF1" s="4"/>
      <c r="OG1" s="5"/>
      <c r="OH1" s="396"/>
      <c r="OI1" s="394" t="s">
        <v>368</v>
      </c>
      <c r="OJ1" s="4"/>
      <c r="OK1" s="4"/>
      <c r="OL1" s="4"/>
      <c r="OM1" s="4"/>
      <c r="ON1" s="4"/>
      <c r="OO1" s="4"/>
      <c r="OP1" s="5"/>
      <c r="OQ1" s="396"/>
      <c r="OR1" s="394" t="s">
        <v>369</v>
      </c>
      <c r="OS1" s="4"/>
      <c r="OT1" s="4"/>
      <c r="OU1" s="4"/>
      <c r="OV1" s="4"/>
      <c r="OW1" s="4"/>
      <c r="OX1" s="4"/>
      <c r="OY1" s="5"/>
      <c r="OZ1" s="396"/>
      <c r="PA1" s="394" t="s">
        <v>370</v>
      </c>
      <c r="PB1" s="4"/>
      <c r="PC1" s="4"/>
      <c r="PD1" s="4"/>
      <c r="PE1" s="4"/>
      <c r="PF1" s="4"/>
      <c r="PG1" s="4"/>
      <c r="PH1" s="5"/>
      <c r="PI1" s="396"/>
      <c r="PJ1" s="394" t="s">
        <v>371</v>
      </c>
      <c r="PK1" s="4"/>
      <c r="PL1" s="4"/>
      <c r="PM1" s="4"/>
      <c r="PN1" s="4"/>
      <c r="PO1" s="4"/>
      <c r="PP1" s="4"/>
      <c r="PQ1" s="5"/>
      <c r="PR1" s="396"/>
      <c r="PS1" s="394" t="s">
        <v>372</v>
      </c>
      <c r="PT1" s="4"/>
      <c r="PU1" s="4"/>
      <c r="PV1" s="4"/>
      <c r="PW1" s="4"/>
      <c r="PX1" s="4"/>
      <c r="PY1" s="4"/>
      <c r="PZ1" s="5"/>
      <c r="QA1" s="396"/>
      <c r="QB1" s="394" t="s">
        <v>373</v>
      </c>
      <c r="QC1" s="4"/>
      <c r="QD1" s="4"/>
      <c r="QE1" s="4"/>
      <c r="QF1" s="4"/>
      <c r="QG1" s="4"/>
      <c r="QH1" s="4"/>
      <c r="QI1" s="5"/>
      <c r="QJ1" s="396"/>
      <c r="QK1" s="394" t="s">
        <v>374</v>
      </c>
      <c r="QL1" s="4"/>
      <c r="QM1" s="4"/>
      <c r="QN1" s="4"/>
      <c r="QO1" s="4"/>
      <c r="QP1" s="4"/>
      <c r="QQ1" s="4"/>
      <c r="QR1" s="5"/>
      <c r="QS1" s="396"/>
      <c r="QT1" s="394" t="s">
        <v>375</v>
      </c>
      <c r="QU1" s="4"/>
      <c r="QV1" s="4"/>
      <c r="QW1" s="4"/>
      <c r="QX1" s="4"/>
      <c r="QY1" s="4"/>
      <c r="QZ1" s="4"/>
      <c r="RA1" s="5"/>
      <c r="RB1" s="397"/>
      <c r="RC1" s="13"/>
    </row>
    <row r="2" ht="33.75" customHeight="1">
      <c r="A2" s="14"/>
      <c r="B2" s="398"/>
      <c r="C2" s="399" t="s">
        <v>376</v>
      </c>
      <c r="D2" s="400" t="s">
        <v>377</v>
      </c>
      <c r="E2" s="400" t="s">
        <v>378</v>
      </c>
      <c r="F2" s="400" t="s">
        <v>379</v>
      </c>
      <c r="G2" s="400" t="s">
        <v>380</v>
      </c>
      <c r="H2" s="400" t="s">
        <v>381</v>
      </c>
      <c r="I2" s="400" t="s">
        <v>382</v>
      </c>
      <c r="J2" s="401" t="s">
        <v>383</v>
      </c>
      <c r="K2" s="398"/>
      <c r="L2" s="399" t="s">
        <v>376</v>
      </c>
      <c r="M2" s="400" t="s">
        <v>377</v>
      </c>
      <c r="N2" s="400" t="s">
        <v>378</v>
      </c>
      <c r="O2" s="400" t="s">
        <v>379</v>
      </c>
      <c r="P2" s="400" t="s">
        <v>380</v>
      </c>
      <c r="Q2" s="400" t="s">
        <v>381</v>
      </c>
      <c r="R2" s="400" t="s">
        <v>382</v>
      </c>
      <c r="S2" s="401" t="s">
        <v>383</v>
      </c>
      <c r="T2" s="398"/>
      <c r="U2" s="399" t="s">
        <v>376</v>
      </c>
      <c r="V2" s="400" t="s">
        <v>377</v>
      </c>
      <c r="W2" s="400" t="s">
        <v>378</v>
      </c>
      <c r="X2" s="400" t="s">
        <v>379</v>
      </c>
      <c r="Y2" s="400" t="s">
        <v>380</v>
      </c>
      <c r="Z2" s="400" t="s">
        <v>381</v>
      </c>
      <c r="AA2" s="400" t="s">
        <v>382</v>
      </c>
      <c r="AB2" s="401" t="s">
        <v>383</v>
      </c>
      <c r="AC2" s="398"/>
      <c r="AD2" s="399" t="s">
        <v>376</v>
      </c>
      <c r="AE2" s="400" t="s">
        <v>377</v>
      </c>
      <c r="AF2" s="400" t="s">
        <v>378</v>
      </c>
      <c r="AG2" s="400" t="s">
        <v>379</v>
      </c>
      <c r="AH2" s="400" t="s">
        <v>380</v>
      </c>
      <c r="AI2" s="400" t="s">
        <v>381</v>
      </c>
      <c r="AJ2" s="400" t="s">
        <v>382</v>
      </c>
      <c r="AK2" s="401" t="s">
        <v>383</v>
      </c>
      <c r="AL2" s="398"/>
      <c r="AM2" s="399" t="s">
        <v>376</v>
      </c>
      <c r="AN2" s="400" t="s">
        <v>377</v>
      </c>
      <c r="AO2" s="400" t="s">
        <v>378</v>
      </c>
      <c r="AP2" s="400" t="s">
        <v>379</v>
      </c>
      <c r="AQ2" s="400" t="s">
        <v>380</v>
      </c>
      <c r="AR2" s="400" t="s">
        <v>381</v>
      </c>
      <c r="AS2" s="400" t="s">
        <v>382</v>
      </c>
      <c r="AT2" s="401" t="s">
        <v>383</v>
      </c>
      <c r="AU2" s="398"/>
      <c r="AV2" s="399" t="s">
        <v>376</v>
      </c>
      <c r="AW2" s="400" t="s">
        <v>377</v>
      </c>
      <c r="AX2" s="400" t="s">
        <v>378</v>
      </c>
      <c r="AY2" s="400" t="s">
        <v>379</v>
      </c>
      <c r="AZ2" s="400" t="s">
        <v>380</v>
      </c>
      <c r="BA2" s="400" t="s">
        <v>381</v>
      </c>
      <c r="BB2" s="400" t="s">
        <v>382</v>
      </c>
      <c r="BC2" s="401" t="s">
        <v>383</v>
      </c>
      <c r="BD2" s="398"/>
      <c r="BE2" s="399" t="s">
        <v>376</v>
      </c>
      <c r="BF2" s="400" t="s">
        <v>377</v>
      </c>
      <c r="BG2" s="400" t="s">
        <v>378</v>
      </c>
      <c r="BH2" s="400" t="s">
        <v>379</v>
      </c>
      <c r="BI2" s="400" t="s">
        <v>380</v>
      </c>
      <c r="BJ2" s="400" t="s">
        <v>381</v>
      </c>
      <c r="BK2" s="400" t="s">
        <v>382</v>
      </c>
      <c r="BL2" s="401" t="s">
        <v>383</v>
      </c>
      <c r="BM2" s="398"/>
      <c r="BN2" s="399" t="s">
        <v>376</v>
      </c>
      <c r="BO2" s="400" t="s">
        <v>377</v>
      </c>
      <c r="BP2" s="400" t="s">
        <v>378</v>
      </c>
      <c r="BQ2" s="400" t="s">
        <v>379</v>
      </c>
      <c r="BR2" s="400" t="s">
        <v>380</v>
      </c>
      <c r="BS2" s="400" t="s">
        <v>381</v>
      </c>
      <c r="BT2" s="400" t="s">
        <v>382</v>
      </c>
      <c r="BU2" s="401" t="s">
        <v>383</v>
      </c>
      <c r="BV2" s="398"/>
      <c r="BW2" s="399" t="s">
        <v>376</v>
      </c>
      <c r="BX2" s="400" t="s">
        <v>377</v>
      </c>
      <c r="BY2" s="400" t="s">
        <v>378</v>
      </c>
      <c r="BZ2" s="400" t="s">
        <v>379</v>
      </c>
      <c r="CA2" s="400" t="s">
        <v>380</v>
      </c>
      <c r="CB2" s="400" t="s">
        <v>381</v>
      </c>
      <c r="CC2" s="400" t="s">
        <v>382</v>
      </c>
      <c r="CD2" s="401" t="s">
        <v>383</v>
      </c>
      <c r="CE2" s="398"/>
      <c r="CF2" s="399" t="s">
        <v>376</v>
      </c>
      <c r="CG2" s="400" t="s">
        <v>377</v>
      </c>
      <c r="CH2" s="400" t="s">
        <v>378</v>
      </c>
      <c r="CI2" s="400" t="s">
        <v>379</v>
      </c>
      <c r="CJ2" s="400" t="s">
        <v>380</v>
      </c>
      <c r="CK2" s="400" t="s">
        <v>381</v>
      </c>
      <c r="CL2" s="400" t="s">
        <v>382</v>
      </c>
      <c r="CM2" s="401" t="s">
        <v>383</v>
      </c>
      <c r="CN2" s="398"/>
      <c r="CO2" s="399" t="s">
        <v>376</v>
      </c>
      <c r="CP2" s="400" t="s">
        <v>377</v>
      </c>
      <c r="CQ2" s="400" t="s">
        <v>378</v>
      </c>
      <c r="CR2" s="400" t="s">
        <v>379</v>
      </c>
      <c r="CS2" s="400" t="s">
        <v>380</v>
      </c>
      <c r="CT2" s="400" t="s">
        <v>381</v>
      </c>
      <c r="CU2" s="400" t="s">
        <v>382</v>
      </c>
      <c r="CV2" s="401" t="s">
        <v>383</v>
      </c>
      <c r="CW2" s="398"/>
      <c r="CX2" s="399" t="s">
        <v>376</v>
      </c>
      <c r="CY2" s="400" t="s">
        <v>377</v>
      </c>
      <c r="CZ2" s="400" t="s">
        <v>378</v>
      </c>
      <c r="DA2" s="400" t="s">
        <v>379</v>
      </c>
      <c r="DB2" s="400" t="s">
        <v>380</v>
      </c>
      <c r="DC2" s="400" t="s">
        <v>381</v>
      </c>
      <c r="DD2" s="400" t="s">
        <v>382</v>
      </c>
      <c r="DE2" s="401" t="s">
        <v>383</v>
      </c>
      <c r="DF2" s="398"/>
      <c r="DG2" s="399" t="s">
        <v>376</v>
      </c>
      <c r="DH2" s="400" t="s">
        <v>377</v>
      </c>
      <c r="DI2" s="400" t="s">
        <v>378</v>
      </c>
      <c r="DJ2" s="400" t="s">
        <v>379</v>
      </c>
      <c r="DK2" s="400" t="s">
        <v>380</v>
      </c>
      <c r="DL2" s="400" t="s">
        <v>381</v>
      </c>
      <c r="DM2" s="400" t="s">
        <v>382</v>
      </c>
      <c r="DN2" s="401" t="s">
        <v>383</v>
      </c>
      <c r="DO2" s="398"/>
      <c r="DP2" s="399" t="s">
        <v>376</v>
      </c>
      <c r="DQ2" s="400" t="s">
        <v>377</v>
      </c>
      <c r="DR2" s="400" t="s">
        <v>378</v>
      </c>
      <c r="DS2" s="400" t="s">
        <v>379</v>
      </c>
      <c r="DT2" s="400" t="s">
        <v>380</v>
      </c>
      <c r="DU2" s="400" t="s">
        <v>381</v>
      </c>
      <c r="DV2" s="400" t="s">
        <v>382</v>
      </c>
      <c r="DW2" s="401" t="s">
        <v>383</v>
      </c>
      <c r="DX2" s="398"/>
      <c r="DY2" s="399" t="s">
        <v>376</v>
      </c>
      <c r="DZ2" s="400" t="s">
        <v>377</v>
      </c>
      <c r="EA2" s="400" t="s">
        <v>378</v>
      </c>
      <c r="EB2" s="400" t="s">
        <v>379</v>
      </c>
      <c r="EC2" s="400" t="s">
        <v>380</v>
      </c>
      <c r="ED2" s="400" t="s">
        <v>381</v>
      </c>
      <c r="EE2" s="400" t="s">
        <v>382</v>
      </c>
      <c r="EF2" s="401" t="s">
        <v>383</v>
      </c>
      <c r="EG2" s="398"/>
      <c r="EH2" s="399" t="s">
        <v>376</v>
      </c>
      <c r="EI2" s="400" t="s">
        <v>377</v>
      </c>
      <c r="EJ2" s="400" t="s">
        <v>378</v>
      </c>
      <c r="EK2" s="400" t="s">
        <v>379</v>
      </c>
      <c r="EL2" s="400" t="s">
        <v>380</v>
      </c>
      <c r="EM2" s="400" t="s">
        <v>381</v>
      </c>
      <c r="EN2" s="400" t="s">
        <v>382</v>
      </c>
      <c r="EO2" s="401" t="s">
        <v>383</v>
      </c>
      <c r="EP2" s="398"/>
      <c r="EQ2" s="399" t="s">
        <v>376</v>
      </c>
      <c r="ER2" s="400" t="s">
        <v>377</v>
      </c>
      <c r="ES2" s="400" t="s">
        <v>378</v>
      </c>
      <c r="ET2" s="400" t="s">
        <v>379</v>
      </c>
      <c r="EU2" s="400" t="s">
        <v>380</v>
      </c>
      <c r="EV2" s="400" t="s">
        <v>381</v>
      </c>
      <c r="EW2" s="400" t="s">
        <v>382</v>
      </c>
      <c r="EX2" s="401" t="s">
        <v>383</v>
      </c>
      <c r="EY2" s="398"/>
      <c r="EZ2" s="399" t="s">
        <v>376</v>
      </c>
      <c r="FA2" s="400" t="s">
        <v>377</v>
      </c>
      <c r="FB2" s="400" t="s">
        <v>378</v>
      </c>
      <c r="FC2" s="400" t="s">
        <v>379</v>
      </c>
      <c r="FD2" s="400" t="s">
        <v>380</v>
      </c>
      <c r="FE2" s="400" t="s">
        <v>381</v>
      </c>
      <c r="FF2" s="400" t="s">
        <v>382</v>
      </c>
      <c r="FG2" s="401" t="s">
        <v>383</v>
      </c>
      <c r="FH2" s="398"/>
      <c r="FI2" s="399" t="s">
        <v>376</v>
      </c>
      <c r="FJ2" s="400" t="s">
        <v>377</v>
      </c>
      <c r="FK2" s="400" t="s">
        <v>378</v>
      </c>
      <c r="FL2" s="400" t="s">
        <v>379</v>
      </c>
      <c r="FM2" s="400" t="s">
        <v>380</v>
      </c>
      <c r="FN2" s="400" t="s">
        <v>381</v>
      </c>
      <c r="FO2" s="400" t="s">
        <v>382</v>
      </c>
      <c r="FP2" s="401" t="s">
        <v>383</v>
      </c>
      <c r="FQ2" s="398"/>
      <c r="FR2" s="399" t="s">
        <v>376</v>
      </c>
      <c r="FS2" s="400" t="s">
        <v>377</v>
      </c>
      <c r="FT2" s="400" t="s">
        <v>378</v>
      </c>
      <c r="FU2" s="400" t="s">
        <v>379</v>
      </c>
      <c r="FV2" s="400" t="s">
        <v>380</v>
      </c>
      <c r="FW2" s="400" t="s">
        <v>381</v>
      </c>
      <c r="FX2" s="400" t="s">
        <v>382</v>
      </c>
      <c r="FY2" s="401" t="s">
        <v>383</v>
      </c>
      <c r="FZ2" s="398"/>
      <c r="GA2" s="399" t="s">
        <v>376</v>
      </c>
      <c r="GB2" s="400" t="s">
        <v>377</v>
      </c>
      <c r="GC2" s="400" t="s">
        <v>378</v>
      </c>
      <c r="GD2" s="400" t="s">
        <v>379</v>
      </c>
      <c r="GE2" s="400" t="s">
        <v>380</v>
      </c>
      <c r="GF2" s="400" t="s">
        <v>381</v>
      </c>
      <c r="GG2" s="400" t="s">
        <v>382</v>
      </c>
      <c r="GH2" s="401" t="s">
        <v>383</v>
      </c>
      <c r="GI2" s="398"/>
      <c r="GJ2" s="399" t="s">
        <v>376</v>
      </c>
      <c r="GK2" s="400" t="s">
        <v>377</v>
      </c>
      <c r="GL2" s="400" t="s">
        <v>378</v>
      </c>
      <c r="GM2" s="400" t="s">
        <v>379</v>
      </c>
      <c r="GN2" s="400" t="s">
        <v>380</v>
      </c>
      <c r="GO2" s="400" t="s">
        <v>381</v>
      </c>
      <c r="GP2" s="400" t="s">
        <v>382</v>
      </c>
      <c r="GQ2" s="401" t="s">
        <v>383</v>
      </c>
      <c r="GR2" s="398"/>
      <c r="GS2" s="399" t="s">
        <v>376</v>
      </c>
      <c r="GT2" s="400" t="s">
        <v>377</v>
      </c>
      <c r="GU2" s="400" t="s">
        <v>378</v>
      </c>
      <c r="GV2" s="400" t="s">
        <v>379</v>
      </c>
      <c r="GW2" s="400" t="s">
        <v>380</v>
      </c>
      <c r="GX2" s="400" t="s">
        <v>381</v>
      </c>
      <c r="GY2" s="400" t="s">
        <v>382</v>
      </c>
      <c r="GZ2" s="401" t="s">
        <v>383</v>
      </c>
      <c r="HA2" s="398"/>
      <c r="HB2" s="399" t="s">
        <v>376</v>
      </c>
      <c r="HC2" s="400" t="s">
        <v>377</v>
      </c>
      <c r="HD2" s="400" t="s">
        <v>378</v>
      </c>
      <c r="HE2" s="400" t="s">
        <v>379</v>
      </c>
      <c r="HF2" s="400" t="s">
        <v>380</v>
      </c>
      <c r="HG2" s="400" t="s">
        <v>381</v>
      </c>
      <c r="HH2" s="400" t="s">
        <v>382</v>
      </c>
      <c r="HI2" s="401" t="s">
        <v>383</v>
      </c>
      <c r="HJ2" s="398"/>
      <c r="HK2" s="399" t="s">
        <v>376</v>
      </c>
      <c r="HL2" s="400" t="s">
        <v>377</v>
      </c>
      <c r="HM2" s="400" t="s">
        <v>378</v>
      </c>
      <c r="HN2" s="400" t="s">
        <v>379</v>
      </c>
      <c r="HO2" s="400" t="s">
        <v>380</v>
      </c>
      <c r="HP2" s="400" t="s">
        <v>381</v>
      </c>
      <c r="HQ2" s="400" t="s">
        <v>382</v>
      </c>
      <c r="HR2" s="401" t="s">
        <v>383</v>
      </c>
      <c r="HS2" s="398"/>
      <c r="HT2" s="399" t="s">
        <v>376</v>
      </c>
      <c r="HU2" s="400" t="s">
        <v>377</v>
      </c>
      <c r="HV2" s="400" t="s">
        <v>378</v>
      </c>
      <c r="HW2" s="400" t="s">
        <v>379</v>
      </c>
      <c r="HX2" s="400" t="s">
        <v>380</v>
      </c>
      <c r="HY2" s="400" t="s">
        <v>381</v>
      </c>
      <c r="HZ2" s="400" t="s">
        <v>382</v>
      </c>
      <c r="IA2" s="401" t="s">
        <v>383</v>
      </c>
      <c r="IB2" s="398"/>
      <c r="IC2" s="399" t="s">
        <v>376</v>
      </c>
      <c r="ID2" s="400" t="s">
        <v>377</v>
      </c>
      <c r="IE2" s="400" t="s">
        <v>378</v>
      </c>
      <c r="IF2" s="400" t="s">
        <v>379</v>
      </c>
      <c r="IG2" s="400" t="s">
        <v>380</v>
      </c>
      <c r="IH2" s="400" t="s">
        <v>381</v>
      </c>
      <c r="II2" s="400" t="s">
        <v>382</v>
      </c>
      <c r="IJ2" s="401" t="s">
        <v>383</v>
      </c>
      <c r="IK2" s="398"/>
      <c r="IL2" s="399" t="s">
        <v>376</v>
      </c>
      <c r="IM2" s="400" t="s">
        <v>377</v>
      </c>
      <c r="IN2" s="400" t="s">
        <v>378</v>
      </c>
      <c r="IO2" s="400" t="s">
        <v>379</v>
      </c>
      <c r="IP2" s="400" t="s">
        <v>380</v>
      </c>
      <c r="IQ2" s="400" t="s">
        <v>381</v>
      </c>
      <c r="IR2" s="400" t="s">
        <v>382</v>
      </c>
      <c r="IS2" s="401" t="s">
        <v>383</v>
      </c>
      <c r="IT2" s="398"/>
      <c r="IU2" s="399" t="s">
        <v>376</v>
      </c>
      <c r="IV2" s="400" t="s">
        <v>377</v>
      </c>
      <c r="IW2" s="400" t="s">
        <v>378</v>
      </c>
      <c r="IX2" s="400" t="s">
        <v>379</v>
      </c>
      <c r="IY2" s="400" t="s">
        <v>380</v>
      </c>
      <c r="IZ2" s="400" t="s">
        <v>381</v>
      </c>
      <c r="JA2" s="400" t="s">
        <v>382</v>
      </c>
      <c r="JB2" s="401" t="s">
        <v>383</v>
      </c>
      <c r="JC2" s="398"/>
      <c r="JD2" s="399" t="s">
        <v>376</v>
      </c>
      <c r="JE2" s="400" t="s">
        <v>377</v>
      </c>
      <c r="JF2" s="400" t="s">
        <v>378</v>
      </c>
      <c r="JG2" s="400" t="s">
        <v>379</v>
      </c>
      <c r="JH2" s="400" t="s">
        <v>380</v>
      </c>
      <c r="JI2" s="400" t="s">
        <v>381</v>
      </c>
      <c r="JJ2" s="400" t="s">
        <v>382</v>
      </c>
      <c r="JK2" s="401" t="s">
        <v>383</v>
      </c>
      <c r="JL2" s="398"/>
      <c r="JM2" s="399" t="s">
        <v>376</v>
      </c>
      <c r="JN2" s="400" t="s">
        <v>377</v>
      </c>
      <c r="JO2" s="400" t="s">
        <v>378</v>
      </c>
      <c r="JP2" s="400" t="s">
        <v>379</v>
      </c>
      <c r="JQ2" s="400" t="s">
        <v>380</v>
      </c>
      <c r="JR2" s="400" t="s">
        <v>381</v>
      </c>
      <c r="JS2" s="400" t="s">
        <v>382</v>
      </c>
      <c r="JT2" s="401" t="s">
        <v>383</v>
      </c>
      <c r="JU2" s="398"/>
      <c r="JV2" s="399" t="s">
        <v>376</v>
      </c>
      <c r="JW2" s="400" t="s">
        <v>377</v>
      </c>
      <c r="JX2" s="400" t="s">
        <v>378</v>
      </c>
      <c r="JY2" s="400" t="s">
        <v>379</v>
      </c>
      <c r="JZ2" s="400" t="s">
        <v>380</v>
      </c>
      <c r="KA2" s="400" t="s">
        <v>381</v>
      </c>
      <c r="KB2" s="400" t="s">
        <v>382</v>
      </c>
      <c r="KC2" s="401" t="s">
        <v>383</v>
      </c>
      <c r="KD2" s="398"/>
      <c r="KE2" s="399" t="s">
        <v>376</v>
      </c>
      <c r="KF2" s="400" t="s">
        <v>377</v>
      </c>
      <c r="KG2" s="400" t="s">
        <v>378</v>
      </c>
      <c r="KH2" s="400" t="s">
        <v>379</v>
      </c>
      <c r="KI2" s="400" t="s">
        <v>380</v>
      </c>
      <c r="KJ2" s="400" t="s">
        <v>381</v>
      </c>
      <c r="KK2" s="400" t="s">
        <v>382</v>
      </c>
      <c r="KL2" s="401" t="s">
        <v>383</v>
      </c>
      <c r="KM2" s="398"/>
      <c r="KN2" s="399" t="s">
        <v>376</v>
      </c>
      <c r="KO2" s="400" t="s">
        <v>377</v>
      </c>
      <c r="KP2" s="400" t="s">
        <v>378</v>
      </c>
      <c r="KQ2" s="400" t="s">
        <v>379</v>
      </c>
      <c r="KR2" s="400" t="s">
        <v>380</v>
      </c>
      <c r="KS2" s="400" t="s">
        <v>381</v>
      </c>
      <c r="KT2" s="400" t="s">
        <v>382</v>
      </c>
      <c r="KU2" s="401" t="s">
        <v>383</v>
      </c>
      <c r="KV2" s="398"/>
      <c r="KW2" s="399" t="s">
        <v>376</v>
      </c>
      <c r="KX2" s="400" t="s">
        <v>377</v>
      </c>
      <c r="KY2" s="400" t="s">
        <v>378</v>
      </c>
      <c r="KZ2" s="400" t="s">
        <v>379</v>
      </c>
      <c r="LA2" s="400" t="s">
        <v>380</v>
      </c>
      <c r="LB2" s="400" t="s">
        <v>381</v>
      </c>
      <c r="LC2" s="400" t="s">
        <v>382</v>
      </c>
      <c r="LD2" s="401" t="s">
        <v>383</v>
      </c>
      <c r="LE2" s="398"/>
      <c r="LF2" s="399" t="s">
        <v>376</v>
      </c>
      <c r="LG2" s="400" t="s">
        <v>377</v>
      </c>
      <c r="LH2" s="400" t="s">
        <v>378</v>
      </c>
      <c r="LI2" s="400" t="s">
        <v>379</v>
      </c>
      <c r="LJ2" s="400" t="s">
        <v>380</v>
      </c>
      <c r="LK2" s="400" t="s">
        <v>381</v>
      </c>
      <c r="LL2" s="400" t="s">
        <v>382</v>
      </c>
      <c r="LM2" s="401" t="s">
        <v>383</v>
      </c>
      <c r="LN2" s="398"/>
      <c r="LO2" s="399" t="s">
        <v>376</v>
      </c>
      <c r="LP2" s="400" t="s">
        <v>377</v>
      </c>
      <c r="LQ2" s="400" t="s">
        <v>378</v>
      </c>
      <c r="LR2" s="400" t="s">
        <v>379</v>
      </c>
      <c r="LS2" s="400" t="s">
        <v>380</v>
      </c>
      <c r="LT2" s="400" t="s">
        <v>381</v>
      </c>
      <c r="LU2" s="400" t="s">
        <v>382</v>
      </c>
      <c r="LV2" s="401" t="s">
        <v>383</v>
      </c>
      <c r="LW2" s="398"/>
      <c r="LX2" s="399" t="s">
        <v>376</v>
      </c>
      <c r="LY2" s="400" t="s">
        <v>377</v>
      </c>
      <c r="LZ2" s="400" t="s">
        <v>378</v>
      </c>
      <c r="MA2" s="400" t="s">
        <v>379</v>
      </c>
      <c r="MB2" s="400" t="s">
        <v>380</v>
      </c>
      <c r="MC2" s="400" t="s">
        <v>381</v>
      </c>
      <c r="MD2" s="400" t="s">
        <v>382</v>
      </c>
      <c r="ME2" s="401" t="s">
        <v>383</v>
      </c>
      <c r="MF2" s="398"/>
      <c r="MG2" s="399" t="s">
        <v>376</v>
      </c>
      <c r="MH2" s="400" t="s">
        <v>377</v>
      </c>
      <c r="MI2" s="400" t="s">
        <v>378</v>
      </c>
      <c r="MJ2" s="400" t="s">
        <v>379</v>
      </c>
      <c r="MK2" s="400" t="s">
        <v>380</v>
      </c>
      <c r="ML2" s="400" t="s">
        <v>381</v>
      </c>
      <c r="MM2" s="400" t="s">
        <v>382</v>
      </c>
      <c r="MN2" s="401" t="s">
        <v>383</v>
      </c>
      <c r="MO2" s="398"/>
      <c r="MP2" s="399" t="s">
        <v>376</v>
      </c>
      <c r="MQ2" s="400" t="s">
        <v>377</v>
      </c>
      <c r="MR2" s="400" t="s">
        <v>378</v>
      </c>
      <c r="MS2" s="400" t="s">
        <v>379</v>
      </c>
      <c r="MT2" s="400" t="s">
        <v>380</v>
      </c>
      <c r="MU2" s="400" t="s">
        <v>381</v>
      </c>
      <c r="MV2" s="400" t="s">
        <v>382</v>
      </c>
      <c r="MW2" s="401" t="s">
        <v>383</v>
      </c>
      <c r="MX2" s="398"/>
      <c r="MY2" s="399" t="s">
        <v>376</v>
      </c>
      <c r="MZ2" s="400" t="s">
        <v>377</v>
      </c>
      <c r="NA2" s="400" t="s">
        <v>378</v>
      </c>
      <c r="NB2" s="400" t="s">
        <v>379</v>
      </c>
      <c r="NC2" s="400" t="s">
        <v>380</v>
      </c>
      <c r="ND2" s="400" t="s">
        <v>381</v>
      </c>
      <c r="NE2" s="400" t="s">
        <v>382</v>
      </c>
      <c r="NF2" s="401" t="s">
        <v>383</v>
      </c>
      <c r="NG2" s="398"/>
      <c r="NH2" s="399" t="s">
        <v>376</v>
      </c>
      <c r="NI2" s="400" t="s">
        <v>377</v>
      </c>
      <c r="NJ2" s="400" t="s">
        <v>378</v>
      </c>
      <c r="NK2" s="400" t="s">
        <v>379</v>
      </c>
      <c r="NL2" s="400" t="s">
        <v>380</v>
      </c>
      <c r="NM2" s="400" t="s">
        <v>381</v>
      </c>
      <c r="NN2" s="400" t="s">
        <v>382</v>
      </c>
      <c r="NO2" s="401" t="s">
        <v>383</v>
      </c>
      <c r="NP2" s="398"/>
      <c r="NQ2" s="399" t="s">
        <v>376</v>
      </c>
      <c r="NR2" s="400" t="s">
        <v>377</v>
      </c>
      <c r="NS2" s="400" t="s">
        <v>378</v>
      </c>
      <c r="NT2" s="400" t="s">
        <v>379</v>
      </c>
      <c r="NU2" s="400" t="s">
        <v>380</v>
      </c>
      <c r="NV2" s="400" t="s">
        <v>381</v>
      </c>
      <c r="NW2" s="400" t="s">
        <v>382</v>
      </c>
      <c r="NX2" s="401" t="s">
        <v>383</v>
      </c>
      <c r="NY2" s="398"/>
      <c r="NZ2" s="399" t="s">
        <v>376</v>
      </c>
      <c r="OA2" s="400" t="s">
        <v>377</v>
      </c>
      <c r="OB2" s="400" t="s">
        <v>378</v>
      </c>
      <c r="OC2" s="400" t="s">
        <v>379</v>
      </c>
      <c r="OD2" s="400" t="s">
        <v>380</v>
      </c>
      <c r="OE2" s="400" t="s">
        <v>381</v>
      </c>
      <c r="OF2" s="400" t="s">
        <v>382</v>
      </c>
      <c r="OG2" s="401" t="s">
        <v>383</v>
      </c>
      <c r="OH2" s="398"/>
      <c r="OI2" s="399" t="s">
        <v>376</v>
      </c>
      <c r="OJ2" s="400" t="s">
        <v>377</v>
      </c>
      <c r="OK2" s="400" t="s">
        <v>378</v>
      </c>
      <c r="OL2" s="400" t="s">
        <v>379</v>
      </c>
      <c r="OM2" s="400" t="s">
        <v>380</v>
      </c>
      <c r="ON2" s="400" t="s">
        <v>381</v>
      </c>
      <c r="OO2" s="400" t="s">
        <v>382</v>
      </c>
      <c r="OP2" s="401" t="s">
        <v>383</v>
      </c>
      <c r="OQ2" s="398"/>
      <c r="OR2" s="399" t="s">
        <v>376</v>
      </c>
      <c r="OS2" s="400" t="s">
        <v>377</v>
      </c>
      <c r="OT2" s="400" t="s">
        <v>378</v>
      </c>
      <c r="OU2" s="400" t="s">
        <v>379</v>
      </c>
      <c r="OV2" s="400" t="s">
        <v>380</v>
      </c>
      <c r="OW2" s="400" t="s">
        <v>381</v>
      </c>
      <c r="OX2" s="400" t="s">
        <v>382</v>
      </c>
      <c r="OY2" s="401" t="s">
        <v>383</v>
      </c>
      <c r="OZ2" s="398"/>
      <c r="PA2" s="399" t="s">
        <v>376</v>
      </c>
      <c r="PB2" s="400" t="s">
        <v>377</v>
      </c>
      <c r="PC2" s="400" t="s">
        <v>378</v>
      </c>
      <c r="PD2" s="400" t="s">
        <v>379</v>
      </c>
      <c r="PE2" s="400" t="s">
        <v>380</v>
      </c>
      <c r="PF2" s="400" t="s">
        <v>381</v>
      </c>
      <c r="PG2" s="400" t="s">
        <v>382</v>
      </c>
      <c r="PH2" s="401" t="s">
        <v>383</v>
      </c>
      <c r="PI2" s="398"/>
      <c r="PJ2" s="399" t="s">
        <v>376</v>
      </c>
      <c r="PK2" s="400" t="s">
        <v>377</v>
      </c>
      <c r="PL2" s="400" t="s">
        <v>378</v>
      </c>
      <c r="PM2" s="400" t="s">
        <v>379</v>
      </c>
      <c r="PN2" s="400" t="s">
        <v>380</v>
      </c>
      <c r="PO2" s="400" t="s">
        <v>381</v>
      </c>
      <c r="PP2" s="400" t="s">
        <v>382</v>
      </c>
      <c r="PQ2" s="401" t="s">
        <v>383</v>
      </c>
      <c r="PR2" s="398"/>
      <c r="PS2" s="399" t="s">
        <v>376</v>
      </c>
      <c r="PT2" s="400" t="s">
        <v>377</v>
      </c>
      <c r="PU2" s="400" t="s">
        <v>378</v>
      </c>
      <c r="PV2" s="400" t="s">
        <v>379</v>
      </c>
      <c r="PW2" s="400" t="s">
        <v>380</v>
      </c>
      <c r="PX2" s="400" t="s">
        <v>381</v>
      </c>
      <c r="PY2" s="400" t="s">
        <v>382</v>
      </c>
      <c r="PZ2" s="401" t="s">
        <v>383</v>
      </c>
      <c r="QA2" s="398"/>
      <c r="QB2" s="399" t="s">
        <v>376</v>
      </c>
      <c r="QC2" s="400" t="s">
        <v>377</v>
      </c>
      <c r="QD2" s="400" t="s">
        <v>378</v>
      </c>
      <c r="QE2" s="400" t="s">
        <v>379</v>
      </c>
      <c r="QF2" s="400" t="s">
        <v>380</v>
      </c>
      <c r="QG2" s="400" t="s">
        <v>381</v>
      </c>
      <c r="QH2" s="400" t="s">
        <v>382</v>
      </c>
      <c r="QI2" s="401" t="s">
        <v>383</v>
      </c>
      <c r="QJ2" s="398"/>
      <c r="QK2" s="399" t="s">
        <v>376</v>
      </c>
      <c r="QL2" s="400" t="s">
        <v>377</v>
      </c>
      <c r="QM2" s="400" t="s">
        <v>378</v>
      </c>
      <c r="QN2" s="400" t="s">
        <v>379</v>
      </c>
      <c r="QO2" s="400" t="s">
        <v>380</v>
      </c>
      <c r="QP2" s="400" t="s">
        <v>381</v>
      </c>
      <c r="QQ2" s="400" t="s">
        <v>382</v>
      </c>
      <c r="QR2" s="401" t="s">
        <v>383</v>
      </c>
      <c r="QS2" s="398"/>
      <c r="QT2" s="399" t="s">
        <v>376</v>
      </c>
      <c r="QU2" s="400" t="s">
        <v>377</v>
      </c>
      <c r="QV2" s="400" t="s">
        <v>378</v>
      </c>
      <c r="QW2" s="400" t="s">
        <v>379</v>
      </c>
      <c r="QX2" s="400" t="s">
        <v>380</v>
      </c>
      <c r="QY2" s="400" t="s">
        <v>381</v>
      </c>
      <c r="QZ2" s="400" t="s">
        <v>382</v>
      </c>
      <c r="RA2" s="401" t="s">
        <v>383</v>
      </c>
      <c r="RB2" s="21"/>
      <c r="RC2" s="22"/>
    </row>
    <row r="3">
      <c r="A3" s="402" t="s">
        <v>384</v>
      </c>
      <c r="B3" s="403"/>
      <c r="C3" s="404"/>
      <c r="D3" s="404"/>
      <c r="E3" s="404"/>
      <c r="F3" s="404"/>
      <c r="G3" s="405"/>
      <c r="H3" s="405"/>
      <c r="I3" s="405"/>
      <c r="J3" s="405"/>
      <c r="K3" s="403"/>
      <c r="L3" s="404"/>
      <c r="M3" s="404"/>
      <c r="N3" s="404"/>
      <c r="O3" s="404"/>
      <c r="P3" s="405"/>
      <c r="Q3" s="405"/>
      <c r="R3" s="405"/>
      <c r="S3" s="405"/>
      <c r="T3" s="403"/>
      <c r="U3" s="404"/>
      <c r="V3" s="404"/>
      <c r="W3" s="404"/>
      <c r="X3" s="404"/>
      <c r="Y3" s="405"/>
      <c r="Z3" s="405"/>
      <c r="AA3" s="405"/>
      <c r="AB3" s="405"/>
      <c r="AC3" s="403"/>
      <c r="AD3" s="404"/>
      <c r="AE3" s="404"/>
      <c r="AF3" s="404"/>
      <c r="AG3" s="404"/>
      <c r="AH3" s="405"/>
      <c r="AI3" s="405"/>
      <c r="AJ3" s="405"/>
      <c r="AK3" s="405"/>
      <c r="AL3" s="403"/>
      <c r="AM3" s="404"/>
      <c r="AN3" s="404"/>
      <c r="AO3" s="404"/>
      <c r="AP3" s="404"/>
      <c r="AQ3" s="405"/>
      <c r="AR3" s="405"/>
      <c r="AS3" s="405"/>
      <c r="AT3" s="405"/>
      <c r="AU3" s="403"/>
      <c r="AV3" s="404"/>
      <c r="AW3" s="404"/>
      <c r="AX3" s="404"/>
      <c r="AY3" s="404"/>
      <c r="AZ3" s="405"/>
      <c r="BA3" s="405"/>
      <c r="BB3" s="405"/>
      <c r="BC3" s="405"/>
      <c r="BD3" s="403"/>
      <c r="BE3" s="404"/>
      <c r="BF3" s="404"/>
      <c r="BG3" s="404"/>
      <c r="BH3" s="404"/>
      <c r="BI3" s="405"/>
      <c r="BJ3" s="405"/>
      <c r="BK3" s="405"/>
      <c r="BL3" s="405"/>
      <c r="BM3" s="403"/>
      <c r="BN3" s="404"/>
      <c r="BO3" s="404"/>
      <c r="BP3" s="404"/>
      <c r="BQ3" s="404"/>
      <c r="BR3" s="405"/>
      <c r="BS3" s="405"/>
      <c r="BT3" s="405"/>
      <c r="BU3" s="405"/>
      <c r="BV3" s="403"/>
      <c r="BW3" s="404"/>
      <c r="BX3" s="404"/>
      <c r="BY3" s="404"/>
      <c r="BZ3" s="404"/>
      <c r="CA3" s="405"/>
      <c r="CB3" s="405"/>
      <c r="CC3" s="405"/>
      <c r="CD3" s="405"/>
      <c r="CE3" s="403"/>
      <c r="CF3" s="404"/>
      <c r="CG3" s="404"/>
      <c r="CH3" s="404"/>
      <c r="CI3" s="404"/>
      <c r="CJ3" s="405"/>
      <c r="CK3" s="405"/>
      <c r="CL3" s="405"/>
      <c r="CM3" s="405"/>
      <c r="CN3" s="403"/>
      <c r="CO3" s="404"/>
      <c r="CP3" s="404"/>
      <c r="CQ3" s="404"/>
      <c r="CR3" s="404"/>
      <c r="CS3" s="405"/>
      <c r="CT3" s="405"/>
      <c r="CU3" s="405"/>
      <c r="CV3" s="405"/>
      <c r="CW3" s="403"/>
      <c r="CX3" s="404"/>
      <c r="CY3" s="404"/>
      <c r="CZ3" s="404"/>
      <c r="DA3" s="404"/>
      <c r="DB3" s="405"/>
      <c r="DC3" s="405"/>
      <c r="DD3" s="405"/>
      <c r="DE3" s="405"/>
      <c r="DF3" s="403"/>
      <c r="DG3" s="404"/>
      <c r="DH3" s="404"/>
      <c r="DI3" s="404"/>
      <c r="DJ3" s="404"/>
      <c r="DK3" s="405"/>
      <c r="DL3" s="405"/>
      <c r="DM3" s="405"/>
      <c r="DN3" s="405"/>
      <c r="DO3" s="403"/>
      <c r="DP3" s="404"/>
      <c r="DQ3" s="404"/>
      <c r="DR3" s="404"/>
      <c r="DS3" s="404"/>
      <c r="DT3" s="405"/>
      <c r="DU3" s="405"/>
      <c r="DV3" s="405"/>
      <c r="DW3" s="405"/>
      <c r="DX3" s="403"/>
      <c r="DY3" s="404"/>
      <c r="DZ3" s="404"/>
      <c r="EA3" s="404"/>
      <c r="EB3" s="404"/>
      <c r="EC3" s="405"/>
      <c r="ED3" s="405"/>
      <c r="EE3" s="405"/>
      <c r="EF3" s="405"/>
      <c r="EG3" s="403"/>
      <c r="EH3" s="404"/>
      <c r="EI3" s="404"/>
      <c r="EJ3" s="404"/>
      <c r="EK3" s="404"/>
      <c r="EL3" s="405"/>
      <c r="EM3" s="405"/>
      <c r="EN3" s="405"/>
      <c r="EO3" s="405"/>
      <c r="EP3" s="403"/>
      <c r="EQ3" s="404"/>
      <c r="ER3" s="404"/>
      <c r="ES3" s="404"/>
      <c r="ET3" s="404"/>
      <c r="EU3" s="405"/>
      <c r="EV3" s="405"/>
      <c r="EW3" s="405"/>
      <c r="EX3" s="405"/>
      <c r="EY3" s="403"/>
      <c r="EZ3" s="404"/>
      <c r="FA3" s="404"/>
      <c r="FB3" s="404"/>
      <c r="FC3" s="404"/>
      <c r="FD3" s="405"/>
      <c r="FE3" s="405"/>
      <c r="FF3" s="405"/>
      <c r="FG3" s="405"/>
      <c r="FH3" s="403"/>
      <c r="FI3" s="404"/>
      <c r="FJ3" s="404"/>
      <c r="FK3" s="404"/>
      <c r="FL3" s="404"/>
      <c r="FM3" s="405"/>
      <c r="FN3" s="405"/>
      <c r="FO3" s="405"/>
      <c r="FP3" s="405"/>
      <c r="FQ3" s="403"/>
      <c r="FR3" s="404"/>
      <c r="FS3" s="404"/>
      <c r="FT3" s="404"/>
      <c r="FU3" s="404"/>
      <c r="FV3" s="405"/>
      <c r="FW3" s="405"/>
      <c r="FX3" s="405"/>
      <c r="FY3" s="405"/>
      <c r="FZ3" s="403"/>
      <c r="GA3" s="404"/>
      <c r="GB3" s="404"/>
      <c r="GC3" s="404"/>
      <c r="GD3" s="404"/>
      <c r="GE3" s="405"/>
      <c r="GF3" s="405"/>
      <c r="GG3" s="405"/>
      <c r="GH3" s="405"/>
      <c r="GI3" s="403"/>
      <c r="GJ3" s="404"/>
      <c r="GK3" s="404"/>
      <c r="GL3" s="404"/>
      <c r="GM3" s="404"/>
      <c r="GN3" s="405"/>
      <c r="GO3" s="405"/>
      <c r="GP3" s="405"/>
      <c r="GQ3" s="405"/>
      <c r="GR3" s="403"/>
      <c r="GS3" s="404"/>
      <c r="GT3" s="404"/>
      <c r="GU3" s="404"/>
      <c r="GV3" s="404"/>
      <c r="GW3" s="405"/>
      <c r="GX3" s="405"/>
      <c r="GY3" s="405"/>
      <c r="GZ3" s="405"/>
      <c r="HA3" s="403"/>
      <c r="HB3" s="404"/>
      <c r="HC3" s="404"/>
      <c r="HD3" s="404"/>
      <c r="HE3" s="404"/>
      <c r="HF3" s="405"/>
      <c r="HG3" s="405"/>
      <c r="HH3" s="405"/>
      <c r="HI3" s="405"/>
      <c r="HJ3" s="403"/>
      <c r="HK3" s="404"/>
      <c r="HL3" s="404"/>
      <c r="HM3" s="404"/>
      <c r="HN3" s="404"/>
      <c r="HO3" s="405"/>
      <c r="HP3" s="405"/>
      <c r="HQ3" s="405"/>
      <c r="HR3" s="405"/>
      <c r="HS3" s="403"/>
      <c r="HT3" s="404"/>
      <c r="HU3" s="404"/>
      <c r="HV3" s="404"/>
      <c r="HW3" s="404"/>
      <c r="HX3" s="405"/>
      <c r="HY3" s="405"/>
      <c r="HZ3" s="405"/>
      <c r="IA3" s="405"/>
      <c r="IB3" s="403"/>
      <c r="IC3" s="404"/>
      <c r="ID3" s="404"/>
      <c r="IE3" s="404"/>
      <c r="IF3" s="404"/>
      <c r="IG3" s="405"/>
      <c r="IH3" s="405"/>
      <c r="II3" s="405"/>
      <c r="IJ3" s="405"/>
      <c r="IK3" s="403"/>
      <c r="IL3" s="404"/>
      <c r="IM3" s="404"/>
      <c r="IN3" s="404"/>
      <c r="IO3" s="404"/>
      <c r="IP3" s="405"/>
      <c r="IQ3" s="405"/>
      <c r="IR3" s="405"/>
      <c r="IS3" s="405"/>
      <c r="IT3" s="403"/>
      <c r="IU3" s="404"/>
      <c r="IV3" s="404"/>
      <c r="IW3" s="404"/>
      <c r="IX3" s="404"/>
      <c r="IY3" s="405"/>
      <c r="IZ3" s="405"/>
      <c r="JA3" s="405"/>
      <c r="JB3" s="405"/>
      <c r="JC3" s="403"/>
      <c r="JD3" s="404"/>
      <c r="JE3" s="404"/>
      <c r="JF3" s="404"/>
      <c r="JG3" s="404"/>
      <c r="JH3" s="405"/>
      <c r="JI3" s="405"/>
      <c r="JJ3" s="405"/>
      <c r="JK3" s="405"/>
      <c r="JL3" s="403"/>
      <c r="JM3" s="404"/>
      <c r="JN3" s="404"/>
      <c r="JO3" s="404"/>
      <c r="JP3" s="404"/>
      <c r="JQ3" s="405"/>
      <c r="JR3" s="405"/>
      <c r="JS3" s="405"/>
      <c r="JT3" s="405"/>
      <c r="JU3" s="403"/>
      <c r="JV3" s="404"/>
      <c r="JW3" s="404"/>
      <c r="JX3" s="404"/>
      <c r="JY3" s="404"/>
      <c r="JZ3" s="405"/>
      <c r="KA3" s="405"/>
      <c r="KB3" s="405"/>
      <c r="KC3" s="405"/>
      <c r="KD3" s="403"/>
      <c r="KE3" s="404"/>
      <c r="KF3" s="404"/>
      <c r="KG3" s="404"/>
      <c r="KH3" s="404"/>
      <c r="KI3" s="405"/>
      <c r="KJ3" s="405"/>
      <c r="KK3" s="405"/>
      <c r="KL3" s="405"/>
      <c r="KM3" s="403"/>
      <c r="KN3" s="404"/>
      <c r="KO3" s="404"/>
      <c r="KP3" s="404"/>
      <c r="KQ3" s="404"/>
      <c r="KR3" s="405"/>
      <c r="KS3" s="405"/>
      <c r="KT3" s="405"/>
      <c r="KU3" s="405"/>
      <c r="KV3" s="403"/>
      <c r="KW3" s="404"/>
      <c r="KX3" s="404"/>
      <c r="KY3" s="404"/>
      <c r="KZ3" s="404"/>
      <c r="LA3" s="405"/>
      <c r="LB3" s="405"/>
      <c r="LC3" s="405"/>
      <c r="LD3" s="405"/>
      <c r="LE3" s="403"/>
      <c r="LF3" s="404"/>
      <c r="LG3" s="404"/>
      <c r="LH3" s="404"/>
      <c r="LI3" s="404"/>
      <c r="LJ3" s="405"/>
      <c r="LK3" s="405"/>
      <c r="LL3" s="405"/>
      <c r="LM3" s="405"/>
      <c r="LN3" s="403"/>
      <c r="LO3" s="404"/>
      <c r="LP3" s="404"/>
      <c r="LQ3" s="404"/>
      <c r="LR3" s="404"/>
      <c r="LS3" s="405"/>
      <c r="LT3" s="405"/>
      <c r="LU3" s="405"/>
      <c r="LV3" s="405"/>
      <c r="LW3" s="403"/>
      <c r="LX3" s="404"/>
      <c r="LY3" s="404"/>
      <c r="LZ3" s="404"/>
      <c r="MA3" s="404"/>
      <c r="MB3" s="405"/>
      <c r="MC3" s="405"/>
      <c r="MD3" s="405"/>
      <c r="ME3" s="405"/>
      <c r="MF3" s="403"/>
      <c r="MG3" s="404"/>
      <c r="MH3" s="404"/>
      <c r="MI3" s="404"/>
      <c r="MJ3" s="404"/>
      <c r="MK3" s="405"/>
      <c r="ML3" s="405"/>
      <c r="MM3" s="405"/>
      <c r="MN3" s="405"/>
      <c r="MO3" s="403"/>
      <c r="MP3" s="404"/>
      <c r="MQ3" s="404"/>
      <c r="MR3" s="404"/>
      <c r="MS3" s="404"/>
      <c r="MT3" s="405"/>
      <c r="MU3" s="405"/>
      <c r="MV3" s="405"/>
      <c r="MW3" s="405"/>
      <c r="MX3" s="403"/>
      <c r="MY3" s="404"/>
      <c r="MZ3" s="404"/>
      <c r="NA3" s="404"/>
      <c r="NB3" s="404"/>
      <c r="NC3" s="405"/>
      <c r="ND3" s="405"/>
      <c r="NE3" s="405"/>
      <c r="NF3" s="405"/>
      <c r="NG3" s="403"/>
      <c r="NH3" s="404"/>
      <c r="NI3" s="404"/>
      <c r="NJ3" s="404"/>
      <c r="NK3" s="404"/>
      <c r="NL3" s="405"/>
      <c r="NM3" s="405"/>
      <c r="NN3" s="405"/>
      <c r="NO3" s="405"/>
      <c r="NP3" s="403"/>
      <c r="NQ3" s="404"/>
      <c r="NR3" s="404"/>
      <c r="NS3" s="404"/>
      <c r="NT3" s="404"/>
      <c r="NU3" s="405"/>
      <c r="NV3" s="405"/>
      <c r="NW3" s="405"/>
      <c r="NX3" s="405"/>
      <c r="NY3" s="403"/>
      <c r="NZ3" s="404"/>
      <c r="OA3" s="404"/>
      <c r="OB3" s="404"/>
      <c r="OC3" s="404"/>
      <c r="OD3" s="405"/>
      <c r="OE3" s="405"/>
      <c r="OF3" s="405"/>
      <c r="OG3" s="405"/>
      <c r="OH3" s="403"/>
      <c r="OI3" s="404"/>
      <c r="OJ3" s="404"/>
      <c r="OK3" s="404"/>
      <c r="OL3" s="404"/>
      <c r="OM3" s="405"/>
      <c r="ON3" s="405"/>
      <c r="OO3" s="405"/>
      <c r="OP3" s="405"/>
      <c r="OQ3" s="403"/>
      <c r="OR3" s="404"/>
      <c r="OS3" s="404"/>
      <c r="OT3" s="404"/>
      <c r="OU3" s="404"/>
      <c r="OV3" s="405"/>
      <c r="OW3" s="405"/>
      <c r="OX3" s="405"/>
      <c r="OY3" s="405"/>
      <c r="OZ3" s="403"/>
      <c r="PA3" s="404"/>
      <c r="PB3" s="404"/>
      <c r="PC3" s="404"/>
      <c r="PD3" s="404"/>
      <c r="PE3" s="405"/>
      <c r="PF3" s="405"/>
      <c r="PG3" s="405"/>
      <c r="PH3" s="405"/>
      <c r="PI3" s="403"/>
      <c r="PJ3" s="404"/>
      <c r="PK3" s="404"/>
      <c r="PL3" s="404"/>
      <c r="PM3" s="404"/>
      <c r="PN3" s="405"/>
      <c r="PO3" s="405"/>
      <c r="PP3" s="405"/>
      <c r="PQ3" s="405"/>
      <c r="PR3" s="403"/>
      <c r="PS3" s="404"/>
      <c r="PT3" s="404"/>
      <c r="PU3" s="404"/>
      <c r="PV3" s="404"/>
      <c r="PW3" s="405"/>
      <c r="PX3" s="405"/>
      <c r="PY3" s="405"/>
      <c r="PZ3" s="405"/>
      <c r="QA3" s="403"/>
      <c r="QB3" s="404"/>
      <c r="QC3" s="404"/>
      <c r="QD3" s="404"/>
      <c r="QE3" s="404"/>
      <c r="QF3" s="405"/>
      <c r="QG3" s="405"/>
      <c r="QH3" s="405"/>
      <c r="QI3" s="405"/>
      <c r="QJ3" s="403"/>
      <c r="QK3" s="404"/>
      <c r="QL3" s="404"/>
      <c r="QM3" s="404"/>
      <c r="QN3" s="404"/>
      <c r="QO3" s="405"/>
      <c r="QP3" s="405"/>
      <c r="QQ3" s="405"/>
      <c r="QR3" s="405"/>
      <c r="QS3" s="403"/>
      <c r="QT3" s="404"/>
      <c r="QU3" s="404"/>
      <c r="QV3" s="404"/>
      <c r="QW3" s="404"/>
      <c r="QX3" s="405"/>
      <c r="QY3" s="405"/>
      <c r="QZ3" s="405"/>
      <c r="RA3" s="405"/>
      <c r="RB3" s="12"/>
      <c r="RC3" s="406"/>
    </row>
    <row r="4">
      <c r="A4" s="32" t="s">
        <v>385</v>
      </c>
      <c r="B4" s="407" t="s">
        <v>2</v>
      </c>
      <c r="C4" s="408" t="s">
        <v>386</v>
      </c>
      <c r="D4" s="409" t="s">
        <v>386</v>
      </c>
      <c r="E4" s="409" t="s">
        <v>386</v>
      </c>
      <c r="F4" s="409" t="s">
        <v>387</v>
      </c>
      <c r="G4" s="409" t="s">
        <v>386</v>
      </c>
      <c r="H4" s="409" t="s">
        <v>386</v>
      </c>
      <c r="I4" s="409" t="s">
        <v>388</v>
      </c>
      <c r="J4" s="410">
        <f t="shared" ref="J4:J15" si="1">(COUNTIF(C4:I4,"★☆☆")*1)+(COUNTIF(C4:I4,"★★☆")*2)+(COUNTIF(C4:I4,"★★★")*3)</f>
        <v>18</v>
      </c>
      <c r="K4" s="407" t="s">
        <v>3</v>
      </c>
      <c r="L4" s="408" t="s">
        <v>389</v>
      </c>
      <c r="M4" s="409" t="s">
        <v>389</v>
      </c>
      <c r="N4" s="409" t="s">
        <v>389</v>
      </c>
      <c r="O4" s="409" t="s">
        <v>389</v>
      </c>
      <c r="P4" s="409" t="s">
        <v>389</v>
      </c>
      <c r="Q4" s="409" t="s">
        <v>389</v>
      </c>
      <c r="R4" s="409" t="s">
        <v>389</v>
      </c>
      <c r="S4" s="410">
        <f t="shared" ref="S4:S15" si="2">(COUNTIF(L4:R4,"★☆☆")*1)+(COUNTIF(L4:R4,"★★☆")*2)+(COUNTIF(L4:R4,"★★★")*3)</f>
        <v>0</v>
      </c>
      <c r="T4" s="407" t="s">
        <v>4</v>
      </c>
      <c r="U4" s="408" t="s">
        <v>389</v>
      </c>
      <c r="V4" s="409" t="s">
        <v>389</v>
      </c>
      <c r="W4" s="409" t="s">
        <v>389</v>
      </c>
      <c r="X4" s="409" t="s">
        <v>389</v>
      </c>
      <c r="Y4" s="409" t="s">
        <v>389</v>
      </c>
      <c r="Z4" s="409" t="s">
        <v>389</v>
      </c>
      <c r="AA4" s="409" t="s">
        <v>389</v>
      </c>
      <c r="AB4" s="410">
        <f t="shared" ref="AB4:AB15" si="3">(COUNTIF(U4:AA4,"★☆☆")*1)+(COUNTIF(U4:AA4,"★★☆")*2)+(COUNTIF(U4:AA4,"★★★")*3)</f>
        <v>0</v>
      </c>
      <c r="AC4" s="407" t="s">
        <v>5</v>
      </c>
      <c r="AD4" s="408" t="s">
        <v>389</v>
      </c>
      <c r="AE4" s="409" t="s">
        <v>389</v>
      </c>
      <c r="AF4" s="409" t="s">
        <v>389</v>
      </c>
      <c r="AG4" s="409" t="s">
        <v>389</v>
      </c>
      <c r="AH4" s="409" t="s">
        <v>389</v>
      </c>
      <c r="AI4" s="409" t="s">
        <v>389</v>
      </c>
      <c r="AJ4" s="409" t="s">
        <v>389</v>
      </c>
      <c r="AK4" s="410">
        <f t="shared" ref="AK4:AK15" si="4">(COUNTIF(AD4:AJ4,"★☆☆")*1)+(COUNTIF(AD4:AJ4,"★★☆")*2)+(COUNTIF(AD4:AJ4,"★★★")*3)</f>
        <v>0</v>
      </c>
      <c r="AL4" s="407" t="s">
        <v>7</v>
      </c>
      <c r="AM4" s="408" t="s">
        <v>389</v>
      </c>
      <c r="AN4" s="409" t="s">
        <v>389</v>
      </c>
      <c r="AO4" s="409" t="s">
        <v>389</v>
      </c>
      <c r="AP4" s="409" t="s">
        <v>389</v>
      </c>
      <c r="AQ4" s="409" t="s">
        <v>389</v>
      </c>
      <c r="AR4" s="409" t="s">
        <v>389</v>
      </c>
      <c r="AS4" s="409" t="s">
        <v>389</v>
      </c>
      <c r="AT4" s="410">
        <f t="shared" ref="AT4:AT15" si="5">(COUNTIF(AM4:AS4,"★☆☆")*1)+(COUNTIF(AM4:AS4,"★★☆")*2)+(COUNTIF(AM4:AS4,"★★★")*3)</f>
        <v>0</v>
      </c>
      <c r="AU4" s="407" t="s">
        <v>8</v>
      </c>
      <c r="AV4" s="408" t="s">
        <v>389</v>
      </c>
      <c r="AW4" s="409" t="s">
        <v>389</v>
      </c>
      <c r="AX4" s="409" t="s">
        <v>389</v>
      </c>
      <c r="AY4" s="409" t="s">
        <v>389</v>
      </c>
      <c r="AZ4" s="409" t="s">
        <v>389</v>
      </c>
      <c r="BA4" s="409" t="s">
        <v>389</v>
      </c>
      <c r="BB4" s="409" t="s">
        <v>389</v>
      </c>
      <c r="BC4" s="410">
        <f t="shared" ref="BC4:BC15" si="6">(COUNTIF(AV4:BB4,"★☆☆")*1)+(COUNTIF(AV4:BB4,"★★☆")*2)+(COUNTIF(AV4:BB4,"★★★")*3)</f>
        <v>0</v>
      </c>
      <c r="BD4" s="407" t="s">
        <v>9</v>
      </c>
      <c r="BE4" s="408" t="s">
        <v>389</v>
      </c>
      <c r="BF4" s="409" t="s">
        <v>389</v>
      </c>
      <c r="BG4" s="409" t="s">
        <v>389</v>
      </c>
      <c r="BH4" s="409" t="s">
        <v>389</v>
      </c>
      <c r="BI4" s="409" t="s">
        <v>389</v>
      </c>
      <c r="BJ4" s="409" t="s">
        <v>389</v>
      </c>
      <c r="BK4" s="409" t="s">
        <v>389</v>
      </c>
      <c r="BL4" s="410">
        <f t="shared" ref="BL4:BL15" si="7">(COUNTIF(BE4:BK4,"★☆☆")*1)+(COUNTIF(BE4:BK4,"★★☆")*2)+(COUNTIF(BE4:BK4,"★★★")*3)</f>
        <v>0</v>
      </c>
      <c r="BM4" s="407" t="s">
        <v>10</v>
      </c>
      <c r="BN4" s="408" t="s">
        <v>389</v>
      </c>
      <c r="BO4" s="409" t="s">
        <v>389</v>
      </c>
      <c r="BP4" s="409" t="s">
        <v>389</v>
      </c>
      <c r="BQ4" s="409" t="s">
        <v>389</v>
      </c>
      <c r="BR4" s="409" t="s">
        <v>389</v>
      </c>
      <c r="BS4" s="409" t="s">
        <v>389</v>
      </c>
      <c r="BT4" s="409" t="s">
        <v>389</v>
      </c>
      <c r="BU4" s="410">
        <f t="shared" ref="BU4:BU15" si="8">(COUNTIF(BN4:BT4,"★☆☆")*1)+(COUNTIF(BN4:BT4,"★★☆")*2)+(COUNTIF(BN4:BT4,"★★★")*3)</f>
        <v>0</v>
      </c>
      <c r="BV4" s="407" t="s">
        <v>11</v>
      </c>
      <c r="BW4" s="408" t="s">
        <v>389</v>
      </c>
      <c r="BX4" s="409" t="s">
        <v>389</v>
      </c>
      <c r="BY4" s="409" t="s">
        <v>389</v>
      </c>
      <c r="BZ4" s="409" t="s">
        <v>389</v>
      </c>
      <c r="CA4" s="409" t="s">
        <v>389</v>
      </c>
      <c r="CB4" s="409" t="s">
        <v>389</v>
      </c>
      <c r="CC4" s="409" t="s">
        <v>389</v>
      </c>
      <c r="CD4" s="410">
        <f t="shared" ref="CD4:CD15" si="9">(COUNTIF(BW4:CC4,"★☆☆")*1)+(COUNTIF(BW4:CC4,"★★☆")*2)+(COUNTIF(BW4:CC4,"★★★")*3)</f>
        <v>0</v>
      </c>
      <c r="CE4" s="407" t="s">
        <v>12</v>
      </c>
      <c r="CF4" s="408" t="s">
        <v>389</v>
      </c>
      <c r="CG4" s="409" t="s">
        <v>389</v>
      </c>
      <c r="CH4" s="409" t="s">
        <v>389</v>
      </c>
      <c r="CI4" s="409" t="s">
        <v>389</v>
      </c>
      <c r="CJ4" s="409" t="s">
        <v>389</v>
      </c>
      <c r="CK4" s="409" t="s">
        <v>389</v>
      </c>
      <c r="CL4" s="409" t="s">
        <v>389</v>
      </c>
      <c r="CM4" s="410">
        <f t="shared" ref="CM4:CM15" si="10">(COUNTIF(CF4:CL4,"★☆☆")*1)+(COUNTIF(CF4:CL4,"★★☆")*2)+(COUNTIF(CF4:CL4,"★★★")*3)</f>
        <v>0</v>
      </c>
      <c r="CN4" s="407" t="s">
        <v>13</v>
      </c>
      <c r="CO4" s="408" t="s">
        <v>389</v>
      </c>
      <c r="CP4" s="409" t="s">
        <v>389</v>
      </c>
      <c r="CQ4" s="409" t="s">
        <v>389</v>
      </c>
      <c r="CR4" s="409" t="s">
        <v>389</v>
      </c>
      <c r="CS4" s="409" t="s">
        <v>389</v>
      </c>
      <c r="CT4" s="409" t="s">
        <v>389</v>
      </c>
      <c r="CU4" s="409" t="s">
        <v>389</v>
      </c>
      <c r="CV4" s="410">
        <f t="shared" ref="CV4:CV15" si="11">(COUNTIF(CO4:CU4,"★☆☆")*1)+(COUNTIF(CO4:CU4,"★★☆")*2)+(COUNTIF(CO4:CU4,"★★★")*3)</f>
        <v>0</v>
      </c>
      <c r="CW4" s="407" t="s">
        <v>14</v>
      </c>
      <c r="CX4" s="408" t="s">
        <v>389</v>
      </c>
      <c r="CY4" s="409" t="s">
        <v>389</v>
      </c>
      <c r="CZ4" s="409" t="s">
        <v>389</v>
      </c>
      <c r="DA4" s="409" t="s">
        <v>389</v>
      </c>
      <c r="DB4" s="409" t="s">
        <v>389</v>
      </c>
      <c r="DC4" s="409" t="s">
        <v>389</v>
      </c>
      <c r="DD4" s="409" t="s">
        <v>389</v>
      </c>
      <c r="DE4" s="410">
        <f t="shared" ref="DE4:DE15" si="12">(COUNTIF(CX4:DD4,"★☆☆")*1)+(COUNTIF(CX4:DD4,"★★☆")*2)+(COUNTIF(CX4:DD4,"★★★")*3)</f>
        <v>0</v>
      </c>
      <c r="DF4" s="407" t="s">
        <v>15</v>
      </c>
      <c r="DG4" s="408" t="s">
        <v>389</v>
      </c>
      <c r="DH4" s="409" t="s">
        <v>389</v>
      </c>
      <c r="DI4" s="409" t="s">
        <v>389</v>
      </c>
      <c r="DJ4" s="409" t="s">
        <v>389</v>
      </c>
      <c r="DK4" s="409" t="s">
        <v>389</v>
      </c>
      <c r="DL4" s="409" t="s">
        <v>389</v>
      </c>
      <c r="DM4" s="409" t="s">
        <v>389</v>
      </c>
      <c r="DN4" s="410">
        <f t="shared" ref="DN4:DN15" si="13">(COUNTIF(DG4:DM4,"★☆☆")*1)+(COUNTIF(DG4:DM4,"★★☆")*2)+(COUNTIF(DG4:DM4,"★★★")*3)</f>
        <v>0</v>
      </c>
      <c r="DO4" s="407" t="s">
        <v>16</v>
      </c>
      <c r="DP4" s="408" t="s">
        <v>389</v>
      </c>
      <c r="DQ4" s="409" t="s">
        <v>389</v>
      </c>
      <c r="DR4" s="409" t="s">
        <v>389</v>
      </c>
      <c r="DS4" s="409" t="s">
        <v>389</v>
      </c>
      <c r="DT4" s="409" t="s">
        <v>389</v>
      </c>
      <c r="DU4" s="409" t="s">
        <v>389</v>
      </c>
      <c r="DV4" s="409" t="s">
        <v>389</v>
      </c>
      <c r="DW4" s="410">
        <f t="shared" ref="DW4:DW15" si="14">(COUNTIF(DP4:DV4,"★☆☆")*1)+(COUNTIF(DP4:DV4,"★★☆")*2)+(COUNTIF(DP4:DV4,"★★★")*3)</f>
        <v>0</v>
      </c>
      <c r="DX4" s="407" t="s">
        <v>17</v>
      </c>
      <c r="DY4" s="408" t="s">
        <v>389</v>
      </c>
      <c r="DZ4" s="409" t="s">
        <v>389</v>
      </c>
      <c r="EA4" s="409" t="s">
        <v>389</v>
      </c>
      <c r="EB4" s="409" t="s">
        <v>389</v>
      </c>
      <c r="EC4" s="409" t="s">
        <v>389</v>
      </c>
      <c r="ED4" s="409" t="s">
        <v>389</v>
      </c>
      <c r="EE4" s="409" t="s">
        <v>389</v>
      </c>
      <c r="EF4" s="410">
        <f t="shared" ref="EF4:EF15" si="15">(COUNTIF(DY4:EE4,"★☆☆")*1)+(COUNTIF(DY4:EE4,"★★☆")*2)+(COUNTIF(DY4:EE4,"★★★")*3)</f>
        <v>0</v>
      </c>
      <c r="EG4" s="407" t="s">
        <v>18</v>
      </c>
      <c r="EH4" s="408" t="s">
        <v>389</v>
      </c>
      <c r="EI4" s="409" t="s">
        <v>389</v>
      </c>
      <c r="EJ4" s="409" t="s">
        <v>389</v>
      </c>
      <c r="EK4" s="409" t="s">
        <v>389</v>
      </c>
      <c r="EL4" s="409" t="s">
        <v>389</v>
      </c>
      <c r="EM4" s="409" t="s">
        <v>389</v>
      </c>
      <c r="EN4" s="409" t="s">
        <v>389</v>
      </c>
      <c r="EO4" s="410">
        <f t="shared" ref="EO4:EO15" si="16">(COUNTIF(EH4:EN4,"★☆☆")*1)+(COUNTIF(EH4:EN4,"★★☆")*2)+(COUNTIF(EH4:EN4,"★★★")*3)</f>
        <v>0</v>
      </c>
      <c r="EP4" s="407" t="s">
        <v>340</v>
      </c>
      <c r="EQ4" s="408" t="s">
        <v>389</v>
      </c>
      <c r="ER4" s="409" t="s">
        <v>389</v>
      </c>
      <c r="ES4" s="409" t="s">
        <v>389</v>
      </c>
      <c r="ET4" s="409" t="s">
        <v>389</v>
      </c>
      <c r="EU4" s="409" t="s">
        <v>389</v>
      </c>
      <c r="EV4" s="409" t="s">
        <v>389</v>
      </c>
      <c r="EW4" s="409" t="s">
        <v>389</v>
      </c>
      <c r="EX4" s="410">
        <f t="shared" ref="EX4:EX15" si="17">(COUNTIF(EQ4:EW4,"★☆☆")*1)+(COUNTIF(EQ4:EW4,"★★☆")*2)+(COUNTIF(EQ4:EW4,"★★★")*3)</f>
        <v>0</v>
      </c>
      <c r="EY4" s="407" t="s">
        <v>341</v>
      </c>
      <c r="EZ4" s="408" t="s">
        <v>389</v>
      </c>
      <c r="FA4" s="409" t="s">
        <v>389</v>
      </c>
      <c r="FB4" s="409" t="s">
        <v>389</v>
      </c>
      <c r="FC4" s="409" t="s">
        <v>389</v>
      </c>
      <c r="FD4" s="409" t="s">
        <v>389</v>
      </c>
      <c r="FE4" s="409" t="s">
        <v>389</v>
      </c>
      <c r="FF4" s="409" t="s">
        <v>389</v>
      </c>
      <c r="FG4" s="410">
        <f t="shared" ref="FG4:FG15" si="18">(COUNTIF(EZ4:FF4,"★☆☆")*1)+(COUNTIF(EZ4:FF4,"★★☆")*2)+(COUNTIF(EZ4:FF4,"★★★")*3)</f>
        <v>0</v>
      </c>
      <c r="FH4" s="407" t="s">
        <v>342</v>
      </c>
      <c r="FI4" s="408" t="s">
        <v>389</v>
      </c>
      <c r="FJ4" s="409" t="s">
        <v>389</v>
      </c>
      <c r="FK4" s="409" t="s">
        <v>389</v>
      </c>
      <c r="FL4" s="409" t="s">
        <v>389</v>
      </c>
      <c r="FM4" s="409" t="s">
        <v>389</v>
      </c>
      <c r="FN4" s="409" t="s">
        <v>389</v>
      </c>
      <c r="FO4" s="409" t="s">
        <v>389</v>
      </c>
      <c r="FP4" s="410">
        <f t="shared" ref="FP4:FP15" si="19">(COUNTIF(FI4:FO4,"★☆☆")*1)+(COUNTIF(FI4:FO4,"★★☆")*2)+(COUNTIF(FI4:FO4,"★★★")*3)</f>
        <v>0</v>
      </c>
      <c r="FQ4" s="407" t="s">
        <v>343</v>
      </c>
      <c r="FR4" s="408" t="s">
        <v>389</v>
      </c>
      <c r="FS4" s="409" t="s">
        <v>389</v>
      </c>
      <c r="FT4" s="409" t="s">
        <v>389</v>
      </c>
      <c r="FU4" s="409" t="s">
        <v>389</v>
      </c>
      <c r="FV4" s="409" t="s">
        <v>389</v>
      </c>
      <c r="FW4" s="409" t="s">
        <v>389</v>
      </c>
      <c r="FX4" s="409" t="s">
        <v>389</v>
      </c>
      <c r="FY4" s="410">
        <f t="shared" ref="FY4:FY15" si="20">(COUNTIF(FR4:FX4,"★☆☆")*1)+(COUNTIF(FR4:FX4,"★★☆")*2)+(COUNTIF(FR4:FX4,"★★★")*3)</f>
        <v>0</v>
      </c>
      <c r="FZ4" s="407" t="s">
        <v>344</v>
      </c>
      <c r="GA4" s="408" t="s">
        <v>389</v>
      </c>
      <c r="GB4" s="409" t="s">
        <v>389</v>
      </c>
      <c r="GC4" s="409" t="s">
        <v>389</v>
      </c>
      <c r="GD4" s="409" t="s">
        <v>389</v>
      </c>
      <c r="GE4" s="409" t="s">
        <v>389</v>
      </c>
      <c r="GF4" s="409" t="s">
        <v>389</v>
      </c>
      <c r="GG4" s="409" t="s">
        <v>389</v>
      </c>
      <c r="GH4" s="410">
        <f t="shared" ref="GH4:GH15" si="21">(COUNTIF(GA4:GG4,"★☆☆")*1)+(COUNTIF(GA4:GG4,"★★☆")*2)+(COUNTIF(GA4:GG4,"★★★")*3)</f>
        <v>0</v>
      </c>
      <c r="GI4" s="407" t="s">
        <v>345</v>
      </c>
      <c r="GJ4" s="408" t="s">
        <v>389</v>
      </c>
      <c r="GK4" s="409" t="s">
        <v>389</v>
      </c>
      <c r="GL4" s="409" t="s">
        <v>389</v>
      </c>
      <c r="GM4" s="409" t="s">
        <v>389</v>
      </c>
      <c r="GN4" s="409" t="s">
        <v>389</v>
      </c>
      <c r="GO4" s="409" t="s">
        <v>389</v>
      </c>
      <c r="GP4" s="409" t="s">
        <v>389</v>
      </c>
      <c r="GQ4" s="410">
        <f t="shared" ref="GQ4:GQ15" si="22">(COUNTIF(GJ4:GP4,"★☆☆")*1)+(COUNTIF(GJ4:GP4,"★★☆")*2)+(COUNTIF(GJ4:GP4,"★★★")*3)</f>
        <v>0</v>
      </c>
      <c r="GR4" s="407" t="s">
        <v>346</v>
      </c>
      <c r="GS4" s="408" t="s">
        <v>389</v>
      </c>
      <c r="GT4" s="409" t="s">
        <v>389</v>
      </c>
      <c r="GU4" s="409" t="s">
        <v>389</v>
      </c>
      <c r="GV4" s="409" t="s">
        <v>389</v>
      </c>
      <c r="GW4" s="409" t="s">
        <v>389</v>
      </c>
      <c r="GX4" s="409" t="s">
        <v>389</v>
      </c>
      <c r="GY4" s="409" t="s">
        <v>389</v>
      </c>
      <c r="GZ4" s="410">
        <f t="shared" ref="GZ4:GZ15" si="23">(COUNTIF(GS4:GY4,"★☆☆")*1)+(COUNTIF(GS4:GY4,"★★☆")*2)+(COUNTIF(GS4:GY4,"★★★")*3)</f>
        <v>0</v>
      </c>
      <c r="HA4" s="407" t="s">
        <v>347</v>
      </c>
      <c r="HB4" s="408" t="s">
        <v>389</v>
      </c>
      <c r="HC4" s="409" t="s">
        <v>389</v>
      </c>
      <c r="HD4" s="409" t="s">
        <v>389</v>
      </c>
      <c r="HE4" s="409" t="s">
        <v>389</v>
      </c>
      <c r="HF4" s="409" t="s">
        <v>389</v>
      </c>
      <c r="HG4" s="409" t="s">
        <v>389</v>
      </c>
      <c r="HH4" s="409" t="s">
        <v>389</v>
      </c>
      <c r="HI4" s="410">
        <f t="shared" ref="HI4:HI15" si="24">(COUNTIF(HB4:HH4,"★☆☆")*1)+(COUNTIF(HB4:HH4,"★★☆")*2)+(COUNTIF(HB4:HH4,"★★★")*3)</f>
        <v>0</v>
      </c>
      <c r="HJ4" s="407" t="s">
        <v>348</v>
      </c>
      <c r="HK4" s="408" t="s">
        <v>389</v>
      </c>
      <c r="HL4" s="409" t="s">
        <v>389</v>
      </c>
      <c r="HM4" s="409" t="s">
        <v>389</v>
      </c>
      <c r="HN4" s="409" t="s">
        <v>389</v>
      </c>
      <c r="HO4" s="409" t="s">
        <v>389</v>
      </c>
      <c r="HP4" s="409" t="s">
        <v>389</v>
      </c>
      <c r="HQ4" s="409" t="s">
        <v>389</v>
      </c>
      <c r="HR4" s="410">
        <f t="shared" ref="HR4:HR15" si="25">(COUNTIF(HK4:HQ4,"★☆☆")*1)+(COUNTIF(HK4:HQ4,"★★☆")*2)+(COUNTIF(HK4:HQ4,"★★★")*3)</f>
        <v>0</v>
      </c>
      <c r="HS4" s="407" t="s">
        <v>349</v>
      </c>
      <c r="HT4" s="408" t="s">
        <v>389</v>
      </c>
      <c r="HU4" s="409" t="s">
        <v>389</v>
      </c>
      <c r="HV4" s="409" t="s">
        <v>389</v>
      </c>
      <c r="HW4" s="409" t="s">
        <v>389</v>
      </c>
      <c r="HX4" s="409" t="s">
        <v>389</v>
      </c>
      <c r="HY4" s="409" t="s">
        <v>389</v>
      </c>
      <c r="HZ4" s="409" t="s">
        <v>389</v>
      </c>
      <c r="IA4" s="410">
        <f t="shared" ref="IA4:IA15" si="26">(COUNTIF(HT4:HZ4,"★☆☆")*1)+(COUNTIF(HT4:HZ4,"★★☆")*2)+(COUNTIF(HT4:HZ4,"★★★")*3)</f>
        <v>0</v>
      </c>
      <c r="IB4" s="407" t="s">
        <v>350</v>
      </c>
      <c r="IC4" s="408" t="s">
        <v>389</v>
      </c>
      <c r="ID4" s="409" t="s">
        <v>389</v>
      </c>
      <c r="IE4" s="409" t="s">
        <v>389</v>
      </c>
      <c r="IF4" s="409" t="s">
        <v>389</v>
      </c>
      <c r="IG4" s="409" t="s">
        <v>389</v>
      </c>
      <c r="IH4" s="409" t="s">
        <v>389</v>
      </c>
      <c r="II4" s="409" t="s">
        <v>389</v>
      </c>
      <c r="IJ4" s="410">
        <f t="shared" ref="IJ4:IJ15" si="27">(COUNTIF(IC4:II4,"★☆☆")*1)+(COUNTIF(IC4:II4,"★★☆")*2)+(COUNTIF(IC4:II4,"★★★")*3)</f>
        <v>0</v>
      </c>
      <c r="IK4" s="407" t="s">
        <v>351</v>
      </c>
      <c r="IL4" s="408" t="s">
        <v>389</v>
      </c>
      <c r="IM4" s="409" t="s">
        <v>389</v>
      </c>
      <c r="IN4" s="409" t="s">
        <v>389</v>
      </c>
      <c r="IO4" s="409" t="s">
        <v>389</v>
      </c>
      <c r="IP4" s="409" t="s">
        <v>389</v>
      </c>
      <c r="IQ4" s="409" t="s">
        <v>389</v>
      </c>
      <c r="IR4" s="409" t="s">
        <v>389</v>
      </c>
      <c r="IS4" s="410">
        <f t="shared" ref="IS4:IS15" si="28">(COUNTIF(IL4:IR4,"★☆☆")*1)+(COUNTIF(IL4:IR4,"★★☆")*2)+(COUNTIF(IL4:IR4,"★★★")*3)</f>
        <v>0</v>
      </c>
      <c r="IT4" s="407" t="s">
        <v>352</v>
      </c>
      <c r="IU4" s="408" t="s">
        <v>389</v>
      </c>
      <c r="IV4" s="409" t="s">
        <v>389</v>
      </c>
      <c r="IW4" s="409" t="s">
        <v>389</v>
      </c>
      <c r="IX4" s="409" t="s">
        <v>389</v>
      </c>
      <c r="IY4" s="409" t="s">
        <v>389</v>
      </c>
      <c r="IZ4" s="409" t="s">
        <v>389</v>
      </c>
      <c r="JA4" s="409" t="s">
        <v>389</v>
      </c>
      <c r="JB4" s="410">
        <f t="shared" ref="JB4:JB15" si="29">(COUNTIF(IU4:JA4,"★☆☆")*1)+(COUNTIF(IU4:JA4,"★★☆")*2)+(COUNTIF(IU4:JA4,"★★★")*3)</f>
        <v>0</v>
      </c>
      <c r="JC4" s="407" t="s">
        <v>353</v>
      </c>
      <c r="JD4" s="408" t="s">
        <v>389</v>
      </c>
      <c r="JE4" s="409" t="s">
        <v>389</v>
      </c>
      <c r="JF4" s="409" t="s">
        <v>389</v>
      </c>
      <c r="JG4" s="409" t="s">
        <v>389</v>
      </c>
      <c r="JH4" s="409" t="s">
        <v>389</v>
      </c>
      <c r="JI4" s="409" t="s">
        <v>389</v>
      </c>
      <c r="JJ4" s="409" t="s">
        <v>389</v>
      </c>
      <c r="JK4" s="410">
        <f t="shared" ref="JK4:JK15" si="30">(COUNTIF(JD4:JJ4,"★☆☆")*1)+(COUNTIF(JD4:JJ4,"★★☆")*2)+(COUNTIF(JD4:JJ4,"★★★")*3)</f>
        <v>0</v>
      </c>
      <c r="JL4" s="407" t="s">
        <v>354</v>
      </c>
      <c r="JM4" s="408" t="s">
        <v>389</v>
      </c>
      <c r="JN4" s="409" t="s">
        <v>389</v>
      </c>
      <c r="JO4" s="409" t="s">
        <v>389</v>
      </c>
      <c r="JP4" s="409" t="s">
        <v>389</v>
      </c>
      <c r="JQ4" s="409" t="s">
        <v>389</v>
      </c>
      <c r="JR4" s="409" t="s">
        <v>389</v>
      </c>
      <c r="JS4" s="409" t="s">
        <v>389</v>
      </c>
      <c r="JT4" s="410">
        <f t="shared" ref="JT4:JT15" si="31">(COUNTIF(JM4:JS4,"★☆☆")*1)+(COUNTIF(JM4:JS4,"★★☆")*2)+(COUNTIF(JM4:JS4,"★★★")*3)</f>
        <v>0</v>
      </c>
      <c r="JU4" s="407" t="s">
        <v>355</v>
      </c>
      <c r="JV4" s="408" t="s">
        <v>389</v>
      </c>
      <c r="JW4" s="409" t="s">
        <v>389</v>
      </c>
      <c r="JX4" s="409" t="s">
        <v>389</v>
      </c>
      <c r="JY4" s="409" t="s">
        <v>389</v>
      </c>
      <c r="JZ4" s="409" t="s">
        <v>389</v>
      </c>
      <c r="KA4" s="409" t="s">
        <v>389</v>
      </c>
      <c r="KB4" s="409" t="s">
        <v>389</v>
      </c>
      <c r="KC4" s="410">
        <f t="shared" ref="KC4:KC15" si="32">(COUNTIF(JV4:KB4,"★☆☆")*1)+(COUNTIF(JV4:KB4,"★★☆")*2)+(COUNTIF(JV4:KB4,"★★★")*3)</f>
        <v>0</v>
      </c>
      <c r="KD4" s="407" t="s">
        <v>356</v>
      </c>
      <c r="KE4" s="408" t="s">
        <v>389</v>
      </c>
      <c r="KF4" s="409" t="s">
        <v>389</v>
      </c>
      <c r="KG4" s="409" t="s">
        <v>389</v>
      </c>
      <c r="KH4" s="409" t="s">
        <v>389</v>
      </c>
      <c r="KI4" s="409" t="s">
        <v>389</v>
      </c>
      <c r="KJ4" s="409" t="s">
        <v>389</v>
      </c>
      <c r="KK4" s="409" t="s">
        <v>389</v>
      </c>
      <c r="KL4" s="410">
        <f t="shared" ref="KL4:KL15" si="33">(COUNTIF(KE4:KK4,"★☆☆")*1)+(COUNTIF(KE4:KK4,"★★☆")*2)+(COUNTIF(KE4:KK4,"★★★")*3)</f>
        <v>0</v>
      </c>
      <c r="KM4" s="407" t="s">
        <v>357</v>
      </c>
      <c r="KN4" s="408" t="s">
        <v>389</v>
      </c>
      <c r="KO4" s="409" t="s">
        <v>389</v>
      </c>
      <c r="KP4" s="409" t="s">
        <v>389</v>
      </c>
      <c r="KQ4" s="409" t="s">
        <v>389</v>
      </c>
      <c r="KR4" s="409" t="s">
        <v>389</v>
      </c>
      <c r="KS4" s="409" t="s">
        <v>389</v>
      </c>
      <c r="KT4" s="409" t="s">
        <v>389</v>
      </c>
      <c r="KU4" s="410">
        <f t="shared" ref="KU4:KU15" si="34">(COUNTIF(KN4:KT4,"★☆☆")*1)+(COUNTIF(KN4:KT4,"★★☆")*2)+(COUNTIF(KN4:KT4,"★★★")*3)</f>
        <v>0</v>
      </c>
      <c r="KV4" s="407" t="s">
        <v>358</v>
      </c>
      <c r="KW4" s="408" t="s">
        <v>389</v>
      </c>
      <c r="KX4" s="409" t="s">
        <v>389</v>
      </c>
      <c r="KY4" s="409" t="s">
        <v>389</v>
      </c>
      <c r="KZ4" s="409" t="s">
        <v>389</v>
      </c>
      <c r="LA4" s="409" t="s">
        <v>389</v>
      </c>
      <c r="LB4" s="409" t="s">
        <v>389</v>
      </c>
      <c r="LC4" s="409" t="s">
        <v>389</v>
      </c>
      <c r="LD4" s="410">
        <f t="shared" ref="LD4:LD15" si="35">(COUNTIF(KW4:LC4,"★☆☆")*1)+(COUNTIF(KW4:LC4,"★★☆")*2)+(COUNTIF(KW4:LC4,"★★★")*3)</f>
        <v>0</v>
      </c>
      <c r="LE4" s="407" t="s">
        <v>359</v>
      </c>
      <c r="LF4" s="408" t="s">
        <v>389</v>
      </c>
      <c r="LG4" s="409" t="s">
        <v>389</v>
      </c>
      <c r="LH4" s="409" t="s">
        <v>389</v>
      </c>
      <c r="LI4" s="409" t="s">
        <v>389</v>
      </c>
      <c r="LJ4" s="409" t="s">
        <v>389</v>
      </c>
      <c r="LK4" s="409" t="s">
        <v>389</v>
      </c>
      <c r="LL4" s="409" t="s">
        <v>389</v>
      </c>
      <c r="LM4" s="410">
        <f t="shared" ref="LM4:LM15" si="36">(COUNTIF(LF4:LL4,"★☆☆")*1)+(COUNTIF(LF4:LL4,"★★☆")*2)+(COUNTIF(LF4:LL4,"★★★")*3)</f>
        <v>0</v>
      </c>
      <c r="LN4" s="407" t="s">
        <v>360</v>
      </c>
      <c r="LO4" s="408" t="s">
        <v>389</v>
      </c>
      <c r="LP4" s="409" t="s">
        <v>389</v>
      </c>
      <c r="LQ4" s="409" t="s">
        <v>389</v>
      </c>
      <c r="LR4" s="409" t="s">
        <v>389</v>
      </c>
      <c r="LS4" s="409" t="s">
        <v>389</v>
      </c>
      <c r="LT4" s="409" t="s">
        <v>389</v>
      </c>
      <c r="LU4" s="409" t="s">
        <v>389</v>
      </c>
      <c r="LV4" s="410">
        <f t="shared" ref="LV4:LV15" si="37">(COUNTIF(LO4:LU4,"★☆☆")*1)+(COUNTIF(LO4:LU4,"★★☆")*2)+(COUNTIF(LO4:LU4,"★★★")*3)</f>
        <v>0</v>
      </c>
      <c r="LW4" s="407" t="s">
        <v>361</v>
      </c>
      <c r="LX4" s="408" t="s">
        <v>389</v>
      </c>
      <c r="LY4" s="409" t="s">
        <v>389</v>
      </c>
      <c r="LZ4" s="409" t="s">
        <v>389</v>
      </c>
      <c r="MA4" s="409" t="s">
        <v>389</v>
      </c>
      <c r="MB4" s="409" t="s">
        <v>389</v>
      </c>
      <c r="MC4" s="409" t="s">
        <v>389</v>
      </c>
      <c r="MD4" s="409" t="s">
        <v>389</v>
      </c>
      <c r="ME4" s="410">
        <f t="shared" ref="ME4:ME15" si="38">(COUNTIF(LX4:MD4,"★☆☆")*1)+(COUNTIF(LX4:MD4,"★★☆")*2)+(COUNTIF(LX4:MD4,"★★★")*3)</f>
        <v>0</v>
      </c>
      <c r="MF4" s="407" t="s">
        <v>362</v>
      </c>
      <c r="MG4" s="408" t="s">
        <v>389</v>
      </c>
      <c r="MH4" s="409" t="s">
        <v>389</v>
      </c>
      <c r="MI4" s="409" t="s">
        <v>389</v>
      </c>
      <c r="MJ4" s="409" t="s">
        <v>389</v>
      </c>
      <c r="MK4" s="409" t="s">
        <v>389</v>
      </c>
      <c r="ML4" s="409" t="s">
        <v>389</v>
      </c>
      <c r="MM4" s="409" t="s">
        <v>389</v>
      </c>
      <c r="MN4" s="410">
        <f t="shared" ref="MN4:MN15" si="39">(COUNTIF(MG4:MM4,"★☆☆")*1)+(COUNTIF(MG4:MM4,"★★☆")*2)+(COUNTIF(MG4:MM4,"★★★")*3)</f>
        <v>0</v>
      </c>
      <c r="MO4" s="407" t="s">
        <v>363</v>
      </c>
      <c r="MP4" s="408" t="s">
        <v>389</v>
      </c>
      <c r="MQ4" s="409" t="s">
        <v>389</v>
      </c>
      <c r="MR4" s="409" t="s">
        <v>389</v>
      </c>
      <c r="MS4" s="409" t="s">
        <v>389</v>
      </c>
      <c r="MT4" s="409" t="s">
        <v>389</v>
      </c>
      <c r="MU4" s="409" t="s">
        <v>389</v>
      </c>
      <c r="MV4" s="409" t="s">
        <v>389</v>
      </c>
      <c r="MW4" s="410">
        <f t="shared" ref="MW4:MW15" si="40">(COUNTIF(MP4:MV4,"★☆☆")*1)+(COUNTIF(MP4:MV4,"★★☆")*2)+(COUNTIF(MP4:MV4,"★★★")*3)</f>
        <v>0</v>
      </c>
      <c r="MX4" s="407" t="s">
        <v>364</v>
      </c>
      <c r="MY4" s="408" t="s">
        <v>389</v>
      </c>
      <c r="MZ4" s="409" t="s">
        <v>389</v>
      </c>
      <c r="NA4" s="409" t="s">
        <v>389</v>
      </c>
      <c r="NB4" s="409" t="s">
        <v>389</v>
      </c>
      <c r="NC4" s="409" t="s">
        <v>389</v>
      </c>
      <c r="ND4" s="409" t="s">
        <v>389</v>
      </c>
      <c r="NE4" s="409" t="s">
        <v>389</v>
      </c>
      <c r="NF4" s="410">
        <f t="shared" ref="NF4:NF15" si="41">(COUNTIF(MY4:NE4,"★☆☆")*1)+(COUNTIF(MY4:NE4,"★★☆")*2)+(COUNTIF(MY4:NE4,"★★★")*3)</f>
        <v>0</v>
      </c>
      <c r="NG4" s="407" t="s">
        <v>365</v>
      </c>
      <c r="NH4" s="408" t="s">
        <v>389</v>
      </c>
      <c r="NI4" s="409" t="s">
        <v>389</v>
      </c>
      <c r="NJ4" s="409" t="s">
        <v>389</v>
      </c>
      <c r="NK4" s="409" t="s">
        <v>389</v>
      </c>
      <c r="NL4" s="409" t="s">
        <v>389</v>
      </c>
      <c r="NM4" s="409" t="s">
        <v>389</v>
      </c>
      <c r="NN4" s="409" t="s">
        <v>389</v>
      </c>
      <c r="NO4" s="410">
        <f t="shared" ref="NO4:NO15" si="42">(COUNTIF(NH4:NN4,"★☆☆")*1)+(COUNTIF(NH4:NN4,"★★☆")*2)+(COUNTIF(NH4:NN4,"★★★")*3)</f>
        <v>0</v>
      </c>
      <c r="NP4" s="407" t="s">
        <v>366</v>
      </c>
      <c r="NQ4" s="408" t="s">
        <v>389</v>
      </c>
      <c r="NR4" s="409" t="s">
        <v>389</v>
      </c>
      <c r="NS4" s="409" t="s">
        <v>389</v>
      </c>
      <c r="NT4" s="409" t="s">
        <v>389</v>
      </c>
      <c r="NU4" s="409" t="s">
        <v>389</v>
      </c>
      <c r="NV4" s="409" t="s">
        <v>389</v>
      </c>
      <c r="NW4" s="409" t="s">
        <v>389</v>
      </c>
      <c r="NX4" s="410">
        <f t="shared" ref="NX4:NX15" si="43">(COUNTIF(NQ4:NW4,"★☆☆")*1)+(COUNTIF(NQ4:NW4,"★★☆")*2)+(COUNTIF(NQ4:NW4,"★★★")*3)</f>
        <v>0</v>
      </c>
      <c r="NY4" s="407" t="s">
        <v>367</v>
      </c>
      <c r="NZ4" s="408" t="s">
        <v>389</v>
      </c>
      <c r="OA4" s="409" t="s">
        <v>389</v>
      </c>
      <c r="OB4" s="409" t="s">
        <v>389</v>
      </c>
      <c r="OC4" s="409" t="s">
        <v>389</v>
      </c>
      <c r="OD4" s="409" t="s">
        <v>389</v>
      </c>
      <c r="OE4" s="409" t="s">
        <v>389</v>
      </c>
      <c r="OF4" s="409" t="s">
        <v>389</v>
      </c>
      <c r="OG4" s="410">
        <f t="shared" ref="OG4:OG15" si="44">(COUNTIF(NZ4:OF4,"★☆☆")*1)+(COUNTIF(NZ4:OF4,"★★☆")*2)+(COUNTIF(NZ4:OF4,"★★★")*3)</f>
        <v>0</v>
      </c>
      <c r="OH4" s="407" t="s">
        <v>368</v>
      </c>
      <c r="OI4" s="408" t="s">
        <v>389</v>
      </c>
      <c r="OJ4" s="409" t="s">
        <v>389</v>
      </c>
      <c r="OK4" s="409" t="s">
        <v>389</v>
      </c>
      <c r="OL4" s="409" t="s">
        <v>389</v>
      </c>
      <c r="OM4" s="409" t="s">
        <v>389</v>
      </c>
      <c r="ON4" s="409" t="s">
        <v>389</v>
      </c>
      <c r="OO4" s="409" t="s">
        <v>389</v>
      </c>
      <c r="OP4" s="410">
        <f t="shared" ref="OP4:OP15" si="45">(COUNTIF(OI4:OO4,"★☆☆")*1)+(COUNTIF(OI4:OO4,"★★☆")*2)+(COUNTIF(OI4:OO4,"★★★")*3)</f>
        <v>0</v>
      </c>
      <c r="OQ4" s="407" t="s">
        <v>369</v>
      </c>
      <c r="OR4" s="408" t="s">
        <v>389</v>
      </c>
      <c r="OS4" s="409" t="s">
        <v>389</v>
      </c>
      <c r="OT4" s="409" t="s">
        <v>389</v>
      </c>
      <c r="OU4" s="409" t="s">
        <v>389</v>
      </c>
      <c r="OV4" s="409" t="s">
        <v>389</v>
      </c>
      <c r="OW4" s="409" t="s">
        <v>389</v>
      </c>
      <c r="OX4" s="409" t="s">
        <v>389</v>
      </c>
      <c r="OY4" s="410">
        <f t="shared" ref="OY4:OY15" si="46">(COUNTIF(OR4:OX4,"★☆☆")*1)+(COUNTIF(OR4:OX4,"★★☆")*2)+(COUNTIF(OR4:OX4,"★★★")*3)</f>
        <v>0</v>
      </c>
      <c r="OZ4" s="407" t="s">
        <v>370</v>
      </c>
      <c r="PA4" s="408" t="s">
        <v>389</v>
      </c>
      <c r="PB4" s="409" t="s">
        <v>389</v>
      </c>
      <c r="PC4" s="409" t="s">
        <v>389</v>
      </c>
      <c r="PD4" s="409" t="s">
        <v>389</v>
      </c>
      <c r="PE4" s="409" t="s">
        <v>389</v>
      </c>
      <c r="PF4" s="409" t="s">
        <v>389</v>
      </c>
      <c r="PG4" s="409" t="s">
        <v>389</v>
      </c>
      <c r="PH4" s="410">
        <f t="shared" ref="PH4:PH15" si="47">(COUNTIF(PA4:PG4,"★☆☆")*1)+(COUNTIF(PA4:PG4,"★★☆")*2)+(COUNTIF(PA4:PG4,"★★★")*3)</f>
        <v>0</v>
      </c>
      <c r="PI4" s="407" t="s">
        <v>371</v>
      </c>
      <c r="PJ4" s="408" t="s">
        <v>389</v>
      </c>
      <c r="PK4" s="409" t="s">
        <v>389</v>
      </c>
      <c r="PL4" s="409" t="s">
        <v>389</v>
      </c>
      <c r="PM4" s="409" t="s">
        <v>389</v>
      </c>
      <c r="PN4" s="409" t="s">
        <v>389</v>
      </c>
      <c r="PO4" s="409" t="s">
        <v>389</v>
      </c>
      <c r="PP4" s="409" t="s">
        <v>389</v>
      </c>
      <c r="PQ4" s="410">
        <f t="shared" ref="PQ4:PQ15" si="48">(COUNTIF(PJ4:PP4,"★☆☆")*1)+(COUNTIF(PJ4:PP4,"★★☆")*2)+(COUNTIF(PJ4:PP4,"★★★")*3)</f>
        <v>0</v>
      </c>
      <c r="PR4" s="407" t="s">
        <v>372</v>
      </c>
      <c r="PS4" s="408" t="s">
        <v>389</v>
      </c>
      <c r="PT4" s="409" t="s">
        <v>389</v>
      </c>
      <c r="PU4" s="409" t="s">
        <v>389</v>
      </c>
      <c r="PV4" s="409" t="s">
        <v>389</v>
      </c>
      <c r="PW4" s="409" t="s">
        <v>389</v>
      </c>
      <c r="PX4" s="409" t="s">
        <v>389</v>
      </c>
      <c r="PY4" s="409" t="s">
        <v>389</v>
      </c>
      <c r="PZ4" s="410">
        <f t="shared" ref="PZ4:PZ15" si="49">(COUNTIF(PS4:PY4,"★☆☆")*1)+(COUNTIF(PS4:PY4,"★★☆")*2)+(COUNTIF(PS4:PY4,"★★★")*3)</f>
        <v>0</v>
      </c>
      <c r="QA4" s="407" t="s">
        <v>373</v>
      </c>
      <c r="QB4" s="408" t="s">
        <v>389</v>
      </c>
      <c r="QC4" s="409" t="s">
        <v>389</v>
      </c>
      <c r="QD4" s="409" t="s">
        <v>389</v>
      </c>
      <c r="QE4" s="409" t="s">
        <v>389</v>
      </c>
      <c r="QF4" s="409" t="s">
        <v>389</v>
      </c>
      <c r="QG4" s="409" t="s">
        <v>389</v>
      </c>
      <c r="QH4" s="409" t="s">
        <v>389</v>
      </c>
      <c r="QI4" s="410">
        <f t="shared" ref="QI4:QI15" si="50">(COUNTIF(QB4:QH4,"★☆☆")*1)+(COUNTIF(QB4:QH4,"★★☆")*2)+(COUNTIF(QB4:QH4,"★★★")*3)</f>
        <v>0</v>
      </c>
      <c r="QJ4" s="407" t="s">
        <v>374</v>
      </c>
      <c r="QK4" s="408" t="s">
        <v>389</v>
      </c>
      <c r="QL4" s="409" t="s">
        <v>389</v>
      </c>
      <c r="QM4" s="409" t="s">
        <v>389</v>
      </c>
      <c r="QN4" s="409" t="s">
        <v>389</v>
      </c>
      <c r="QO4" s="409" t="s">
        <v>389</v>
      </c>
      <c r="QP4" s="409" t="s">
        <v>389</v>
      </c>
      <c r="QQ4" s="409" t="s">
        <v>389</v>
      </c>
      <c r="QR4" s="410">
        <f t="shared" ref="QR4:QR15" si="51">(COUNTIF(QK4:QQ4,"★☆☆")*1)+(COUNTIF(QK4:QQ4,"★★☆")*2)+(COUNTIF(QK4:QQ4,"★★★")*3)</f>
        <v>0</v>
      </c>
      <c r="QS4" s="407" t="s">
        <v>375</v>
      </c>
      <c r="QT4" s="408" t="s">
        <v>389</v>
      </c>
      <c r="QU4" s="409" t="s">
        <v>389</v>
      </c>
      <c r="QV4" s="409" t="s">
        <v>389</v>
      </c>
      <c r="QW4" s="409" t="s">
        <v>389</v>
      </c>
      <c r="QX4" s="409" t="s">
        <v>389</v>
      </c>
      <c r="QY4" s="409" t="s">
        <v>389</v>
      </c>
      <c r="QZ4" s="409" t="s">
        <v>389</v>
      </c>
      <c r="RA4" s="410">
        <f t="shared" ref="RA4:RA15" si="52">(COUNTIF(QT4:QZ4,"★☆☆")*1)+(COUNTIF(QT4:QZ4,"★★☆")*2)+(COUNTIF(QT4:QZ4,"★★★")*3)</f>
        <v>0</v>
      </c>
      <c r="RB4" s="30"/>
      <c r="RC4" s="57"/>
    </row>
    <row r="5">
      <c r="A5" s="32" t="s">
        <v>390</v>
      </c>
      <c r="B5" s="60"/>
      <c r="C5" s="408" t="s">
        <v>389</v>
      </c>
      <c r="D5" s="409" t="s">
        <v>388</v>
      </c>
      <c r="E5" s="409" t="s">
        <v>389</v>
      </c>
      <c r="F5" s="409" t="s">
        <v>387</v>
      </c>
      <c r="G5" s="409" t="s">
        <v>389</v>
      </c>
      <c r="H5" s="409" t="s">
        <v>388</v>
      </c>
      <c r="I5" s="409" t="s">
        <v>389</v>
      </c>
      <c r="J5" s="410">
        <f t="shared" si="1"/>
        <v>4</v>
      </c>
      <c r="K5" s="60"/>
      <c r="L5" s="408" t="s">
        <v>389</v>
      </c>
      <c r="M5" s="409" t="s">
        <v>389</v>
      </c>
      <c r="N5" s="409" t="s">
        <v>389</v>
      </c>
      <c r="O5" s="409" t="s">
        <v>389</v>
      </c>
      <c r="P5" s="409" t="s">
        <v>389</v>
      </c>
      <c r="Q5" s="409" t="s">
        <v>389</v>
      </c>
      <c r="R5" s="409" t="s">
        <v>389</v>
      </c>
      <c r="S5" s="410">
        <f t="shared" si="2"/>
        <v>0</v>
      </c>
      <c r="T5" s="60"/>
      <c r="U5" s="408" t="s">
        <v>389</v>
      </c>
      <c r="V5" s="409" t="s">
        <v>389</v>
      </c>
      <c r="W5" s="409" t="s">
        <v>389</v>
      </c>
      <c r="X5" s="409" t="s">
        <v>389</v>
      </c>
      <c r="Y5" s="409" t="s">
        <v>389</v>
      </c>
      <c r="Z5" s="409" t="s">
        <v>389</v>
      </c>
      <c r="AA5" s="409" t="s">
        <v>389</v>
      </c>
      <c r="AB5" s="410">
        <f t="shared" si="3"/>
        <v>0</v>
      </c>
      <c r="AC5" s="60"/>
      <c r="AD5" s="408" t="s">
        <v>389</v>
      </c>
      <c r="AE5" s="409" t="s">
        <v>389</v>
      </c>
      <c r="AF5" s="409" t="s">
        <v>389</v>
      </c>
      <c r="AG5" s="409" t="s">
        <v>389</v>
      </c>
      <c r="AH5" s="409" t="s">
        <v>389</v>
      </c>
      <c r="AI5" s="409" t="s">
        <v>389</v>
      </c>
      <c r="AJ5" s="409" t="s">
        <v>389</v>
      </c>
      <c r="AK5" s="410">
        <f t="shared" si="4"/>
        <v>0</v>
      </c>
      <c r="AL5" s="60"/>
      <c r="AM5" s="408" t="s">
        <v>389</v>
      </c>
      <c r="AN5" s="409" t="s">
        <v>389</v>
      </c>
      <c r="AO5" s="409" t="s">
        <v>389</v>
      </c>
      <c r="AP5" s="409" t="s">
        <v>389</v>
      </c>
      <c r="AQ5" s="409" t="s">
        <v>389</v>
      </c>
      <c r="AR5" s="409" t="s">
        <v>389</v>
      </c>
      <c r="AS5" s="409" t="s">
        <v>389</v>
      </c>
      <c r="AT5" s="410">
        <f t="shared" si="5"/>
        <v>0</v>
      </c>
      <c r="AU5" s="60"/>
      <c r="AV5" s="408" t="s">
        <v>389</v>
      </c>
      <c r="AW5" s="409" t="s">
        <v>389</v>
      </c>
      <c r="AX5" s="409" t="s">
        <v>389</v>
      </c>
      <c r="AY5" s="409" t="s">
        <v>389</v>
      </c>
      <c r="AZ5" s="409" t="s">
        <v>389</v>
      </c>
      <c r="BA5" s="409" t="s">
        <v>389</v>
      </c>
      <c r="BB5" s="409" t="s">
        <v>389</v>
      </c>
      <c r="BC5" s="410">
        <f t="shared" si="6"/>
        <v>0</v>
      </c>
      <c r="BD5" s="60"/>
      <c r="BE5" s="408" t="s">
        <v>389</v>
      </c>
      <c r="BF5" s="409" t="s">
        <v>389</v>
      </c>
      <c r="BG5" s="409" t="s">
        <v>389</v>
      </c>
      <c r="BH5" s="409" t="s">
        <v>389</v>
      </c>
      <c r="BI5" s="409" t="s">
        <v>389</v>
      </c>
      <c r="BJ5" s="409" t="s">
        <v>389</v>
      </c>
      <c r="BK5" s="409" t="s">
        <v>389</v>
      </c>
      <c r="BL5" s="410">
        <f t="shared" si="7"/>
        <v>0</v>
      </c>
      <c r="BM5" s="60"/>
      <c r="BN5" s="408" t="s">
        <v>389</v>
      </c>
      <c r="BO5" s="409" t="s">
        <v>389</v>
      </c>
      <c r="BP5" s="409" t="s">
        <v>389</v>
      </c>
      <c r="BQ5" s="409" t="s">
        <v>389</v>
      </c>
      <c r="BR5" s="409" t="s">
        <v>389</v>
      </c>
      <c r="BS5" s="409" t="s">
        <v>389</v>
      </c>
      <c r="BT5" s="409" t="s">
        <v>389</v>
      </c>
      <c r="BU5" s="410">
        <f t="shared" si="8"/>
        <v>0</v>
      </c>
      <c r="BV5" s="60"/>
      <c r="BW5" s="408" t="s">
        <v>389</v>
      </c>
      <c r="BX5" s="409" t="s">
        <v>389</v>
      </c>
      <c r="BY5" s="409" t="s">
        <v>389</v>
      </c>
      <c r="BZ5" s="409" t="s">
        <v>389</v>
      </c>
      <c r="CA5" s="409" t="s">
        <v>389</v>
      </c>
      <c r="CB5" s="409" t="s">
        <v>389</v>
      </c>
      <c r="CC5" s="409" t="s">
        <v>389</v>
      </c>
      <c r="CD5" s="410">
        <f t="shared" si="9"/>
        <v>0</v>
      </c>
      <c r="CE5" s="60"/>
      <c r="CF5" s="408" t="s">
        <v>389</v>
      </c>
      <c r="CG5" s="409" t="s">
        <v>389</v>
      </c>
      <c r="CH5" s="409" t="s">
        <v>389</v>
      </c>
      <c r="CI5" s="409" t="s">
        <v>389</v>
      </c>
      <c r="CJ5" s="409" t="s">
        <v>389</v>
      </c>
      <c r="CK5" s="409" t="s">
        <v>389</v>
      </c>
      <c r="CL5" s="409" t="s">
        <v>389</v>
      </c>
      <c r="CM5" s="410">
        <f t="shared" si="10"/>
        <v>0</v>
      </c>
      <c r="CN5" s="60"/>
      <c r="CO5" s="408" t="s">
        <v>389</v>
      </c>
      <c r="CP5" s="409" t="s">
        <v>389</v>
      </c>
      <c r="CQ5" s="409" t="s">
        <v>389</v>
      </c>
      <c r="CR5" s="409" t="s">
        <v>389</v>
      </c>
      <c r="CS5" s="409" t="s">
        <v>389</v>
      </c>
      <c r="CT5" s="409" t="s">
        <v>389</v>
      </c>
      <c r="CU5" s="409" t="s">
        <v>389</v>
      </c>
      <c r="CV5" s="410">
        <f t="shared" si="11"/>
        <v>0</v>
      </c>
      <c r="CW5" s="60"/>
      <c r="CX5" s="408" t="s">
        <v>389</v>
      </c>
      <c r="CY5" s="409" t="s">
        <v>389</v>
      </c>
      <c r="CZ5" s="409" t="s">
        <v>389</v>
      </c>
      <c r="DA5" s="409" t="s">
        <v>389</v>
      </c>
      <c r="DB5" s="409" t="s">
        <v>389</v>
      </c>
      <c r="DC5" s="409" t="s">
        <v>389</v>
      </c>
      <c r="DD5" s="409" t="s">
        <v>389</v>
      </c>
      <c r="DE5" s="410">
        <f t="shared" si="12"/>
        <v>0</v>
      </c>
      <c r="DF5" s="60"/>
      <c r="DG5" s="408" t="s">
        <v>389</v>
      </c>
      <c r="DH5" s="409" t="s">
        <v>389</v>
      </c>
      <c r="DI5" s="409" t="s">
        <v>389</v>
      </c>
      <c r="DJ5" s="409" t="s">
        <v>389</v>
      </c>
      <c r="DK5" s="409" t="s">
        <v>389</v>
      </c>
      <c r="DL5" s="409" t="s">
        <v>389</v>
      </c>
      <c r="DM5" s="409" t="s">
        <v>389</v>
      </c>
      <c r="DN5" s="410">
        <f t="shared" si="13"/>
        <v>0</v>
      </c>
      <c r="DO5" s="60"/>
      <c r="DP5" s="408" t="s">
        <v>389</v>
      </c>
      <c r="DQ5" s="409" t="s">
        <v>389</v>
      </c>
      <c r="DR5" s="409" t="s">
        <v>389</v>
      </c>
      <c r="DS5" s="409" t="s">
        <v>389</v>
      </c>
      <c r="DT5" s="409" t="s">
        <v>389</v>
      </c>
      <c r="DU5" s="409" t="s">
        <v>389</v>
      </c>
      <c r="DV5" s="409" t="s">
        <v>389</v>
      </c>
      <c r="DW5" s="410">
        <f t="shared" si="14"/>
        <v>0</v>
      </c>
      <c r="DX5" s="60"/>
      <c r="DY5" s="408" t="s">
        <v>389</v>
      </c>
      <c r="DZ5" s="409" t="s">
        <v>389</v>
      </c>
      <c r="EA5" s="409" t="s">
        <v>389</v>
      </c>
      <c r="EB5" s="409" t="s">
        <v>389</v>
      </c>
      <c r="EC5" s="409" t="s">
        <v>389</v>
      </c>
      <c r="ED5" s="409" t="s">
        <v>389</v>
      </c>
      <c r="EE5" s="409" t="s">
        <v>389</v>
      </c>
      <c r="EF5" s="410">
        <f t="shared" si="15"/>
        <v>0</v>
      </c>
      <c r="EG5" s="60"/>
      <c r="EH5" s="408" t="s">
        <v>389</v>
      </c>
      <c r="EI5" s="409" t="s">
        <v>389</v>
      </c>
      <c r="EJ5" s="409" t="s">
        <v>389</v>
      </c>
      <c r="EK5" s="409" t="s">
        <v>389</v>
      </c>
      <c r="EL5" s="409" t="s">
        <v>389</v>
      </c>
      <c r="EM5" s="409" t="s">
        <v>389</v>
      </c>
      <c r="EN5" s="409" t="s">
        <v>389</v>
      </c>
      <c r="EO5" s="410">
        <f t="shared" si="16"/>
        <v>0</v>
      </c>
      <c r="EP5" s="60"/>
      <c r="EQ5" s="408" t="s">
        <v>389</v>
      </c>
      <c r="ER5" s="409" t="s">
        <v>389</v>
      </c>
      <c r="ES5" s="409" t="s">
        <v>389</v>
      </c>
      <c r="ET5" s="409" t="s">
        <v>389</v>
      </c>
      <c r="EU5" s="409" t="s">
        <v>389</v>
      </c>
      <c r="EV5" s="409" t="s">
        <v>389</v>
      </c>
      <c r="EW5" s="409" t="s">
        <v>389</v>
      </c>
      <c r="EX5" s="410">
        <f t="shared" si="17"/>
        <v>0</v>
      </c>
      <c r="EY5" s="60"/>
      <c r="EZ5" s="408" t="s">
        <v>389</v>
      </c>
      <c r="FA5" s="409" t="s">
        <v>389</v>
      </c>
      <c r="FB5" s="409" t="s">
        <v>389</v>
      </c>
      <c r="FC5" s="409" t="s">
        <v>389</v>
      </c>
      <c r="FD5" s="409" t="s">
        <v>389</v>
      </c>
      <c r="FE5" s="409" t="s">
        <v>389</v>
      </c>
      <c r="FF5" s="409" t="s">
        <v>389</v>
      </c>
      <c r="FG5" s="410">
        <f t="shared" si="18"/>
        <v>0</v>
      </c>
      <c r="FH5" s="60"/>
      <c r="FI5" s="408" t="s">
        <v>389</v>
      </c>
      <c r="FJ5" s="409" t="s">
        <v>389</v>
      </c>
      <c r="FK5" s="409" t="s">
        <v>389</v>
      </c>
      <c r="FL5" s="409" t="s">
        <v>389</v>
      </c>
      <c r="FM5" s="409" t="s">
        <v>389</v>
      </c>
      <c r="FN5" s="409" t="s">
        <v>389</v>
      </c>
      <c r="FO5" s="409" t="s">
        <v>389</v>
      </c>
      <c r="FP5" s="410">
        <f t="shared" si="19"/>
        <v>0</v>
      </c>
      <c r="FQ5" s="60"/>
      <c r="FR5" s="408" t="s">
        <v>389</v>
      </c>
      <c r="FS5" s="409" t="s">
        <v>389</v>
      </c>
      <c r="FT5" s="409" t="s">
        <v>389</v>
      </c>
      <c r="FU5" s="409" t="s">
        <v>389</v>
      </c>
      <c r="FV5" s="409" t="s">
        <v>389</v>
      </c>
      <c r="FW5" s="409" t="s">
        <v>389</v>
      </c>
      <c r="FX5" s="409" t="s">
        <v>389</v>
      </c>
      <c r="FY5" s="410">
        <f t="shared" si="20"/>
        <v>0</v>
      </c>
      <c r="FZ5" s="60"/>
      <c r="GA5" s="408" t="s">
        <v>389</v>
      </c>
      <c r="GB5" s="409" t="s">
        <v>389</v>
      </c>
      <c r="GC5" s="409" t="s">
        <v>389</v>
      </c>
      <c r="GD5" s="409" t="s">
        <v>389</v>
      </c>
      <c r="GE5" s="409" t="s">
        <v>389</v>
      </c>
      <c r="GF5" s="409" t="s">
        <v>389</v>
      </c>
      <c r="GG5" s="409" t="s">
        <v>389</v>
      </c>
      <c r="GH5" s="410">
        <f t="shared" si="21"/>
        <v>0</v>
      </c>
      <c r="GI5" s="60"/>
      <c r="GJ5" s="408" t="s">
        <v>389</v>
      </c>
      <c r="GK5" s="409" t="s">
        <v>389</v>
      </c>
      <c r="GL5" s="409" t="s">
        <v>389</v>
      </c>
      <c r="GM5" s="409" t="s">
        <v>389</v>
      </c>
      <c r="GN5" s="409" t="s">
        <v>389</v>
      </c>
      <c r="GO5" s="409" t="s">
        <v>389</v>
      </c>
      <c r="GP5" s="409" t="s">
        <v>389</v>
      </c>
      <c r="GQ5" s="410">
        <f t="shared" si="22"/>
        <v>0</v>
      </c>
      <c r="GR5" s="60"/>
      <c r="GS5" s="408" t="s">
        <v>389</v>
      </c>
      <c r="GT5" s="409" t="s">
        <v>389</v>
      </c>
      <c r="GU5" s="409" t="s">
        <v>389</v>
      </c>
      <c r="GV5" s="409" t="s">
        <v>389</v>
      </c>
      <c r="GW5" s="409" t="s">
        <v>389</v>
      </c>
      <c r="GX5" s="409" t="s">
        <v>389</v>
      </c>
      <c r="GY5" s="409" t="s">
        <v>389</v>
      </c>
      <c r="GZ5" s="410">
        <f t="shared" si="23"/>
        <v>0</v>
      </c>
      <c r="HA5" s="60"/>
      <c r="HB5" s="408" t="s">
        <v>389</v>
      </c>
      <c r="HC5" s="409" t="s">
        <v>389</v>
      </c>
      <c r="HD5" s="409" t="s">
        <v>389</v>
      </c>
      <c r="HE5" s="409" t="s">
        <v>389</v>
      </c>
      <c r="HF5" s="409" t="s">
        <v>389</v>
      </c>
      <c r="HG5" s="409" t="s">
        <v>389</v>
      </c>
      <c r="HH5" s="409" t="s">
        <v>389</v>
      </c>
      <c r="HI5" s="410">
        <f t="shared" si="24"/>
        <v>0</v>
      </c>
      <c r="HJ5" s="60"/>
      <c r="HK5" s="408" t="s">
        <v>389</v>
      </c>
      <c r="HL5" s="409" t="s">
        <v>389</v>
      </c>
      <c r="HM5" s="409" t="s">
        <v>389</v>
      </c>
      <c r="HN5" s="409" t="s">
        <v>389</v>
      </c>
      <c r="HO5" s="409" t="s">
        <v>389</v>
      </c>
      <c r="HP5" s="409" t="s">
        <v>389</v>
      </c>
      <c r="HQ5" s="409" t="s">
        <v>389</v>
      </c>
      <c r="HR5" s="410">
        <f t="shared" si="25"/>
        <v>0</v>
      </c>
      <c r="HS5" s="60"/>
      <c r="HT5" s="408" t="s">
        <v>389</v>
      </c>
      <c r="HU5" s="409" t="s">
        <v>389</v>
      </c>
      <c r="HV5" s="409" t="s">
        <v>389</v>
      </c>
      <c r="HW5" s="409" t="s">
        <v>389</v>
      </c>
      <c r="HX5" s="409" t="s">
        <v>389</v>
      </c>
      <c r="HY5" s="409" t="s">
        <v>389</v>
      </c>
      <c r="HZ5" s="409" t="s">
        <v>389</v>
      </c>
      <c r="IA5" s="410">
        <f t="shared" si="26"/>
        <v>0</v>
      </c>
      <c r="IB5" s="60"/>
      <c r="IC5" s="408" t="s">
        <v>389</v>
      </c>
      <c r="ID5" s="409" t="s">
        <v>389</v>
      </c>
      <c r="IE5" s="409" t="s">
        <v>389</v>
      </c>
      <c r="IF5" s="409" t="s">
        <v>389</v>
      </c>
      <c r="IG5" s="409" t="s">
        <v>389</v>
      </c>
      <c r="IH5" s="409" t="s">
        <v>389</v>
      </c>
      <c r="II5" s="409" t="s">
        <v>389</v>
      </c>
      <c r="IJ5" s="410">
        <f t="shared" si="27"/>
        <v>0</v>
      </c>
      <c r="IK5" s="60"/>
      <c r="IL5" s="408" t="s">
        <v>389</v>
      </c>
      <c r="IM5" s="409" t="s">
        <v>389</v>
      </c>
      <c r="IN5" s="409" t="s">
        <v>389</v>
      </c>
      <c r="IO5" s="409" t="s">
        <v>389</v>
      </c>
      <c r="IP5" s="409" t="s">
        <v>389</v>
      </c>
      <c r="IQ5" s="409" t="s">
        <v>389</v>
      </c>
      <c r="IR5" s="409" t="s">
        <v>389</v>
      </c>
      <c r="IS5" s="410">
        <f t="shared" si="28"/>
        <v>0</v>
      </c>
      <c r="IT5" s="60"/>
      <c r="IU5" s="408" t="s">
        <v>389</v>
      </c>
      <c r="IV5" s="409" t="s">
        <v>389</v>
      </c>
      <c r="IW5" s="409" t="s">
        <v>389</v>
      </c>
      <c r="IX5" s="409" t="s">
        <v>389</v>
      </c>
      <c r="IY5" s="409" t="s">
        <v>389</v>
      </c>
      <c r="IZ5" s="409" t="s">
        <v>389</v>
      </c>
      <c r="JA5" s="409" t="s">
        <v>389</v>
      </c>
      <c r="JB5" s="410">
        <f t="shared" si="29"/>
        <v>0</v>
      </c>
      <c r="JC5" s="60"/>
      <c r="JD5" s="408" t="s">
        <v>389</v>
      </c>
      <c r="JE5" s="409" t="s">
        <v>389</v>
      </c>
      <c r="JF5" s="409" t="s">
        <v>389</v>
      </c>
      <c r="JG5" s="409" t="s">
        <v>389</v>
      </c>
      <c r="JH5" s="409" t="s">
        <v>389</v>
      </c>
      <c r="JI5" s="409" t="s">
        <v>389</v>
      </c>
      <c r="JJ5" s="409" t="s">
        <v>389</v>
      </c>
      <c r="JK5" s="410">
        <f t="shared" si="30"/>
        <v>0</v>
      </c>
      <c r="JL5" s="60"/>
      <c r="JM5" s="408" t="s">
        <v>389</v>
      </c>
      <c r="JN5" s="409" t="s">
        <v>389</v>
      </c>
      <c r="JO5" s="409" t="s">
        <v>389</v>
      </c>
      <c r="JP5" s="409" t="s">
        <v>389</v>
      </c>
      <c r="JQ5" s="409" t="s">
        <v>389</v>
      </c>
      <c r="JR5" s="409" t="s">
        <v>389</v>
      </c>
      <c r="JS5" s="409" t="s">
        <v>389</v>
      </c>
      <c r="JT5" s="410">
        <f t="shared" si="31"/>
        <v>0</v>
      </c>
      <c r="JU5" s="60"/>
      <c r="JV5" s="408" t="s">
        <v>389</v>
      </c>
      <c r="JW5" s="409" t="s">
        <v>389</v>
      </c>
      <c r="JX5" s="409" t="s">
        <v>389</v>
      </c>
      <c r="JY5" s="409" t="s">
        <v>389</v>
      </c>
      <c r="JZ5" s="409" t="s">
        <v>389</v>
      </c>
      <c r="KA5" s="409" t="s">
        <v>389</v>
      </c>
      <c r="KB5" s="409" t="s">
        <v>389</v>
      </c>
      <c r="KC5" s="410">
        <f t="shared" si="32"/>
        <v>0</v>
      </c>
      <c r="KD5" s="60"/>
      <c r="KE5" s="408" t="s">
        <v>389</v>
      </c>
      <c r="KF5" s="409" t="s">
        <v>389</v>
      </c>
      <c r="KG5" s="409" t="s">
        <v>389</v>
      </c>
      <c r="KH5" s="409" t="s">
        <v>389</v>
      </c>
      <c r="KI5" s="409" t="s">
        <v>389</v>
      </c>
      <c r="KJ5" s="409" t="s">
        <v>389</v>
      </c>
      <c r="KK5" s="409" t="s">
        <v>389</v>
      </c>
      <c r="KL5" s="410">
        <f t="shared" si="33"/>
        <v>0</v>
      </c>
      <c r="KM5" s="60"/>
      <c r="KN5" s="408" t="s">
        <v>389</v>
      </c>
      <c r="KO5" s="409" t="s">
        <v>389</v>
      </c>
      <c r="KP5" s="409" t="s">
        <v>389</v>
      </c>
      <c r="KQ5" s="409" t="s">
        <v>389</v>
      </c>
      <c r="KR5" s="409" t="s">
        <v>389</v>
      </c>
      <c r="KS5" s="409" t="s">
        <v>389</v>
      </c>
      <c r="KT5" s="409" t="s">
        <v>389</v>
      </c>
      <c r="KU5" s="410">
        <f t="shared" si="34"/>
        <v>0</v>
      </c>
      <c r="KV5" s="60"/>
      <c r="KW5" s="408" t="s">
        <v>389</v>
      </c>
      <c r="KX5" s="409" t="s">
        <v>389</v>
      </c>
      <c r="KY5" s="409" t="s">
        <v>389</v>
      </c>
      <c r="KZ5" s="409" t="s">
        <v>389</v>
      </c>
      <c r="LA5" s="409" t="s">
        <v>389</v>
      </c>
      <c r="LB5" s="409" t="s">
        <v>389</v>
      </c>
      <c r="LC5" s="409" t="s">
        <v>389</v>
      </c>
      <c r="LD5" s="410">
        <f t="shared" si="35"/>
        <v>0</v>
      </c>
      <c r="LE5" s="60"/>
      <c r="LF5" s="408" t="s">
        <v>389</v>
      </c>
      <c r="LG5" s="409" t="s">
        <v>389</v>
      </c>
      <c r="LH5" s="409" t="s">
        <v>389</v>
      </c>
      <c r="LI5" s="409" t="s">
        <v>389</v>
      </c>
      <c r="LJ5" s="409" t="s">
        <v>389</v>
      </c>
      <c r="LK5" s="409" t="s">
        <v>389</v>
      </c>
      <c r="LL5" s="409" t="s">
        <v>389</v>
      </c>
      <c r="LM5" s="410">
        <f t="shared" si="36"/>
        <v>0</v>
      </c>
      <c r="LN5" s="60"/>
      <c r="LO5" s="408" t="s">
        <v>389</v>
      </c>
      <c r="LP5" s="409" t="s">
        <v>389</v>
      </c>
      <c r="LQ5" s="409" t="s">
        <v>389</v>
      </c>
      <c r="LR5" s="409" t="s">
        <v>389</v>
      </c>
      <c r="LS5" s="409" t="s">
        <v>389</v>
      </c>
      <c r="LT5" s="409" t="s">
        <v>389</v>
      </c>
      <c r="LU5" s="409" t="s">
        <v>389</v>
      </c>
      <c r="LV5" s="410">
        <f t="shared" si="37"/>
        <v>0</v>
      </c>
      <c r="LW5" s="60"/>
      <c r="LX5" s="408" t="s">
        <v>389</v>
      </c>
      <c r="LY5" s="409" t="s">
        <v>389</v>
      </c>
      <c r="LZ5" s="409" t="s">
        <v>389</v>
      </c>
      <c r="MA5" s="409" t="s">
        <v>389</v>
      </c>
      <c r="MB5" s="409" t="s">
        <v>389</v>
      </c>
      <c r="MC5" s="409" t="s">
        <v>389</v>
      </c>
      <c r="MD5" s="409" t="s">
        <v>389</v>
      </c>
      <c r="ME5" s="410">
        <f t="shared" si="38"/>
        <v>0</v>
      </c>
      <c r="MF5" s="60"/>
      <c r="MG5" s="408" t="s">
        <v>389</v>
      </c>
      <c r="MH5" s="409" t="s">
        <v>389</v>
      </c>
      <c r="MI5" s="409" t="s">
        <v>389</v>
      </c>
      <c r="MJ5" s="409" t="s">
        <v>389</v>
      </c>
      <c r="MK5" s="409" t="s">
        <v>389</v>
      </c>
      <c r="ML5" s="409" t="s">
        <v>389</v>
      </c>
      <c r="MM5" s="409" t="s">
        <v>389</v>
      </c>
      <c r="MN5" s="410">
        <f t="shared" si="39"/>
        <v>0</v>
      </c>
      <c r="MO5" s="60"/>
      <c r="MP5" s="408" t="s">
        <v>389</v>
      </c>
      <c r="MQ5" s="409" t="s">
        <v>389</v>
      </c>
      <c r="MR5" s="409" t="s">
        <v>389</v>
      </c>
      <c r="MS5" s="409" t="s">
        <v>389</v>
      </c>
      <c r="MT5" s="409" t="s">
        <v>389</v>
      </c>
      <c r="MU5" s="409" t="s">
        <v>389</v>
      </c>
      <c r="MV5" s="409" t="s">
        <v>389</v>
      </c>
      <c r="MW5" s="410">
        <f t="shared" si="40"/>
        <v>0</v>
      </c>
      <c r="MX5" s="60"/>
      <c r="MY5" s="408" t="s">
        <v>389</v>
      </c>
      <c r="MZ5" s="409" t="s">
        <v>389</v>
      </c>
      <c r="NA5" s="409" t="s">
        <v>389</v>
      </c>
      <c r="NB5" s="409" t="s">
        <v>389</v>
      </c>
      <c r="NC5" s="409" t="s">
        <v>389</v>
      </c>
      <c r="ND5" s="409" t="s">
        <v>389</v>
      </c>
      <c r="NE5" s="409" t="s">
        <v>389</v>
      </c>
      <c r="NF5" s="410">
        <f t="shared" si="41"/>
        <v>0</v>
      </c>
      <c r="NG5" s="60"/>
      <c r="NH5" s="408" t="s">
        <v>389</v>
      </c>
      <c r="NI5" s="409" t="s">
        <v>389</v>
      </c>
      <c r="NJ5" s="409" t="s">
        <v>389</v>
      </c>
      <c r="NK5" s="409" t="s">
        <v>389</v>
      </c>
      <c r="NL5" s="409" t="s">
        <v>389</v>
      </c>
      <c r="NM5" s="409" t="s">
        <v>389</v>
      </c>
      <c r="NN5" s="409" t="s">
        <v>389</v>
      </c>
      <c r="NO5" s="410">
        <f t="shared" si="42"/>
        <v>0</v>
      </c>
      <c r="NP5" s="60"/>
      <c r="NQ5" s="408" t="s">
        <v>389</v>
      </c>
      <c r="NR5" s="409" t="s">
        <v>389</v>
      </c>
      <c r="NS5" s="409" t="s">
        <v>389</v>
      </c>
      <c r="NT5" s="409" t="s">
        <v>389</v>
      </c>
      <c r="NU5" s="409" t="s">
        <v>389</v>
      </c>
      <c r="NV5" s="409" t="s">
        <v>389</v>
      </c>
      <c r="NW5" s="409" t="s">
        <v>389</v>
      </c>
      <c r="NX5" s="410">
        <f t="shared" si="43"/>
        <v>0</v>
      </c>
      <c r="NY5" s="60"/>
      <c r="NZ5" s="408" t="s">
        <v>389</v>
      </c>
      <c r="OA5" s="409" t="s">
        <v>389</v>
      </c>
      <c r="OB5" s="409" t="s">
        <v>389</v>
      </c>
      <c r="OC5" s="409" t="s">
        <v>389</v>
      </c>
      <c r="OD5" s="409" t="s">
        <v>389</v>
      </c>
      <c r="OE5" s="409" t="s">
        <v>389</v>
      </c>
      <c r="OF5" s="409" t="s">
        <v>389</v>
      </c>
      <c r="OG5" s="410">
        <f t="shared" si="44"/>
        <v>0</v>
      </c>
      <c r="OH5" s="60"/>
      <c r="OI5" s="408" t="s">
        <v>389</v>
      </c>
      <c r="OJ5" s="409" t="s">
        <v>389</v>
      </c>
      <c r="OK5" s="409" t="s">
        <v>389</v>
      </c>
      <c r="OL5" s="409" t="s">
        <v>389</v>
      </c>
      <c r="OM5" s="409" t="s">
        <v>389</v>
      </c>
      <c r="ON5" s="409" t="s">
        <v>389</v>
      </c>
      <c r="OO5" s="409" t="s">
        <v>389</v>
      </c>
      <c r="OP5" s="410">
        <f t="shared" si="45"/>
        <v>0</v>
      </c>
      <c r="OQ5" s="60"/>
      <c r="OR5" s="408" t="s">
        <v>389</v>
      </c>
      <c r="OS5" s="409" t="s">
        <v>389</v>
      </c>
      <c r="OT5" s="409" t="s">
        <v>389</v>
      </c>
      <c r="OU5" s="409" t="s">
        <v>389</v>
      </c>
      <c r="OV5" s="409" t="s">
        <v>389</v>
      </c>
      <c r="OW5" s="409" t="s">
        <v>389</v>
      </c>
      <c r="OX5" s="409" t="s">
        <v>389</v>
      </c>
      <c r="OY5" s="410">
        <f t="shared" si="46"/>
        <v>0</v>
      </c>
      <c r="OZ5" s="60"/>
      <c r="PA5" s="408" t="s">
        <v>389</v>
      </c>
      <c r="PB5" s="409" t="s">
        <v>389</v>
      </c>
      <c r="PC5" s="409" t="s">
        <v>389</v>
      </c>
      <c r="PD5" s="409" t="s">
        <v>389</v>
      </c>
      <c r="PE5" s="409" t="s">
        <v>389</v>
      </c>
      <c r="PF5" s="409" t="s">
        <v>389</v>
      </c>
      <c r="PG5" s="409" t="s">
        <v>389</v>
      </c>
      <c r="PH5" s="410">
        <f t="shared" si="47"/>
        <v>0</v>
      </c>
      <c r="PI5" s="60"/>
      <c r="PJ5" s="408" t="s">
        <v>389</v>
      </c>
      <c r="PK5" s="409" t="s">
        <v>389</v>
      </c>
      <c r="PL5" s="409" t="s">
        <v>389</v>
      </c>
      <c r="PM5" s="409" t="s">
        <v>389</v>
      </c>
      <c r="PN5" s="409" t="s">
        <v>389</v>
      </c>
      <c r="PO5" s="409" t="s">
        <v>389</v>
      </c>
      <c r="PP5" s="409" t="s">
        <v>389</v>
      </c>
      <c r="PQ5" s="410">
        <f t="shared" si="48"/>
        <v>0</v>
      </c>
      <c r="PR5" s="60"/>
      <c r="PS5" s="408" t="s">
        <v>389</v>
      </c>
      <c r="PT5" s="409" t="s">
        <v>389</v>
      </c>
      <c r="PU5" s="409" t="s">
        <v>389</v>
      </c>
      <c r="PV5" s="409" t="s">
        <v>389</v>
      </c>
      <c r="PW5" s="409" t="s">
        <v>389</v>
      </c>
      <c r="PX5" s="409" t="s">
        <v>389</v>
      </c>
      <c r="PY5" s="409" t="s">
        <v>389</v>
      </c>
      <c r="PZ5" s="410">
        <f t="shared" si="49"/>
        <v>0</v>
      </c>
      <c r="QA5" s="60"/>
      <c r="QB5" s="408" t="s">
        <v>389</v>
      </c>
      <c r="QC5" s="409" t="s">
        <v>389</v>
      </c>
      <c r="QD5" s="409" t="s">
        <v>389</v>
      </c>
      <c r="QE5" s="409" t="s">
        <v>389</v>
      </c>
      <c r="QF5" s="409" t="s">
        <v>389</v>
      </c>
      <c r="QG5" s="409" t="s">
        <v>389</v>
      </c>
      <c r="QH5" s="409" t="s">
        <v>389</v>
      </c>
      <c r="QI5" s="410">
        <f t="shared" si="50"/>
        <v>0</v>
      </c>
      <c r="QJ5" s="60"/>
      <c r="QK5" s="408" t="s">
        <v>389</v>
      </c>
      <c r="QL5" s="409" t="s">
        <v>389</v>
      </c>
      <c r="QM5" s="409" t="s">
        <v>389</v>
      </c>
      <c r="QN5" s="409" t="s">
        <v>389</v>
      </c>
      <c r="QO5" s="409" t="s">
        <v>389</v>
      </c>
      <c r="QP5" s="409" t="s">
        <v>389</v>
      </c>
      <c r="QQ5" s="409" t="s">
        <v>389</v>
      </c>
      <c r="QR5" s="410">
        <f t="shared" si="51"/>
        <v>0</v>
      </c>
      <c r="QS5" s="60"/>
      <c r="QT5" s="408" t="s">
        <v>389</v>
      </c>
      <c r="QU5" s="409" t="s">
        <v>389</v>
      </c>
      <c r="QV5" s="409" t="s">
        <v>389</v>
      </c>
      <c r="QW5" s="409" t="s">
        <v>389</v>
      </c>
      <c r="QX5" s="409" t="s">
        <v>389</v>
      </c>
      <c r="QY5" s="409" t="s">
        <v>389</v>
      </c>
      <c r="QZ5" s="409" t="s">
        <v>389</v>
      </c>
      <c r="RA5" s="410">
        <f t="shared" si="52"/>
        <v>0</v>
      </c>
      <c r="RB5" s="30"/>
      <c r="RC5" s="57"/>
    </row>
    <row r="6" hidden="1">
      <c r="A6" s="32" t="s">
        <v>391</v>
      </c>
      <c r="B6" s="60"/>
      <c r="C6" s="408" t="s">
        <v>389</v>
      </c>
      <c r="D6" s="409" t="s">
        <v>389</v>
      </c>
      <c r="E6" s="409" t="s">
        <v>389</v>
      </c>
      <c r="F6" s="409" t="s">
        <v>389</v>
      </c>
      <c r="G6" s="409" t="s">
        <v>389</v>
      </c>
      <c r="H6" s="409" t="s">
        <v>389</v>
      </c>
      <c r="I6" s="409" t="s">
        <v>389</v>
      </c>
      <c r="J6" s="410">
        <f t="shared" si="1"/>
        <v>0</v>
      </c>
      <c r="K6" s="60"/>
      <c r="L6" s="408" t="s">
        <v>389</v>
      </c>
      <c r="M6" s="409" t="s">
        <v>389</v>
      </c>
      <c r="N6" s="409" t="s">
        <v>389</v>
      </c>
      <c r="O6" s="409" t="s">
        <v>389</v>
      </c>
      <c r="P6" s="409" t="s">
        <v>389</v>
      </c>
      <c r="Q6" s="409" t="s">
        <v>389</v>
      </c>
      <c r="R6" s="409" t="s">
        <v>389</v>
      </c>
      <c r="S6" s="410">
        <f t="shared" si="2"/>
        <v>0</v>
      </c>
      <c r="T6" s="60"/>
      <c r="U6" s="408" t="s">
        <v>389</v>
      </c>
      <c r="V6" s="409" t="s">
        <v>389</v>
      </c>
      <c r="W6" s="409" t="s">
        <v>389</v>
      </c>
      <c r="X6" s="409" t="s">
        <v>389</v>
      </c>
      <c r="Y6" s="409" t="s">
        <v>389</v>
      </c>
      <c r="Z6" s="409" t="s">
        <v>389</v>
      </c>
      <c r="AA6" s="409" t="s">
        <v>389</v>
      </c>
      <c r="AB6" s="410">
        <f t="shared" si="3"/>
        <v>0</v>
      </c>
      <c r="AC6" s="60"/>
      <c r="AD6" s="408" t="s">
        <v>389</v>
      </c>
      <c r="AE6" s="409" t="s">
        <v>389</v>
      </c>
      <c r="AF6" s="409" t="s">
        <v>389</v>
      </c>
      <c r="AG6" s="409" t="s">
        <v>389</v>
      </c>
      <c r="AH6" s="409" t="s">
        <v>389</v>
      </c>
      <c r="AI6" s="409" t="s">
        <v>389</v>
      </c>
      <c r="AJ6" s="409" t="s">
        <v>389</v>
      </c>
      <c r="AK6" s="410">
        <f t="shared" si="4"/>
        <v>0</v>
      </c>
      <c r="AL6" s="60"/>
      <c r="AM6" s="408" t="s">
        <v>389</v>
      </c>
      <c r="AN6" s="409" t="s">
        <v>389</v>
      </c>
      <c r="AO6" s="409" t="s">
        <v>389</v>
      </c>
      <c r="AP6" s="409" t="s">
        <v>389</v>
      </c>
      <c r="AQ6" s="409" t="s">
        <v>389</v>
      </c>
      <c r="AR6" s="409" t="s">
        <v>389</v>
      </c>
      <c r="AS6" s="409" t="s">
        <v>389</v>
      </c>
      <c r="AT6" s="410">
        <f t="shared" si="5"/>
        <v>0</v>
      </c>
      <c r="AU6" s="60"/>
      <c r="AV6" s="408" t="s">
        <v>389</v>
      </c>
      <c r="AW6" s="409" t="s">
        <v>389</v>
      </c>
      <c r="AX6" s="409" t="s">
        <v>389</v>
      </c>
      <c r="AY6" s="409" t="s">
        <v>389</v>
      </c>
      <c r="AZ6" s="409" t="s">
        <v>389</v>
      </c>
      <c r="BA6" s="409" t="s">
        <v>389</v>
      </c>
      <c r="BB6" s="409" t="s">
        <v>389</v>
      </c>
      <c r="BC6" s="410">
        <f t="shared" si="6"/>
        <v>0</v>
      </c>
      <c r="BD6" s="60"/>
      <c r="BE6" s="408" t="s">
        <v>389</v>
      </c>
      <c r="BF6" s="409" t="s">
        <v>389</v>
      </c>
      <c r="BG6" s="409" t="s">
        <v>389</v>
      </c>
      <c r="BH6" s="409" t="s">
        <v>389</v>
      </c>
      <c r="BI6" s="409" t="s">
        <v>389</v>
      </c>
      <c r="BJ6" s="409" t="s">
        <v>389</v>
      </c>
      <c r="BK6" s="409" t="s">
        <v>389</v>
      </c>
      <c r="BL6" s="410">
        <f t="shared" si="7"/>
        <v>0</v>
      </c>
      <c r="BM6" s="60"/>
      <c r="BN6" s="408" t="s">
        <v>389</v>
      </c>
      <c r="BO6" s="409" t="s">
        <v>389</v>
      </c>
      <c r="BP6" s="409" t="s">
        <v>389</v>
      </c>
      <c r="BQ6" s="409" t="s">
        <v>389</v>
      </c>
      <c r="BR6" s="409" t="s">
        <v>389</v>
      </c>
      <c r="BS6" s="409" t="s">
        <v>389</v>
      </c>
      <c r="BT6" s="409" t="s">
        <v>389</v>
      </c>
      <c r="BU6" s="410">
        <f t="shared" si="8"/>
        <v>0</v>
      </c>
      <c r="BV6" s="60"/>
      <c r="BW6" s="408" t="s">
        <v>389</v>
      </c>
      <c r="BX6" s="409" t="s">
        <v>389</v>
      </c>
      <c r="BY6" s="409" t="s">
        <v>389</v>
      </c>
      <c r="BZ6" s="409" t="s">
        <v>389</v>
      </c>
      <c r="CA6" s="409" t="s">
        <v>389</v>
      </c>
      <c r="CB6" s="409" t="s">
        <v>389</v>
      </c>
      <c r="CC6" s="409" t="s">
        <v>389</v>
      </c>
      <c r="CD6" s="410">
        <f t="shared" si="9"/>
        <v>0</v>
      </c>
      <c r="CE6" s="60"/>
      <c r="CF6" s="408" t="s">
        <v>389</v>
      </c>
      <c r="CG6" s="409" t="s">
        <v>389</v>
      </c>
      <c r="CH6" s="409" t="s">
        <v>389</v>
      </c>
      <c r="CI6" s="409" t="s">
        <v>389</v>
      </c>
      <c r="CJ6" s="409" t="s">
        <v>389</v>
      </c>
      <c r="CK6" s="409" t="s">
        <v>389</v>
      </c>
      <c r="CL6" s="409" t="s">
        <v>389</v>
      </c>
      <c r="CM6" s="410">
        <f t="shared" si="10"/>
        <v>0</v>
      </c>
      <c r="CN6" s="60"/>
      <c r="CO6" s="408" t="s">
        <v>389</v>
      </c>
      <c r="CP6" s="409" t="s">
        <v>389</v>
      </c>
      <c r="CQ6" s="409" t="s">
        <v>389</v>
      </c>
      <c r="CR6" s="409" t="s">
        <v>389</v>
      </c>
      <c r="CS6" s="409" t="s">
        <v>389</v>
      </c>
      <c r="CT6" s="409" t="s">
        <v>389</v>
      </c>
      <c r="CU6" s="409" t="s">
        <v>389</v>
      </c>
      <c r="CV6" s="410">
        <f t="shared" si="11"/>
        <v>0</v>
      </c>
      <c r="CW6" s="60"/>
      <c r="CX6" s="408" t="s">
        <v>389</v>
      </c>
      <c r="CY6" s="409" t="s">
        <v>389</v>
      </c>
      <c r="CZ6" s="409" t="s">
        <v>389</v>
      </c>
      <c r="DA6" s="409" t="s">
        <v>389</v>
      </c>
      <c r="DB6" s="409" t="s">
        <v>389</v>
      </c>
      <c r="DC6" s="409" t="s">
        <v>389</v>
      </c>
      <c r="DD6" s="409" t="s">
        <v>389</v>
      </c>
      <c r="DE6" s="410">
        <f t="shared" si="12"/>
        <v>0</v>
      </c>
      <c r="DF6" s="60"/>
      <c r="DG6" s="408" t="s">
        <v>389</v>
      </c>
      <c r="DH6" s="409" t="s">
        <v>389</v>
      </c>
      <c r="DI6" s="409" t="s">
        <v>389</v>
      </c>
      <c r="DJ6" s="409" t="s">
        <v>389</v>
      </c>
      <c r="DK6" s="409" t="s">
        <v>389</v>
      </c>
      <c r="DL6" s="409" t="s">
        <v>389</v>
      </c>
      <c r="DM6" s="409" t="s">
        <v>389</v>
      </c>
      <c r="DN6" s="410">
        <f t="shared" si="13"/>
        <v>0</v>
      </c>
      <c r="DO6" s="60"/>
      <c r="DP6" s="408" t="s">
        <v>389</v>
      </c>
      <c r="DQ6" s="409" t="s">
        <v>389</v>
      </c>
      <c r="DR6" s="409" t="s">
        <v>389</v>
      </c>
      <c r="DS6" s="409" t="s">
        <v>389</v>
      </c>
      <c r="DT6" s="409" t="s">
        <v>389</v>
      </c>
      <c r="DU6" s="409" t="s">
        <v>389</v>
      </c>
      <c r="DV6" s="409" t="s">
        <v>389</v>
      </c>
      <c r="DW6" s="410">
        <f t="shared" si="14"/>
        <v>0</v>
      </c>
      <c r="DX6" s="60"/>
      <c r="DY6" s="408" t="s">
        <v>389</v>
      </c>
      <c r="DZ6" s="409" t="s">
        <v>389</v>
      </c>
      <c r="EA6" s="409" t="s">
        <v>389</v>
      </c>
      <c r="EB6" s="409" t="s">
        <v>389</v>
      </c>
      <c r="EC6" s="409" t="s">
        <v>389</v>
      </c>
      <c r="ED6" s="409" t="s">
        <v>389</v>
      </c>
      <c r="EE6" s="409" t="s">
        <v>389</v>
      </c>
      <c r="EF6" s="410">
        <f t="shared" si="15"/>
        <v>0</v>
      </c>
      <c r="EG6" s="60"/>
      <c r="EH6" s="408" t="s">
        <v>389</v>
      </c>
      <c r="EI6" s="409" t="s">
        <v>389</v>
      </c>
      <c r="EJ6" s="409" t="s">
        <v>389</v>
      </c>
      <c r="EK6" s="409" t="s">
        <v>389</v>
      </c>
      <c r="EL6" s="409" t="s">
        <v>389</v>
      </c>
      <c r="EM6" s="409" t="s">
        <v>389</v>
      </c>
      <c r="EN6" s="409" t="s">
        <v>389</v>
      </c>
      <c r="EO6" s="410">
        <f t="shared" si="16"/>
        <v>0</v>
      </c>
      <c r="EP6" s="60"/>
      <c r="EQ6" s="408" t="s">
        <v>389</v>
      </c>
      <c r="ER6" s="409" t="s">
        <v>389</v>
      </c>
      <c r="ES6" s="409" t="s">
        <v>389</v>
      </c>
      <c r="ET6" s="409" t="s">
        <v>389</v>
      </c>
      <c r="EU6" s="409" t="s">
        <v>389</v>
      </c>
      <c r="EV6" s="409" t="s">
        <v>389</v>
      </c>
      <c r="EW6" s="409" t="s">
        <v>389</v>
      </c>
      <c r="EX6" s="410">
        <f t="shared" si="17"/>
        <v>0</v>
      </c>
      <c r="EY6" s="60"/>
      <c r="EZ6" s="408" t="s">
        <v>389</v>
      </c>
      <c r="FA6" s="409" t="s">
        <v>389</v>
      </c>
      <c r="FB6" s="409" t="s">
        <v>389</v>
      </c>
      <c r="FC6" s="409" t="s">
        <v>389</v>
      </c>
      <c r="FD6" s="409" t="s">
        <v>389</v>
      </c>
      <c r="FE6" s="409" t="s">
        <v>389</v>
      </c>
      <c r="FF6" s="409" t="s">
        <v>389</v>
      </c>
      <c r="FG6" s="410">
        <f t="shared" si="18"/>
        <v>0</v>
      </c>
      <c r="FH6" s="60"/>
      <c r="FI6" s="408" t="s">
        <v>389</v>
      </c>
      <c r="FJ6" s="409" t="s">
        <v>389</v>
      </c>
      <c r="FK6" s="409" t="s">
        <v>389</v>
      </c>
      <c r="FL6" s="409" t="s">
        <v>389</v>
      </c>
      <c r="FM6" s="409" t="s">
        <v>389</v>
      </c>
      <c r="FN6" s="409" t="s">
        <v>389</v>
      </c>
      <c r="FO6" s="409" t="s">
        <v>389</v>
      </c>
      <c r="FP6" s="410">
        <f t="shared" si="19"/>
        <v>0</v>
      </c>
      <c r="FQ6" s="60"/>
      <c r="FR6" s="408" t="s">
        <v>389</v>
      </c>
      <c r="FS6" s="409" t="s">
        <v>389</v>
      </c>
      <c r="FT6" s="409" t="s">
        <v>389</v>
      </c>
      <c r="FU6" s="409" t="s">
        <v>389</v>
      </c>
      <c r="FV6" s="409" t="s">
        <v>389</v>
      </c>
      <c r="FW6" s="409" t="s">
        <v>389</v>
      </c>
      <c r="FX6" s="409" t="s">
        <v>389</v>
      </c>
      <c r="FY6" s="410">
        <f t="shared" si="20"/>
        <v>0</v>
      </c>
      <c r="FZ6" s="60"/>
      <c r="GA6" s="408" t="s">
        <v>389</v>
      </c>
      <c r="GB6" s="409" t="s">
        <v>389</v>
      </c>
      <c r="GC6" s="409" t="s">
        <v>389</v>
      </c>
      <c r="GD6" s="409" t="s">
        <v>389</v>
      </c>
      <c r="GE6" s="409" t="s">
        <v>389</v>
      </c>
      <c r="GF6" s="409" t="s">
        <v>389</v>
      </c>
      <c r="GG6" s="409" t="s">
        <v>389</v>
      </c>
      <c r="GH6" s="410">
        <f t="shared" si="21"/>
        <v>0</v>
      </c>
      <c r="GI6" s="60"/>
      <c r="GJ6" s="408" t="s">
        <v>389</v>
      </c>
      <c r="GK6" s="409" t="s">
        <v>389</v>
      </c>
      <c r="GL6" s="409" t="s">
        <v>389</v>
      </c>
      <c r="GM6" s="409" t="s">
        <v>389</v>
      </c>
      <c r="GN6" s="409" t="s">
        <v>389</v>
      </c>
      <c r="GO6" s="409" t="s">
        <v>389</v>
      </c>
      <c r="GP6" s="409" t="s">
        <v>389</v>
      </c>
      <c r="GQ6" s="410">
        <f t="shared" si="22"/>
        <v>0</v>
      </c>
      <c r="GR6" s="60"/>
      <c r="GS6" s="408" t="s">
        <v>389</v>
      </c>
      <c r="GT6" s="409" t="s">
        <v>389</v>
      </c>
      <c r="GU6" s="409" t="s">
        <v>389</v>
      </c>
      <c r="GV6" s="409" t="s">
        <v>389</v>
      </c>
      <c r="GW6" s="409" t="s">
        <v>389</v>
      </c>
      <c r="GX6" s="409" t="s">
        <v>389</v>
      </c>
      <c r="GY6" s="409" t="s">
        <v>389</v>
      </c>
      <c r="GZ6" s="410">
        <f t="shared" si="23"/>
        <v>0</v>
      </c>
      <c r="HA6" s="60"/>
      <c r="HB6" s="408" t="s">
        <v>389</v>
      </c>
      <c r="HC6" s="409" t="s">
        <v>389</v>
      </c>
      <c r="HD6" s="409" t="s">
        <v>389</v>
      </c>
      <c r="HE6" s="409" t="s">
        <v>389</v>
      </c>
      <c r="HF6" s="409" t="s">
        <v>389</v>
      </c>
      <c r="HG6" s="409" t="s">
        <v>389</v>
      </c>
      <c r="HH6" s="409" t="s">
        <v>389</v>
      </c>
      <c r="HI6" s="410">
        <f t="shared" si="24"/>
        <v>0</v>
      </c>
      <c r="HJ6" s="60"/>
      <c r="HK6" s="408" t="s">
        <v>389</v>
      </c>
      <c r="HL6" s="409" t="s">
        <v>389</v>
      </c>
      <c r="HM6" s="409" t="s">
        <v>389</v>
      </c>
      <c r="HN6" s="409" t="s">
        <v>389</v>
      </c>
      <c r="HO6" s="409" t="s">
        <v>389</v>
      </c>
      <c r="HP6" s="409" t="s">
        <v>389</v>
      </c>
      <c r="HQ6" s="409" t="s">
        <v>389</v>
      </c>
      <c r="HR6" s="410">
        <f t="shared" si="25"/>
        <v>0</v>
      </c>
      <c r="HS6" s="60"/>
      <c r="HT6" s="408" t="s">
        <v>389</v>
      </c>
      <c r="HU6" s="409" t="s">
        <v>389</v>
      </c>
      <c r="HV6" s="409" t="s">
        <v>389</v>
      </c>
      <c r="HW6" s="409" t="s">
        <v>389</v>
      </c>
      <c r="HX6" s="409" t="s">
        <v>389</v>
      </c>
      <c r="HY6" s="409" t="s">
        <v>389</v>
      </c>
      <c r="HZ6" s="409" t="s">
        <v>389</v>
      </c>
      <c r="IA6" s="410">
        <f t="shared" si="26"/>
        <v>0</v>
      </c>
      <c r="IB6" s="60"/>
      <c r="IC6" s="408" t="s">
        <v>389</v>
      </c>
      <c r="ID6" s="409" t="s">
        <v>389</v>
      </c>
      <c r="IE6" s="409" t="s">
        <v>389</v>
      </c>
      <c r="IF6" s="409" t="s">
        <v>389</v>
      </c>
      <c r="IG6" s="409" t="s">
        <v>389</v>
      </c>
      <c r="IH6" s="409" t="s">
        <v>389</v>
      </c>
      <c r="II6" s="409" t="s">
        <v>389</v>
      </c>
      <c r="IJ6" s="410">
        <f t="shared" si="27"/>
        <v>0</v>
      </c>
      <c r="IK6" s="60"/>
      <c r="IL6" s="408" t="s">
        <v>389</v>
      </c>
      <c r="IM6" s="409" t="s">
        <v>389</v>
      </c>
      <c r="IN6" s="409" t="s">
        <v>389</v>
      </c>
      <c r="IO6" s="409" t="s">
        <v>389</v>
      </c>
      <c r="IP6" s="409" t="s">
        <v>389</v>
      </c>
      <c r="IQ6" s="409" t="s">
        <v>389</v>
      </c>
      <c r="IR6" s="409" t="s">
        <v>389</v>
      </c>
      <c r="IS6" s="410">
        <f t="shared" si="28"/>
        <v>0</v>
      </c>
      <c r="IT6" s="60"/>
      <c r="IU6" s="408" t="s">
        <v>389</v>
      </c>
      <c r="IV6" s="409" t="s">
        <v>389</v>
      </c>
      <c r="IW6" s="409" t="s">
        <v>389</v>
      </c>
      <c r="IX6" s="409" t="s">
        <v>389</v>
      </c>
      <c r="IY6" s="409" t="s">
        <v>389</v>
      </c>
      <c r="IZ6" s="409" t="s">
        <v>389</v>
      </c>
      <c r="JA6" s="409" t="s">
        <v>389</v>
      </c>
      <c r="JB6" s="410">
        <f t="shared" si="29"/>
        <v>0</v>
      </c>
      <c r="JC6" s="60"/>
      <c r="JD6" s="408" t="s">
        <v>389</v>
      </c>
      <c r="JE6" s="409" t="s">
        <v>389</v>
      </c>
      <c r="JF6" s="409" t="s">
        <v>389</v>
      </c>
      <c r="JG6" s="409" t="s">
        <v>389</v>
      </c>
      <c r="JH6" s="409" t="s">
        <v>389</v>
      </c>
      <c r="JI6" s="409" t="s">
        <v>389</v>
      </c>
      <c r="JJ6" s="409" t="s">
        <v>389</v>
      </c>
      <c r="JK6" s="410">
        <f t="shared" si="30"/>
        <v>0</v>
      </c>
      <c r="JL6" s="60"/>
      <c r="JM6" s="408" t="s">
        <v>389</v>
      </c>
      <c r="JN6" s="409" t="s">
        <v>389</v>
      </c>
      <c r="JO6" s="409" t="s">
        <v>389</v>
      </c>
      <c r="JP6" s="409" t="s">
        <v>389</v>
      </c>
      <c r="JQ6" s="409" t="s">
        <v>389</v>
      </c>
      <c r="JR6" s="409" t="s">
        <v>389</v>
      </c>
      <c r="JS6" s="409" t="s">
        <v>389</v>
      </c>
      <c r="JT6" s="410">
        <f t="shared" si="31"/>
        <v>0</v>
      </c>
      <c r="JU6" s="60"/>
      <c r="JV6" s="408" t="s">
        <v>389</v>
      </c>
      <c r="JW6" s="409" t="s">
        <v>389</v>
      </c>
      <c r="JX6" s="409" t="s">
        <v>389</v>
      </c>
      <c r="JY6" s="409" t="s">
        <v>389</v>
      </c>
      <c r="JZ6" s="409" t="s">
        <v>389</v>
      </c>
      <c r="KA6" s="409" t="s">
        <v>389</v>
      </c>
      <c r="KB6" s="409" t="s">
        <v>389</v>
      </c>
      <c r="KC6" s="410">
        <f t="shared" si="32"/>
        <v>0</v>
      </c>
      <c r="KD6" s="60"/>
      <c r="KE6" s="408" t="s">
        <v>389</v>
      </c>
      <c r="KF6" s="409" t="s">
        <v>389</v>
      </c>
      <c r="KG6" s="409" t="s">
        <v>389</v>
      </c>
      <c r="KH6" s="409" t="s">
        <v>389</v>
      </c>
      <c r="KI6" s="409" t="s">
        <v>389</v>
      </c>
      <c r="KJ6" s="409" t="s">
        <v>389</v>
      </c>
      <c r="KK6" s="409" t="s">
        <v>389</v>
      </c>
      <c r="KL6" s="410">
        <f t="shared" si="33"/>
        <v>0</v>
      </c>
      <c r="KM6" s="60"/>
      <c r="KN6" s="408" t="s">
        <v>389</v>
      </c>
      <c r="KO6" s="409" t="s">
        <v>389</v>
      </c>
      <c r="KP6" s="409" t="s">
        <v>389</v>
      </c>
      <c r="KQ6" s="409" t="s">
        <v>389</v>
      </c>
      <c r="KR6" s="409" t="s">
        <v>389</v>
      </c>
      <c r="KS6" s="409" t="s">
        <v>389</v>
      </c>
      <c r="KT6" s="409" t="s">
        <v>389</v>
      </c>
      <c r="KU6" s="410">
        <f t="shared" si="34"/>
        <v>0</v>
      </c>
      <c r="KV6" s="60"/>
      <c r="KW6" s="408" t="s">
        <v>389</v>
      </c>
      <c r="KX6" s="409" t="s">
        <v>389</v>
      </c>
      <c r="KY6" s="409" t="s">
        <v>389</v>
      </c>
      <c r="KZ6" s="409" t="s">
        <v>389</v>
      </c>
      <c r="LA6" s="409" t="s">
        <v>389</v>
      </c>
      <c r="LB6" s="409" t="s">
        <v>389</v>
      </c>
      <c r="LC6" s="409" t="s">
        <v>389</v>
      </c>
      <c r="LD6" s="410">
        <f t="shared" si="35"/>
        <v>0</v>
      </c>
      <c r="LE6" s="60"/>
      <c r="LF6" s="408" t="s">
        <v>389</v>
      </c>
      <c r="LG6" s="409" t="s">
        <v>389</v>
      </c>
      <c r="LH6" s="409" t="s">
        <v>389</v>
      </c>
      <c r="LI6" s="409" t="s">
        <v>389</v>
      </c>
      <c r="LJ6" s="409" t="s">
        <v>389</v>
      </c>
      <c r="LK6" s="409" t="s">
        <v>389</v>
      </c>
      <c r="LL6" s="409" t="s">
        <v>389</v>
      </c>
      <c r="LM6" s="410">
        <f t="shared" si="36"/>
        <v>0</v>
      </c>
      <c r="LN6" s="60"/>
      <c r="LO6" s="408" t="s">
        <v>389</v>
      </c>
      <c r="LP6" s="409" t="s">
        <v>389</v>
      </c>
      <c r="LQ6" s="409" t="s">
        <v>389</v>
      </c>
      <c r="LR6" s="409" t="s">
        <v>389</v>
      </c>
      <c r="LS6" s="409" t="s">
        <v>389</v>
      </c>
      <c r="LT6" s="409" t="s">
        <v>389</v>
      </c>
      <c r="LU6" s="409" t="s">
        <v>389</v>
      </c>
      <c r="LV6" s="410">
        <f t="shared" si="37"/>
        <v>0</v>
      </c>
      <c r="LW6" s="60"/>
      <c r="LX6" s="408" t="s">
        <v>389</v>
      </c>
      <c r="LY6" s="409" t="s">
        <v>389</v>
      </c>
      <c r="LZ6" s="409" t="s">
        <v>389</v>
      </c>
      <c r="MA6" s="409" t="s">
        <v>389</v>
      </c>
      <c r="MB6" s="409" t="s">
        <v>389</v>
      </c>
      <c r="MC6" s="409" t="s">
        <v>389</v>
      </c>
      <c r="MD6" s="409" t="s">
        <v>389</v>
      </c>
      <c r="ME6" s="410">
        <f t="shared" si="38"/>
        <v>0</v>
      </c>
      <c r="MF6" s="60"/>
      <c r="MG6" s="408" t="s">
        <v>389</v>
      </c>
      <c r="MH6" s="409" t="s">
        <v>389</v>
      </c>
      <c r="MI6" s="409" t="s">
        <v>389</v>
      </c>
      <c r="MJ6" s="409" t="s">
        <v>389</v>
      </c>
      <c r="MK6" s="409" t="s">
        <v>389</v>
      </c>
      <c r="ML6" s="409" t="s">
        <v>389</v>
      </c>
      <c r="MM6" s="409" t="s">
        <v>389</v>
      </c>
      <c r="MN6" s="410">
        <f t="shared" si="39"/>
        <v>0</v>
      </c>
      <c r="MO6" s="60"/>
      <c r="MP6" s="408" t="s">
        <v>389</v>
      </c>
      <c r="MQ6" s="409" t="s">
        <v>389</v>
      </c>
      <c r="MR6" s="409" t="s">
        <v>389</v>
      </c>
      <c r="MS6" s="409" t="s">
        <v>389</v>
      </c>
      <c r="MT6" s="409" t="s">
        <v>389</v>
      </c>
      <c r="MU6" s="409" t="s">
        <v>389</v>
      </c>
      <c r="MV6" s="409" t="s">
        <v>389</v>
      </c>
      <c r="MW6" s="410">
        <f t="shared" si="40"/>
        <v>0</v>
      </c>
      <c r="MX6" s="60"/>
      <c r="MY6" s="408" t="s">
        <v>389</v>
      </c>
      <c r="MZ6" s="409" t="s">
        <v>389</v>
      </c>
      <c r="NA6" s="409" t="s">
        <v>389</v>
      </c>
      <c r="NB6" s="409" t="s">
        <v>389</v>
      </c>
      <c r="NC6" s="409" t="s">
        <v>389</v>
      </c>
      <c r="ND6" s="409" t="s">
        <v>389</v>
      </c>
      <c r="NE6" s="409" t="s">
        <v>389</v>
      </c>
      <c r="NF6" s="410">
        <f t="shared" si="41"/>
        <v>0</v>
      </c>
      <c r="NG6" s="60"/>
      <c r="NH6" s="408" t="s">
        <v>389</v>
      </c>
      <c r="NI6" s="409" t="s">
        <v>389</v>
      </c>
      <c r="NJ6" s="409" t="s">
        <v>389</v>
      </c>
      <c r="NK6" s="409" t="s">
        <v>389</v>
      </c>
      <c r="NL6" s="409" t="s">
        <v>389</v>
      </c>
      <c r="NM6" s="409" t="s">
        <v>389</v>
      </c>
      <c r="NN6" s="409" t="s">
        <v>389</v>
      </c>
      <c r="NO6" s="410">
        <f t="shared" si="42"/>
        <v>0</v>
      </c>
      <c r="NP6" s="60"/>
      <c r="NQ6" s="408" t="s">
        <v>389</v>
      </c>
      <c r="NR6" s="409" t="s">
        <v>389</v>
      </c>
      <c r="NS6" s="409" t="s">
        <v>389</v>
      </c>
      <c r="NT6" s="409" t="s">
        <v>389</v>
      </c>
      <c r="NU6" s="409" t="s">
        <v>389</v>
      </c>
      <c r="NV6" s="409" t="s">
        <v>389</v>
      </c>
      <c r="NW6" s="409" t="s">
        <v>389</v>
      </c>
      <c r="NX6" s="410">
        <f t="shared" si="43"/>
        <v>0</v>
      </c>
      <c r="NY6" s="60"/>
      <c r="NZ6" s="408" t="s">
        <v>389</v>
      </c>
      <c r="OA6" s="409" t="s">
        <v>389</v>
      </c>
      <c r="OB6" s="409" t="s">
        <v>389</v>
      </c>
      <c r="OC6" s="409" t="s">
        <v>389</v>
      </c>
      <c r="OD6" s="409" t="s">
        <v>389</v>
      </c>
      <c r="OE6" s="409" t="s">
        <v>389</v>
      </c>
      <c r="OF6" s="409" t="s">
        <v>389</v>
      </c>
      <c r="OG6" s="410">
        <f t="shared" si="44"/>
        <v>0</v>
      </c>
      <c r="OH6" s="60"/>
      <c r="OI6" s="408" t="s">
        <v>389</v>
      </c>
      <c r="OJ6" s="409" t="s">
        <v>389</v>
      </c>
      <c r="OK6" s="409" t="s">
        <v>389</v>
      </c>
      <c r="OL6" s="409" t="s">
        <v>389</v>
      </c>
      <c r="OM6" s="409" t="s">
        <v>389</v>
      </c>
      <c r="ON6" s="409" t="s">
        <v>389</v>
      </c>
      <c r="OO6" s="409" t="s">
        <v>389</v>
      </c>
      <c r="OP6" s="410">
        <f t="shared" si="45"/>
        <v>0</v>
      </c>
      <c r="OQ6" s="60"/>
      <c r="OR6" s="408" t="s">
        <v>389</v>
      </c>
      <c r="OS6" s="409" t="s">
        <v>389</v>
      </c>
      <c r="OT6" s="409" t="s">
        <v>389</v>
      </c>
      <c r="OU6" s="409" t="s">
        <v>389</v>
      </c>
      <c r="OV6" s="409" t="s">
        <v>389</v>
      </c>
      <c r="OW6" s="409" t="s">
        <v>389</v>
      </c>
      <c r="OX6" s="409" t="s">
        <v>389</v>
      </c>
      <c r="OY6" s="410">
        <f t="shared" si="46"/>
        <v>0</v>
      </c>
      <c r="OZ6" s="60"/>
      <c r="PA6" s="408" t="s">
        <v>389</v>
      </c>
      <c r="PB6" s="409" t="s">
        <v>389</v>
      </c>
      <c r="PC6" s="409" t="s">
        <v>389</v>
      </c>
      <c r="PD6" s="409" t="s">
        <v>389</v>
      </c>
      <c r="PE6" s="409" t="s">
        <v>389</v>
      </c>
      <c r="PF6" s="409" t="s">
        <v>389</v>
      </c>
      <c r="PG6" s="409" t="s">
        <v>389</v>
      </c>
      <c r="PH6" s="410">
        <f t="shared" si="47"/>
        <v>0</v>
      </c>
      <c r="PI6" s="60"/>
      <c r="PJ6" s="408" t="s">
        <v>389</v>
      </c>
      <c r="PK6" s="409" t="s">
        <v>389</v>
      </c>
      <c r="PL6" s="409" t="s">
        <v>389</v>
      </c>
      <c r="PM6" s="409" t="s">
        <v>389</v>
      </c>
      <c r="PN6" s="409" t="s">
        <v>389</v>
      </c>
      <c r="PO6" s="409" t="s">
        <v>389</v>
      </c>
      <c r="PP6" s="409" t="s">
        <v>389</v>
      </c>
      <c r="PQ6" s="410">
        <f t="shared" si="48"/>
        <v>0</v>
      </c>
      <c r="PR6" s="60"/>
      <c r="PS6" s="408" t="s">
        <v>389</v>
      </c>
      <c r="PT6" s="409" t="s">
        <v>389</v>
      </c>
      <c r="PU6" s="409" t="s">
        <v>389</v>
      </c>
      <c r="PV6" s="409" t="s">
        <v>389</v>
      </c>
      <c r="PW6" s="409" t="s">
        <v>389</v>
      </c>
      <c r="PX6" s="409" t="s">
        <v>389</v>
      </c>
      <c r="PY6" s="409" t="s">
        <v>389</v>
      </c>
      <c r="PZ6" s="410">
        <f t="shared" si="49"/>
        <v>0</v>
      </c>
      <c r="QA6" s="60"/>
      <c r="QB6" s="408" t="s">
        <v>389</v>
      </c>
      <c r="QC6" s="409" t="s">
        <v>389</v>
      </c>
      <c r="QD6" s="409" t="s">
        <v>389</v>
      </c>
      <c r="QE6" s="409" t="s">
        <v>389</v>
      </c>
      <c r="QF6" s="409" t="s">
        <v>389</v>
      </c>
      <c r="QG6" s="409" t="s">
        <v>389</v>
      </c>
      <c r="QH6" s="409" t="s">
        <v>389</v>
      </c>
      <c r="QI6" s="410">
        <f t="shared" si="50"/>
        <v>0</v>
      </c>
      <c r="QJ6" s="60"/>
      <c r="QK6" s="408" t="s">
        <v>389</v>
      </c>
      <c r="QL6" s="409" t="s">
        <v>389</v>
      </c>
      <c r="QM6" s="409" t="s">
        <v>389</v>
      </c>
      <c r="QN6" s="409" t="s">
        <v>389</v>
      </c>
      <c r="QO6" s="409" t="s">
        <v>389</v>
      </c>
      <c r="QP6" s="409" t="s">
        <v>389</v>
      </c>
      <c r="QQ6" s="409" t="s">
        <v>389</v>
      </c>
      <c r="QR6" s="410">
        <f t="shared" si="51"/>
        <v>0</v>
      </c>
      <c r="QS6" s="60"/>
      <c r="QT6" s="408" t="s">
        <v>389</v>
      </c>
      <c r="QU6" s="409" t="s">
        <v>389</v>
      </c>
      <c r="QV6" s="409" t="s">
        <v>389</v>
      </c>
      <c r="QW6" s="409" t="s">
        <v>389</v>
      </c>
      <c r="QX6" s="409" t="s">
        <v>389</v>
      </c>
      <c r="QY6" s="409" t="s">
        <v>389</v>
      </c>
      <c r="QZ6" s="409" t="s">
        <v>389</v>
      </c>
      <c r="RA6" s="410">
        <f t="shared" si="52"/>
        <v>0</v>
      </c>
      <c r="RB6" s="30"/>
      <c r="RC6" s="57"/>
    </row>
    <row r="7" hidden="1">
      <c r="A7" s="32" t="s">
        <v>392</v>
      </c>
      <c r="B7" s="60"/>
      <c r="C7" s="408" t="s">
        <v>389</v>
      </c>
      <c r="D7" s="409" t="s">
        <v>389</v>
      </c>
      <c r="E7" s="409" t="s">
        <v>389</v>
      </c>
      <c r="F7" s="409" t="s">
        <v>389</v>
      </c>
      <c r="G7" s="409" t="s">
        <v>389</v>
      </c>
      <c r="H7" s="409" t="s">
        <v>389</v>
      </c>
      <c r="I7" s="409" t="s">
        <v>389</v>
      </c>
      <c r="J7" s="410">
        <f t="shared" si="1"/>
        <v>0</v>
      </c>
      <c r="K7" s="60"/>
      <c r="L7" s="408" t="s">
        <v>389</v>
      </c>
      <c r="M7" s="409" t="s">
        <v>389</v>
      </c>
      <c r="N7" s="409" t="s">
        <v>389</v>
      </c>
      <c r="O7" s="409" t="s">
        <v>389</v>
      </c>
      <c r="P7" s="409" t="s">
        <v>389</v>
      </c>
      <c r="Q7" s="409" t="s">
        <v>389</v>
      </c>
      <c r="R7" s="409" t="s">
        <v>389</v>
      </c>
      <c r="S7" s="410">
        <f t="shared" si="2"/>
        <v>0</v>
      </c>
      <c r="T7" s="60"/>
      <c r="U7" s="408" t="s">
        <v>389</v>
      </c>
      <c r="V7" s="409" t="s">
        <v>389</v>
      </c>
      <c r="W7" s="409" t="s">
        <v>389</v>
      </c>
      <c r="X7" s="409" t="s">
        <v>389</v>
      </c>
      <c r="Y7" s="409" t="s">
        <v>389</v>
      </c>
      <c r="Z7" s="409" t="s">
        <v>389</v>
      </c>
      <c r="AA7" s="409" t="s">
        <v>389</v>
      </c>
      <c r="AB7" s="410">
        <f t="shared" si="3"/>
        <v>0</v>
      </c>
      <c r="AC7" s="60"/>
      <c r="AD7" s="408" t="s">
        <v>389</v>
      </c>
      <c r="AE7" s="409" t="s">
        <v>389</v>
      </c>
      <c r="AF7" s="409" t="s">
        <v>389</v>
      </c>
      <c r="AG7" s="409" t="s">
        <v>389</v>
      </c>
      <c r="AH7" s="409" t="s">
        <v>389</v>
      </c>
      <c r="AI7" s="409" t="s">
        <v>389</v>
      </c>
      <c r="AJ7" s="409" t="s">
        <v>389</v>
      </c>
      <c r="AK7" s="410">
        <f t="shared" si="4"/>
        <v>0</v>
      </c>
      <c r="AL7" s="60"/>
      <c r="AM7" s="408" t="s">
        <v>389</v>
      </c>
      <c r="AN7" s="409" t="s">
        <v>389</v>
      </c>
      <c r="AO7" s="409" t="s">
        <v>389</v>
      </c>
      <c r="AP7" s="409" t="s">
        <v>389</v>
      </c>
      <c r="AQ7" s="409" t="s">
        <v>389</v>
      </c>
      <c r="AR7" s="409" t="s">
        <v>389</v>
      </c>
      <c r="AS7" s="409" t="s">
        <v>389</v>
      </c>
      <c r="AT7" s="410">
        <f t="shared" si="5"/>
        <v>0</v>
      </c>
      <c r="AU7" s="60"/>
      <c r="AV7" s="408" t="s">
        <v>389</v>
      </c>
      <c r="AW7" s="409" t="s">
        <v>389</v>
      </c>
      <c r="AX7" s="409" t="s">
        <v>389</v>
      </c>
      <c r="AY7" s="409" t="s">
        <v>389</v>
      </c>
      <c r="AZ7" s="409" t="s">
        <v>389</v>
      </c>
      <c r="BA7" s="409" t="s">
        <v>389</v>
      </c>
      <c r="BB7" s="409" t="s">
        <v>389</v>
      </c>
      <c r="BC7" s="410">
        <f t="shared" si="6"/>
        <v>0</v>
      </c>
      <c r="BD7" s="60"/>
      <c r="BE7" s="408" t="s">
        <v>389</v>
      </c>
      <c r="BF7" s="409" t="s">
        <v>389</v>
      </c>
      <c r="BG7" s="409" t="s">
        <v>389</v>
      </c>
      <c r="BH7" s="409" t="s">
        <v>389</v>
      </c>
      <c r="BI7" s="409" t="s">
        <v>389</v>
      </c>
      <c r="BJ7" s="409" t="s">
        <v>389</v>
      </c>
      <c r="BK7" s="409" t="s">
        <v>389</v>
      </c>
      <c r="BL7" s="410">
        <f t="shared" si="7"/>
        <v>0</v>
      </c>
      <c r="BM7" s="60"/>
      <c r="BN7" s="408" t="s">
        <v>389</v>
      </c>
      <c r="BO7" s="409" t="s">
        <v>389</v>
      </c>
      <c r="BP7" s="409" t="s">
        <v>389</v>
      </c>
      <c r="BQ7" s="409" t="s">
        <v>389</v>
      </c>
      <c r="BR7" s="409" t="s">
        <v>389</v>
      </c>
      <c r="BS7" s="409" t="s">
        <v>389</v>
      </c>
      <c r="BT7" s="409" t="s">
        <v>389</v>
      </c>
      <c r="BU7" s="410">
        <f t="shared" si="8"/>
        <v>0</v>
      </c>
      <c r="BV7" s="60"/>
      <c r="BW7" s="408" t="s">
        <v>389</v>
      </c>
      <c r="BX7" s="409" t="s">
        <v>389</v>
      </c>
      <c r="BY7" s="409" t="s">
        <v>389</v>
      </c>
      <c r="BZ7" s="409" t="s">
        <v>389</v>
      </c>
      <c r="CA7" s="409" t="s">
        <v>389</v>
      </c>
      <c r="CB7" s="409" t="s">
        <v>389</v>
      </c>
      <c r="CC7" s="409" t="s">
        <v>389</v>
      </c>
      <c r="CD7" s="410">
        <f t="shared" si="9"/>
        <v>0</v>
      </c>
      <c r="CE7" s="60"/>
      <c r="CF7" s="408" t="s">
        <v>389</v>
      </c>
      <c r="CG7" s="409" t="s">
        <v>389</v>
      </c>
      <c r="CH7" s="409" t="s">
        <v>389</v>
      </c>
      <c r="CI7" s="409" t="s">
        <v>389</v>
      </c>
      <c r="CJ7" s="409" t="s">
        <v>389</v>
      </c>
      <c r="CK7" s="409" t="s">
        <v>389</v>
      </c>
      <c r="CL7" s="409" t="s">
        <v>389</v>
      </c>
      <c r="CM7" s="410">
        <f t="shared" si="10"/>
        <v>0</v>
      </c>
      <c r="CN7" s="60"/>
      <c r="CO7" s="408" t="s">
        <v>389</v>
      </c>
      <c r="CP7" s="409" t="s">
        <v>389</v>
      </c>
      <c r="CQ7" s="409" t="s">
        <v>389</v>
      </c>
      <c r="CR7" s="409" t="s">
        <v>389</v>
      </c>
      <c r="CS7" s="409" t="s">
        <v>389</v>
      </c>
      <c r="CT7" s="409" t="s">
        <v>389</v>
      </c>
      <c r="CU7" s="409" t="s">
        <v>389</v>
      </c>
      <c r="CV7" s="410">
        <f t="shared" si="11"/>
        <v>0</v>
      </c>
      <c r="CW7" s="60"/>
      <c r="CX7" s="408" t="s">
        <v>389</v>
      </c>
      <c r="CY7" s="409" t="s">
        <v>389</v>
      </c>
      <c r="CZ7" s="409" t="s">
        <v>389</v>
      </c>
      <c r="DA7" s="409" t="s">
        <v>389</v>
      </c>
      <c r="DB7" s="409" t="s">
        <v>389</v>
      </c>
      <c r="DC7" s="409" t="s">
        <v>389</v>
      </c>
      <c r="DD7" s="409" t="s">
        <v>389</v>
      </c>
      <c r="DE7" s="410">
        <f t="shared" si="12"/>
        <v>0</v>
      </c>
      <c r="DF7" s="60"/>
      <c r="DG7" s="408" t="s">
        <v>389</v>
      </c>
      <c r="DH7" s="409" t="s">
        <v>389</v>
      </c>
      <c r="DI7" s="409" t="s">
        <v>389</v>
      </c>
      <c r="DJ7" s="409" t="s">
        <v>389</v>
      </c>
      <c r="DK7" s="409" t="s">
        <v>389</v>
      </c>
      <c r="DL7" s="409" t="s">
        <v>389</v>
      </c>
      <c r="DM7" s="409" t="s">
        <v>389</v>
      </c>
      <c r="DN7" s="410">
        <f t="shared" si="13"/>
        <v>0</v>
      </c>
      <c r="DO7" s="60"/>
      <c r="DP7" s="408" t="s">
        <v>389</v>
      </c>
      <c r="DQ7" s="409" t="s">
        <v>389</v>
      </c>
      <c r="DR7" s="409" t="s">
        <v>389</v>
      </c>
      <c r="DS7" s="409" t="s">
        <v>389</v>
      </c>
      <c r="DT7" s="409" t="s">
        <v>389</v>
      </c>
      <c r="DU7" s="409" t="s">
        <v>389</v>
      </c>
      <c r="DV7" s="409" t="s">
        <v>389</v>
      </c>
      <c r="DW7" s="410">
        <f t="shared" si="14"/>
        <v>0</v>
      </c>
      <c r="DX7" s="60"/>
      <c r="DY7" s="408" t="s">
        <v>389</v>
      </c>
      <c r="DZ7" s="409" t="s">
        <v>389</v>
      </c>
      <c r="EA7" s="409" t="s">
        <v>389</v>
      </c>
      <c r="EB7" s="409" t="s">
        <v>389</v>
      </c>
      <c r="EC7" s="409" t="s">
        <v>389</v>
      </c>
      <c r="ED7" s="409" t="s">
        <v>389</v>
      </c>
      <c r="EE7" s="409" t="s">
        <v>389</v>
      </c>
      <c r="EF7" s="410">
        <f t="shared" si="15"/>
        <v>0</v>
      </c>
      <c r="EG7" s="60"/>
      <c r="EH7" s="408" t="s">
        <v>389</v>
      </c>
      <c r="EI7" s="409" t="s">
        <v>389</v>
      </c>
      <c r="EJ7" s="409" t="s">
        <v>389</v>
      </c>
      <c r="EK7" s="409" t="s">
        <v>389</v>
      </c>
      <c r="EL7" s="409" t="s">
        <v>389</v>
      </c>
      <c r="EM7" s="409" t="s">
        <v>389</v>
      </c>
      <c r="EN7" s="409" t="s">
        <v>389</v>
      </c>
      <c r="EO7" s="410">
        <f t="shared" si="16"/>
        <v>0</v>
      </c>
      <c r="EP7" s="60"/>
      <c r="EQ7" s="408" t="s">
        <v>389</v>
      </c>
      <c r="ER7" s="409" t="s">
        <v>389</v>
      </c>
      <c r="ES7" s="409" t="s">
        <v>389</v>
      </c>
      <c r="ET7" s="409" t="s">
        <v>389</v>
      </c>
      <c r="EU7" s="409" t="s">
        <v>389</v>
      </c>
      <c r="EV7" s="409" t="s">
        <v>389</v>
      </c>
      <c r="EW7" s="409" t="s">
        <v>389</v>
      </c>
      <c r="EX7" s="410">
        <f t="shared" si="17"/>
        <v>0</v>
      </c>
      <c r="EY7" s="60"/>
      <c r="EZ7" s="408" t="s">
        <v>389</v>
      </c>
      <c r="FA7" s="409" t="s">
        <v>389</v>
      </c>
      <c r="FB7" s="409" t="s">
        <v>389</v>
      </c>
      <c r="FC7" s="409" t="s">
        <v>389</v>
      </c>
      <c r="FD7" s="409" t="s">
        <v>389</v>
      </c>
      <c r="FE7" s="409" t="s">
        <v>389</v>
      </c>
      <c r="FF7" s="409" t="s">
        <v>389</v>
      </c>
      <c r="FG7" s="410">
        <f t="shared" si="18"/>
        <v>0</v>
      </c>
      <c r="FH7" s="60"/>
      <c r="FI7" s="408" t="s">
        <v>389</v>
      </c>
      <c r="FJ7" s="409" t="s">
        <v>389</v>
      </c>
      <c r="FK7" s="409" t="s">
        <v>389</v>
      </c>
      <c r="FL7" s="409" t="s">
        <v>389</v>
      </c>
      <c r="FM7" s="409" t="s">
        <v>389</v>
      </c>
      <c r="FN7" s="409" t="s">
        <v>389</v>
      </c>
      <c r="FO7" s="409" t="s">
        <v>389</v>
      </c>
      <c r="FP7" s="410">
        <f t="shared" si="19"/>
        <v>0</v>
      </c>
      <c r="FQ7" s="60"/>
      <c r="FR7" s="408" t="s">
        <v>389</v>
      </c>
      <c r="FS7" s="409" t="s">
        <v>389</v>
      </c>
      <c r="FT7" s="409" t="s">
        <v>389</v>
      </c>
      <c r="FU7" s="409" t="s">
        <v>389</v>
      </c>
      <c r="FV7" s="409" t="s">
        <v>389</v>
      </c>
      <c r="FW7" s="409" t="s">
        <v>389</v>
      </c>
      <c r="FX7" s="409" t="s">
        <v>389</v>
      </c>
      <c r="FY7" s="410">
        <f t="shared" si="20"/>
        <v>0</v>
      </c>
      <c r="FZ7" s="60"/>
      <c r="GA7" s="408" t="s">
        <v>389</v>
      </c>
      <c r="GB7" s="409" t="s">
        <v>389</v>
      </c>
      <c r="GC7" s="409" t="s">
        <v>389</v>
      </c>
      <c r="GD7" s="409" t="s">
        <v>389</v>
      </c>
      <c r="GE7" s="409" t="s">
        <v>389</v>
      </c>
      <c r="GF7" s="409" t="s">
        <v>389</v>
      </c>
      <c r="GG7" s="409" t="s">
        <v>389</v>
      </c>
      <c r="GH7" s="410">
        <f t="shared" si="21"/>
        <v>0</v>
      </c>
      <c r="GI7" s="60"/>
      <c r="GJ7" s="408" t="s">
        <v>389</v>
      </c>
      <c r="GK7" s="409" t="s">
        <v>389</v>
      </c>
      <c r="GL7" s="409" t="s">
        <v>389</v>
      </c>
      <c r="GM7" s="409" t="s">
        <v>389</v>
      </c>
      <c r="GN7" s="409" t="s">
        <v>389</v>
      </c>
      <c r="GO7" s="409" t="s">
        <v>389</v>
      </c>
      <c r="GP7" s="409" t="s">
        <v>389</v>
      </c>
      <c r="GQ7" s="410">
        <f t="shared" si="22"/>
        <v>0</v>
      </c>
      <c r="GR7" s="60"/>
      <c r="GS7" s="408" t="s">
        <v>389</v>
      </c>
      <c r="GT7" s="409" t="s">
        <v>389</v>
      </c>
      <c r="GU7" s="409" t="s">
        <v>389</v>
      </c>
      <c r="GV7" s="409" t="s">
        <v>389</v>
      </c>
      <c r="GW7" s="409" t="s">
        <v>389</v>
      </c>
      <c r="GX7" s="409" t="s">
        <v>389</v>
      </c>
      <c r="GY7" s="409" t="s">
        <v>389</v>
      </c>
      <c r="GZ7" s="410">
        <f t="shared" si="23"/>
        <v>0</v>
      </c>
      <c r="HA7" s="60"/>
      <c r="HB7" s="408" t="s">
        <v>389</v>
      </c>
      <c r="HC7" s="409" t="s">
        <v>389</v>
      </c>
      <c r="HD7" s="409" t="s">
        <v>389</v>
      </c>
      <c r="HE7" s="409" t="s">
        <v>389</v>
      </c>
      <c r="HF7" s="409" t="s">
        <v>389</v>
      </c>
      <c r="HG7" s="409" t="s">
        <v>389</v>
      </c>
      <c r="HH7" s="409" t="s">
        <v>389</v>
      </c>
      <c r="HI7" s="410">
        <f t="shared" si="24"/>
        <v>0</v>
      </c>
      <c r="HJ7" s="60"/>
      <c r="HK7" s="408" t="s">
        <v>389</v>
      </c>
      <c r="HL7" s="409" t="s">
        <v>389</v>
      </c>
      <c r="HM7" s="409" t="s">
        <v>389</v>
      </c>
      <c r="HN7" s="409" t="s">
        <v>389</v>
      </c>
      <c r="HO7" s="409" t="s">
        <v>389</v>
      </c>
      <c r="HP7" s="409" t="s">
        <v>389</v>
      </c>
      <c r="HQ7" s="409" t="s">
        <v>389</v>
      </c>
      <c r="HR7" s="410">
        <f t="shared" si="25"/>
        <v>0</v>
      </c>
      <c r="HS7" s="60"/>
      <c r="HT7" s="408" t="s">
        <v>389</v>
      </c>
      <c r="HU7" s="409" t="s">
        <v>389</v>
      </c>
      <c r="HV7" s="409" t="s">
        <v>389</v>
      </c>
      <c r="HW7" s="409" t="s">
        <v>389</v>
      </c>
      <c r="HX7" s="409" t="s">
        <v>389</v>
      </c>
      <c r="HY7" s="409" t="s">
        <v>389</v>
      </c>
      <c r="HZ7" s="409" t="s">
        <v>389</v>
      </c>
      <c r="IA7" s="410">
        <f t="shared" si="26"/>
        <v>0</v>
      </c>
      <c r="IB7" s="60"/>
      <c r="IC7" s="408" t="s">
        <v>389</v>
      </c>
      <c r="ID7" s="409" t="s">
        <v>389</v>
      </c>
      <c r="IE7" s="409" t="s">
        <v>389</v>
      </c>
      <c r="IF7" s="409" t="s">
        <v>389</v>
      </c>
      <c r="IG7" s="409" t="s">
        <v>389</v>
      </c>
      <c r="IH7" s="409" t="s">
        <v>389</v>
      </c>
      <c r="II7" s="409" t="s">
        <v>389</v>
      </c>
      <c r="IJ7" s="410">
        <f t="shared" si="27"/>
        <v>0</v>
      </c>
      <c r="IK7" s="60"/>
      <c r="IL7" s="408" t="s">
        <v>389</v>
      </c>
      <c r="IM7" s="409" t="s">
        <v>389</v>
      </c>
      <c r="IN7" s="409" t="s">
        <v>389</v>
      </c>
      <c r="IO7" s="409" t="s">
        <v>389</v>
      </c>
      <c r="IP7" s="409" t="s">
        <v>389</v>
      </c>
      <c r="IQ7" s="409" t="s">
        <v>389</v>
      </c>
      <c r="IR7" s="409" t="s">
        <v>389</v>
      </c>
      <c r="IS7" s="410">
        <f t="shared" si="28"/>
        <v>0</v>
      </c>
      <c r="IT7" s="60"/>
      <c r="IU7" s="408" t="s">
        <v>389</v>
      </c>
      <c r="IV7" s="409" t="s">
        <v>389</v>
      </c>
      <c r="IW7" s="409" t="s">
        <v>389</v>
      </c>
      <c r="IX7" s="409" t="s">
        <v>389</v>
      </c>
      <c r="IY7" s="409" t="s">
        <v>389</v>
      </c>
      <c r="IZ7" s="409" t="s">
        <v>389</v>
      </c>
      <c r="JA7" s="409" t="s">
        <v>389</v>
      </c>
      <c r="JB7" s="410">
        <f t="shared" si="29"/>
        <v>0</v>
      </c>
      <c r="JC7" s="60"/>
      <c r="JD7" s="408" t="s">
        <v>389</v>
      </c>
      <c r="JE7" s="409" t="s">
        <v>389</v>
      </c>
      <c r="JF7" s="409" t="s">
        <v>389</v>
      </c>
      <c r="JG7" s="409" t="s">
        <v>389</v>
      </c>
      <c r="JH7" s="409" t="s">
        <v>389</v>
      </c>
      <c r="JI7" s="409" t="s">
        <v>389</v>
      </c>
      <c r="JJ7" s="409" t="s">
        <v>389</v>
      </c>
      <c r="JK7" s="410">
        <f t="shared" si="30"/>
        <v>0</v>
      </c>
      <c r="JL7" s="60"/>
      <c r="JM7" s="408" t="s">
        <v>389</v>
      </c>
      <c r="JN7" s="409" t="s">
        <v>389</v>
      </c>
      <c r="JO7" s="409" t="s">
        <v>389</v>
      </c>
      <c r="JP7" s="409" t="s">
        <v>389</v>
      </c>
      <c r="JQ7" s="409" t="s">
        <v>389</v>
      </c>
      <c r="JR7" s="409" t="s">
        <v>389</v>
      </c>
      <c r="JS7" s="409" t="s">
        <v>389</v>
      </c>
      <c r="JT7" s="410">
        <f t="shared" si="31"/>
        <v>0</v>
      </c>
      <c r="JU7" s="60"/>
      <c r="JV7" s="408" t="s">
        <v>389</v>
      </c>
      <c r="JW7" s="409" t="s">
        <v>389</v>
      </c>
      <c r="JX7" s="409" t="s">
        <v>389</v>
      </c>
      <c r="JY7" s="409" t="s">
        <v>389</v>
      </c>
      <c r="JZ7" s="409" t="s">
        <v>389</v>
      </c>
      <c r="KA7" s="409" t="s">
        <v>389</v>
      </c>
      <c r="KB7" s="409" t="s">
        <v>389</v>
      </c>
      <c r="KC7" s="410">
        <f t="shared" si="32"/>
        <v>0</v>
      </c>
      <c r="KD7" s="60"/>
      <c r="KE7" s="408" t="s">
        <v>389</v>
      </c>
      <c r="KF7" s="409" t="s">
        <v>389</v>
      </c>
      <c r="KG7" s="409" t="s">
        <v>389</v>
      </c>
      <c r="KH7" s="409" t="s">
        <v>389</v>
      </c>
      <c r="KI7" s="409" t="s">
        <v>389</v>
      </c>
      <c r="KJ7" s="409" t="s">
        <v>389</v>
      </c>
      <c r="KK7" s="409" t="s">
        <v>389</v>
      </c>
      <c r="KL7" s="410">
        <f t="shared" si="33"/>
        <v>0</v>
      </c>
      <c r="KM7" s="60"/>
      <c r="KN7" s="408" t="s">
        <v>389</v>
      </c>
      <c r="KO7" s="409" t="s">
        <v>389</v>
      </c>
      <c r="KP7" s="409" t="s">
        <v>389</v>
      </c>
      <c r="KQ7" s="409" t="s">
        <v>389</v>
      </c>
      <c r="KR7" s="409" t="s">
        <v>389</v>
      </c>
      <c r="KS7" s="409" t="s">
        <v>389</v>
      </c>
      <c r="KT7" s="409" t="s">
        <v>389</v>
      </c>
      <c r="KU7" s="410">
        <f t="shared" si="34"/>
        <v>0</v>
      </c>
      <c r="KV7" s="60"/>
      <c r="KW7" s="408" t="s">
        <v>389</v>
      </c>
      <c r="KX7" s="409" t="s">
        <v>389</v>
      </c>
      <c r="KY7" s="409" t="s">
        <v>389</v>
      </c>
      <c r="KZ7" s="409" t="s">
        <v>389</v>
      </c>
      <c r="LA7" s="409" t="s">
        <v>389</v>
      </c>
      <c r="LB7" s="409" t="s">
        <v>389</v>
      </c>
      <c r="LC7" s="409" t="s">
        <v>389</v>
      </c>
      <c r="LD7" s="410">
        <f t="shared" si="35"/>
        <v>0</v>
      </c>
      <c r="LE7" s="60"/>
      <c r="LF7" s="408" t="s">
        <v>389</v>
      </c>
      <c r="LG7" s="409" t="s">
        <v>389</v>
      </c>
      <c r="LH7" s="409" t="s">
        <v>389</v>
      </c>
      <c r="LI7" s="409" t="s">
        <v>389</v>
      </c>
      <c r="LJ7" s="409" t="s">
        <v>389</v>
      </c>
      <c r="LK7" s="409" t="s">
        <v>389</v>
      </c>
      <c r="LL7" s="409" t="s">
        <v>389</v>
      </c>
      <c r="LM7" s="410">
        <f t="shared" si="36"/>
        <v>0</v>
      </c>
      <c r="LN7" s="60"/>
      <c r="LO7" s="408" t="s">
        <v>389</v>
      </c>
      <c r="LP7" s="409" t="s">
        <v>389</v>
      </c>
      <c r="LQ7" s="409" t="s">
        <v>389</v>
      </c>
      <c r="LR7" s="409" t="s">
        <v>389</v>
      </c>
      <c r="LS7" s="409" t="s">
        <v>389</v>
      </c>
      <c r="LT7" s="409" t="s">
        <v>389</v>
      </c>
      <c r="LU7" s="409" t="s">
        <v>389</v>
      </c>
      <c r="LV7" s="410">
        <f t="shared" si="37"/>
        <v>0</v>
      </c>
      <c r="LW7" s="60"/>
      <c r="LX7" s="408" t="s">
        <v>389</v>
      </c>
      <c r="LY7" s="409" t="s">
        <v>389</v>
      </c>
      <c r="LZ7" s="409" t="s">
        <v>389</v>
      </c>
      <c r="MA7" s="409" t="s">
        <v>389</v>
      </c>
      <c r="MB7" s="409" t="s">
        <v>389</v>
      </c>
      <c r="MC7" s="409" t="s">
        <v>389</v>
      </c>
      <c r="MD7" s="409" t="s">
        <v>389</v>
      </c>
      <c r="ME7" s="410">
        <f t="shared" si="38"/>
        <v>0</v>
      </c>
      <c r="MF7" s="60"/>
      <c r="MG7" s="408" t="s">
        <v>389</v>
      </c>
      <c r="MH7" s="409" t="s">
        <v>389</v>
      </c>
      <c r="MI7" s="409" t="s">
        <v>389</v>
      </c>
      <c r="MJ7" s="409" t="s">
        <v>389</v>
      </c>
      <c r="MK7" s="409" t="s">
        <v>389</v>
      </c>
      <c r="ML7" s="409" t="s">
        <v>389</v>
      </c>
      <c r="MM7" s="409" t="s">
        <v>389</v>
      </c>
      <c r="MN7" s="410">
        <f t="shared" si="39"/>
        <v>0</v>
      </c>
      <c r="MO7" s="60"/>
      <c r="MP7" s="408" t="s">
        <v>389</v>
      </c>
      <c r="MQ7" s="409" t="s">
        <v>389</v>
      </c>
      <c r="MR7" s="409" t="s">
        <v>389</v>
      </c>
      <c r="MS7" s="409" t="s">
        <v>389</v>
      </c>
      <c r="MT7" s="409" t="s">
        <v>389</v>
      </c>
      <c r="MU7" s="409" t="s">
        <v>389</v>
      </c>
      <c r="MV7" s="409" t="s">
        <v>389</v>
      </c>
      <c r="MW7" s="410">
        <f t="shared" si="40"/>
        <v>0</v>
      </c>
      <c r="MX7" s="60"/>
      <c r="MY7" s="408" t="s">
        <v>389</v>
      </c>
      <c r="MZ7" s="409" t="s">
        <v>389</v>
      </c>
      <c r="NA7" s="409" t="s">
        <v>389</v>
      </c>
      <c r="NB7" s="409" t="s">
        <v>389</v>
      </c>
      <c r="NC7" s="409" t="s">
        <v>389</v>
      </c>
      <c r="ND7" s="409" t="s">
        <v>389</v>
      </c>
      <c r="NE7" s="409" t="s">
        <v>389</v>
      </c>
      <c r="NF7" s="410">
        <f t="shared" si="41"/>
        <v>0</v>
      </c>
      <c r="NG7" s="60"/>
      <c r="NH7" s="408" t="s">
        <v>389</v>
      </c>
      <c r="NI7" s="409" t="s">
        <v>389</v>
      </c>
      <c r="NJ7" s="409" t="s">
        <v>389</v>
      </c>
      <c r="NK7" s="409" t="s">
        <v>389</v>
      </c>
      <c r="NL7" s="409" t="s">
        <v>389</v>
      </c>
      <c r="NM7" s="409" t="s">
        <v>389</v>
      </c>
      <c r="NN7" s="409" t="s">
        <v>389</v>
      </c>
      <c r="NO7" s="410">
        <f t="shared" si="42"/>
        <v>0</v>
      </c>
      <c r="NP7" s="60"/>
      <c r="NQ7" s="408" t="s">
        <v>389</v>
      </c>
      <c r="NR7" s="409" t="s">
        <v>389</v>
      </c>
      <c r="NS7" s="409" t="s">
        <v>389</v>
      </c>
      <c r="NT7" s="409" t="s">
        <v>389</v>
      </c>
      <c r="NU7" s="409" t="s">
        <v>389</v>
      </c>
      <c r="NV7" s="409" t="s">
        <v>389</v>
      </c>
      <c r="NW7" s="409" t="s">
        <v>389</v>
      </c>
      <c r="NX7" s="410">
        <f t="shared" si="43"/>
        <v>0</v>
      </c>
      <c r="NY7" s="60"/>
      <c r="NZ7" s="408" t="s">
        <v>389</v>
      </c>
      <c r="OA7" s="409" t="s">
        <v>389</v>
      </c>
      <c r="OB7" s="409" t="s">
        <v>389</v>
      </c>
      <c r="OC7" s="409" t="s">
        <v>389</v>
      </c>
      <c r="OD7" s="409" t="s">
        <v>389</v>
      </c>
      <c r="OE7" s="409" t="s">
        <v>389</v>
      </c>
      <c r="OF7" s="409" t="s">
        <v>389</v>
      </c>
      <c r="OG7" s="410">
        <f t="shared" si="44"/>
        <v>0</v>
      </c>
      <c r="OH7" s="60"/>
      <c r="OI7" s="408" t="s">
        <v>389</v>
      </c>
      <c r="OJ7" s="409" t="s">
        <v>389</v>
      </c>
      <c r="OK7" s="409" t="s">
        <v>389</v>
      </c>
      <c r="OL7" s="409" t="s">
        <v>389</v>
      </c>
      <c r="OM7" s="409" t="s">
        <v>389</v>
      </c>
      <c r="ON7" s="409" t="s">
        <v>389</v>
      </c>
      <c r="OO7" s="409" t="s">
        <v>389</v>
      </c>
      <c r="OP7" s="410">
        <f t="shared" si="45"/>
        <v>0</v>
      </c>
      <c r="OQ7" s="60"/>
      <c r="OR7" s="408" t="s">
        <v>389</v>
      </c>
      <c r="OS7" s="409" t="s">
        <v>389</v>
      </c>
      <c r="OT7" s="409" t="s">
        <v>389</v>
      </c>
      <c r="OU7" s="409" t="s">
        <v>389</v>
      </c>
      <c r="OV7" s="409" t="s">
        <v>389</v>
      </c>
      <c r="OW7" s="409" t="s">
        <v>389</v>
      </c>
      <c r="OX7" s="409" t="s">
        <v>389</v>
      </c>
      <c r="OY7" s="410">
        <f t="shared" si="46"/>
        <v>0</v>
      </c>
      <c r="OZ7" s="60"/>
      <c r="PA7" s="408" t="s">
        <v>389</v>
      </c>
      <c r="PB7" s="409" t="s">
        <v>389</v>
      </c>
      <c r="PC7" s="409" t="s">
        <v>389</v>
      </c>
      <c r="PD7" s="409" t="s">
        <v>389</v>
      </c>
      <c r="PE7" s="409" t="s">
        <v>389</v>
      </c>
      <c r="PF7" s="409" t="s">
        <v>389</v>
      </c>
      <c r="PG7" s="409" t="s">
        <v>389</v>
      </c>
      <c r="PH7" s="410">
        <f t="shared" si="47"/>
        <v>0</v>
      </c>
      <c r="PI7" s="60"/>
      <c r="PJ7" s="408" t="s">
        <v>389</v>
      </c>
      <c r="PK7" s="409" t="s">
        <v>389</v>
      </c>
      <c r="PL7" s="409" t="s">
        <v>389</v>
      </c>
      <c r="PM7" s="409" t="s">
        <v>389</v>
      </c>
      <c r="PN7" s="409" t="s">
        <v>389</v>
      </c>
      <c r="PO7" s="409" t="s">
        <v>389</v>
      </c>
      <c r="PP7" s="409" t="s">
        <v>389</v>
      </c>
      <c r="PQ7" s="410">
        <f t="shared" si="48"/>
        <v>0</v>
      </c>
      <c r="PR7" s="60"/>
      <c r="PS7" s="408" t="s">
        <v>389</v>
      </c>
      <c r="PT7" s="409" t="s">
        <v>389</v>
      </c>
      <c r="PU7" s="409" t="s">
        <v>389</v>
      </c>
      <c r="PV7" s="409" t="s">
        <v>389</v>
      </c>
      <c r="PW7" s="409" t="s">
        <v>389</v>
      </c>
      <c r="PX7" s="409" t="s">
        <v>389</v>
      </c>
      <c r="PY7" s="409" t="s">
        <v>389</v>
      </c>
      <c r="PZ7" s="410">
        <f t="shared" si="49"/>
        <v>0</v>
      </c>
      <c r="QA7" s="60"/>
      <c r="QB7" s="408" t="s">
        <v>389</v>
      </c>
      <c r="QC7" s="409" t="s">
        <v>389</v>
      </c>
      <c r="QD7" s="409" t="s">
        <v>389</v>
      </c>
      <c r="QE7" s="409" t="s">
        <v>389</v>
      </c>
      <c r="QF7" s="409" t="s">
        <v>389</v>
      </c>
      <c r="QG7" s="409" t="s">
        <v>389</v>
      </c>
      <c r="QH7" s="409" t="s">
        <v>389</v>
      </c>
      <c r="QI7" s="410">
        <f t="shared" si="50"/>
        <v>0</v>
      </c>
      <c r="QJ7" s="60"/>
      <c r="QK7" s="408" t="s">
        <v>389</v>
      </c>
      <c r="QL7" s="409" t="s">
        <v>389</v>
      </c>
      <c r="QM7" s="409" t="s">
        <v>389</v>
      </c>
      <c r="QN7" s="409" t="s">
        <v>389</v>
      </c>
      <c r="QO7" s="409" t="s">
        <v>389</v>
      </c>
      <c r="QP7" s="409" t="s">
        <v>389</v>
      </c>
      <c r="QQ7" s="409" t="s">
        <v>389</v>
      </c>
      <c r="QR7" s="410">
        <f t="shared" si="51"/>
        <v>0</v>
      </c>
      <c r="QS7" s="60"/>
      <c r="QT7" s="408" t="s">
        <v>389</v>
      </c>
      <c r="QU7" s="409" t="s">
        <v>389</v>
      </c>
      <c r="QV7" s="409" t="s">
        <v>389</v>
      </c>
      <c r="QW7" s="409" t="s">
        <v>389</v>
      </c>
      <c r="QX7" s="409" t="s">
        <v>389</v>
      </c>
      <c r="QY7" s="409" t="s">
        <v>389</v>
      </c>
      <c r="QZ7" s="409" t="s">
        <v>389</v>
      </c>
      <c r="RA7" s="410">
        <f t="shared" si="52"/>
        <v>0</v>
      </c>
      <c r="RB7" s="30"/>
      <c r="RC7" s="57"/>
    </row>
    <row r="8" hidden="1">
      <c r="A8" s="32" t="s">
        <v>393</v>
      </c>
      <c r="B8" s="60"/>
      <c r="C8" s="408" t="s">
        <v>389</v>
      </c>
      <c r="D8" s="409" t="s">
        <v>389</v>
      </c>
      <c r="E8" s="409" t="s">
        <v>389</v>
      </c>
      <c r="F8" s="409" t="s">
        <v>389</v>
      </c>
      <c r="G8" s="409" t="s">
        <v>389</v>
      </c>
      <c r="H8" s="409" t="s">
        <v>389</v>
      </c>
      <c r="I8" s="409" t="s">
        <v>389</v>
      </c>
      <c r="J8" s="410">
        <f t="shared" si="1"/>
        <v>0</v>
      </c>
      <c r="K8" s="60"/>
      <c r="L8" s="408" t="s">
        <v>389</v>
      </c>
      <c r="M8" s="409" t="s">
        <v>389</v>
      </c>
      <c r="N8" s="409" t="s">
        <v>389</v>
      </c>
      <c r="O8" s="409" t="s">
        <v>389</v>
      </c>
      <c r="P8" s="409" t="s">
        <v>389</v>
      </c>
      <c r="Q8" s="409" t="s">
        <v>389</v>
      </c>
      <c r="R8" s="409" t="s">
        <v>389</v>
      </c>
      <c r="S8" s="410">
        <f t="shared" si="2"/>
        <v>0</v>
      </c>
      <c r="T8" s="60"/>
      <c r="U8" s="408" t="s">
        <v>389</v>
      </c>
      <c r="V8" s="409" t="s">
        <v>389</v>
      </c>
      <c r="W8" s="409" t="s">
        <v>389</v>
      </c>
      <c r="X8" s="409" t="s">
        <v>389</v>
      </c>
      <c r="Y8" s="409" t="s">
        <v>389</v>
      </c>
      <c r="Z8" s="409" t="s">
        <v>389</v>
      </c>
      <c r="AA8" s="409" t="s">
        <v>389</v>
      </c>
      <c r="AB8" s="410">
        <f t="shared" si="3"/>
        <v>0</v>
      </c>
      <c r="AC8" s="60"/>
      <c r="AD8" s="408" t="s">
        <v>389</v>
      </c>
      <c r="AE8" s="409" t="s">
        <v>389</v>
      </c>
      <c r="AF8" s="409" t="s">
        <v>389</v>
      </c>
      <c r="AG8" s="409" t="s">
        <v>389</v>
      </c>
      <c r="AH8" s="409" t="s">
        <v>389</v>
      </c>
      <c r="AI8" s="409" t="s">
        <v>389</v>
      </c>
      <c r="AJ8" s="409" t="s">
        <v>389</v>
      </c>
      <c r="AK8" s="410">
        <f t="shared" si="4"/>
        <v>0</v>
      </c>
      <c r="AL8" s="60"/>
      <c r="AM8" s="408" t="s">
        <v>389</v>
      </c>
      <c r="AN8" s="409" t="s">
        <v>389</v>
      </c>
      <c r="AO8" s="409" t="s">
        <v>389</v>
      </c>
      <c r="AP8" s="409" t="s">
        <v>389</v>
      </c>
      <c r="AQ8" s="409" t="s">
        <v>389</v>
      </c>
      <c r="AR8" s="409" t="s">
        <v>389</v>
      </c>
      <c r="AS8" s="409" t="s">
        <v>389</v>
      </c>
      <c r="AT8" s="410">
        <f t="shared" si="5"/>
        <v>0</v>
      </c>
      <c r="AU8" s="60"/>
      <c r="AV8" s="408" t="s">
        <v>389</v>
      </c>
      <c r="AW8" s="409" t="s">
        <v>389</v>
      </c>
      <c r="AX8" s="409" t="s">
        <v>389</v>
      </c>
      <c r="AY8" s="409" t="s">
        <v>389</v>
      </c>
      <c r="AZ8" s="409" t="s">
        <v>389</v>
      </c>
      <c r="BA8" s="409" t="s">
        <v>389</v>
      </c>
      <c r="BB8" s="409" t="s">
        <v>389</v>
      </c>
      <c r="BC8" s="410">
        <f t="shared" si="6"/>
        <v>0</v>
      </c>
      <c r="BD8" s="60"/>
      <c r="BE8" s="408" t="s">
        <v>389</v>
      </c>
      <c r="BF8" s="409" t="s">
        <v>389</v>
      </c>
      <c r="BG8" s="409" t="s">
        <v>389</v>
      </c>
      <c r="BH8" s="409" t="s">
        <v>389</v>
      </c>
      <c r="BI8" s="409" t="s">
        <v>389</v>
      </c>
      <c r="BJ8" s="409" t="s">
        <v>389</v>
      </c>
      <c r="BK8" s="409" t="s">
        <v>389</v>
      </c>
      <c r="BL8" s="410">
        <f t="shared" si="7"/>
        <v>0</v>
      </c>
      <c r="BM8" s="60"/>
      <c r="BN8" s="408" t="s">
        <v>389</v>
      </c>
      <c r="BO8" s="409" t="s">
        <v>389</v>
      </c>
      <c r="BP8" s="409" t="s">
        <v>389</v>
      </c>
      <c r="BQ8" s="409" t="s">
        <v>389</v>
      </c>
      <c r="BR8" s="409" t="s">
        <v>389</v>
      </c>
      <c r="BS8" s="409" t="s">
        <v>389</v>
      </c>
      <c r="BT8" s="409" t="s">
        <v>389</v>
      </c>
      <c r="BU8" s="410">
        <f t="shared" si="8"/>
        <v>0</v>
      </c>
      <c r="BV8" s="60"/>
      <c r="BW8" s="408" t="s">
        <v>389</v>
      </c>
      <c r="BX8" s="409" t="s">
        <v>389</v>
      </c>
      <c r="BY8" s="409" t="s">
        <v>389</v>
      </c>
      <c r="BZ8" s="409" t="s">
        <v>389</v>
      </c>
      <c r="CA8" s="409" t="s">
        <v>389</v>
      </c>
      <c r="CB8" s="409" t="s">
        <v>389</v>
      </c>
      <c r="CC8" s="409" t="s">
        <v>389</v>
      </c>
      <c r="CD8" s="410">
        <f t="shared" si="9"/>
        <v>0</v>
      </c>
      <c r="CE8" s="60"/>
      <c r="CF8" s="408" t="s">
        <v>389</v>
      </c>
      <c r="CG8" s="409" t="s">
        <v>389</v>
      </c>
      <c r="CH8" s="409" t="s">
        <v>389</v>
      </c>
      <c r="CI8" s="409" t="s">
        <v>389</v>
      </c>
      <c r="CJ8" s="409" t="s">
        <v>389</v>
      </c>
      <c r="CK8" s="409" t="s">
        <v>389</v>
      </c>
      <c r="CL8" s="409" t="s">
        <v>389</v>
      </c>
      <c r="CM8" s="410">
        <f t="shared" si="10"/>
        <v>0</v>
      </c>
      <c r="CN8" s="60"/>
      <c r="CO8" s="408" t="s">
        <v>389</v>
      </c>
      <c r="CP8" s="409" t="s">
        <v>389</v>
      </c>
      <c r="CQ8" s="409" t="s">
        <v>389</v>
      </c>
      <c r="CR8" s="409" t="s">
        <v>389</v>
      </c>
      <c r="CS8" s="409" t="s">
        <v>389</v>
      </c>
      <c r="CT8" s="409" t="s">
        <v>389</v>
      </c>
      <c r="CU8" s="409" t="s">
        <v>389</v>
      </c>
      <c r="CV8" s="410">
        <f t="shared" si="11"/>
        <v>0</v>
      </c>
      <c r="CW8" s="60"/>
      <c r="CX8" s="408" t="s">
        <v>389</v>
      </c>
      <c r="CY8" s="409" t="s">
        <v>389</v>
      </c>
      <c r="CZ8" s="409" t="s">
        <v>389</v>
      </c>
      <c r="DA8" s="409" t="s">
        <v>389</v>
      </c>
      <c r="DB8" s="409" t="s">
        <v>389</v>
      </c>
      <c r="DC8" s="409" t="s">
        <v>389</v>
      </c>
      <c r="DD8" s="409" t="s">
        <v>389</v>
      </c>
      <c r="DE8" s="410">
        <f t="shared" si="12"/>
        <v>0</v>
      </c>
      <c r="DF8" s="60"/>
      <c r="DG8" s="408" t="s">
        <v>389</v>
      </c>
      <c r="DH8" s="409" t="s">
        <v>389</v>
      </c>
      <c r="DI8" s="409" t="s">
        <v>389</v>
      </c>
      <c r="DJ8" s="409" t="s">
        <v>389</v>
      </c>
      <c r="DK8" s="409" t="s">
        <v>389</v>
      </c>
      <c r="DL8" s="409" t="s">
        <v>389</v>
      </c>
      <c r="DM8" s="409" t="s">
        <v>389</v>
      </c>
      <c r="DN8" s="410">
        <f t="shared" si="13"/>
        <v>0</v>
      </c>
      <c r="DO8" s="60"/>
      <c r="DP8" s="408" t="s">
        <v>389</v>
      </c>
      <c r="DQ8" s="409" t="s">
        <v>389</v>
      </c>
      <c r="DR8" s="409" t="s">
        <v>389</v>
      </c>
      <c r="DS8" s="409" t="s">
        <v>389</v>
      </c>
      <c r="DT8" s="409" t="s">
        <v>389</v>
      </c>
      <c r="DU8" s="409" t="s">
        <v>389</v>
      </c>
      <c r="DV8" s="409" t="s">
        <v>389</v>
      </c>
      <c r="DW8" s="410">
        <f t="shared" si="14"/>
        <v>0</v>
      </c>
      <c r="DX8" s="60"/>
      <c r="DY8" s="408" t="s">
        <v>389</v>
      </c>
      <c r="DZ8" s="409" t="s">
        <v>389</v>
      </c>
      <c r="EA8" s="409" t="s">
        <v>389</v>
      </c>
      <c r="EB8" s="409" t="s">
        <v>389</v>
      </c>
      <c r="EC8" s="409" t="s">
        <v>389</v>
      </c>
      <c r="ED8" s="409" t="s">
        <v>389</v>
      </c>
      <c r="EE8" s="409" t="s">
        <v>389</v>
      </c>
      <c r="EF8" s="410">
        <f t="shared" si="15"/>
        <v>0</v>
      </c>
      <c r="EG8" s="60"/>
      <c r="EH8" s="408" t="s">
        <v>389</v>
      </c>
      <c r="EI8" s="409" t="s">
        <v>389</v>
      </c>
      <c r="EJ8" s="409" t="s">
        <v>389</v>
      </c>
      <c r="EK8" s="409" t="s">
        <v>389</v>
      </c>
      <c r="EL8" s="409" t="s">
        <v>389</v>
      </c>
      <c r="EM8" s="409" t="s">
        <v>389</v>
      </c>
      <c r="EN8" s="409" t="s">
        <v>389</v>
      </c>
      <c r="EO8" s="410">
        <f t="shared" si="16"/>
        <v>0</v>
      </c>
      <c r="EP8" s="60"/>
      <c r="EQ8" s="408" t="s">
        <v>389</v>
      </c>
      <c r="ER8" s="409" t="s">
        <v>389</v>
      </c>
      <c r="ES8" s="409" t="s">
        <v>389</v>
      </c>
      <c r="ET8" s="409" t="s">
        <v>389</v>
      </c>
      <c r="EU8" s="409" t="s">
        <v>389</v>
      </c>
      <c r="EV8" s="409" t="s">
        <v>389</v>
      </c>
      <c r="EW8" s="409" t="s">
        <v>389</v>
      </c>
      <c r="EX8" s="410">
        <f t="shared" si="17"/>
        <v>0</v>
      </c>
      <c r="EY8" s="60"/>
      <c r="EZ8" s="408" t="s">
        <v>389</v>
      </c>
      <c r="FA8" s="409" t="s">
        <v>389</v>
      </c>
      <c r="FB8" s="409" t="s">
        <v>389</v>
      </c>
      <c r="FC8" s="409" t="s">
        <v>389</v>
      </c>
      <c r="FD8" s="409" t="s">
        <v>389</v>
      </c>
      <c r="FE8" s="409" t="s">
        <v>389</v>
      </c>
      <c r="FF8" s="409" t="s">
        <v>389</v>
      </c>
      <c r="FG8" s="410">
        <f t="shared" si="18"/>
        <v>0</v>
      </c>
      <c r="FH8" s="60"/>
      <c r="FI8" s="408" t="s">
        <v>389</v>
      </c>
      <c r="FJ8" s="409" t="s">
        <v>389</v>
      </c>
      <c r="FK8" s="409" t="s">
        <v>389</v>
      </c>
      <c r="FL8" s="409" t="s">
        <v>389</v>
      </c>
      <c r="FM8" s="409" t="s">
        <v>389</v>
      </c>
      <c r="FN8" s="409" t="s">
        <v>389</v>
      </c>
      <c r="FO8" s="409" t="s">
        <v>389</v>
      </c>
      <c r="FP8" s="410">
        <f t="shared" si="19"/>
        <v>0</v>
      </c>
      <c r="FQ8" s="60"/>
      <c r="FR8" s="408" t="s">
        <v>389</v>
      </c>
      <c r="FS8" s="409" t="s">
        <v>389</v>
      </c>
      <c r="FT8" s="409" t="s">
        <v>389</v>
      </c>
      <c r="FU8" s="409" t="s">
        <v>389</v>
      </c>
      <c r="FV8" s="409" t="s">
        <v>389</v>
      </c>
      <c r="FW8" s="409" t="s">
        <v>389</v>
      </c>
      <c r="FX8" s="409" t="s">
        <v>389</v>
      </c>
      <c r="FY8" s="410">
        <f t="shared" si="20"/>
        <v>0</v>
      </c>
      <c r="FZ8" s="60"/>
      <c r="GA8" s="408" t="s">
        <v>389</v>
      </c>
      <c r="GB8" s="409" t="s">
        <v>389</v>
      </c>
      <c r="GC8" s="409" t="s">
        <v>389</v>
      </c>
      <c r="GD8" s="409" t="s">
        <v>389</v>
      </c>
      <c r="GE8" s="409" t="s">
        <v>389</v>
      </c>
      <c r="GF8" s="409" t="s">
        <v>389</v>
      </c>
      <c r="GG8" s="409" t="s">
        <v>389</v>
      </c>
      <c r="GH8" s="410">
        <f t="shared" si="21"/>
        <v>0</v>
      </c>
      <c r="GI8" s="60"/>
      <c r="GJ8" s="408" t="s">
        <v>389</v>
      </c>
      <c r="GK8" s="409" t="s">
        <v>389</v>
      </c>
      <c r="GL8" s="409" t="s">
        <v>389</v>
      </c>
      <c r="GM8" s="409" t="s">
        <v>389</v>
      </c>
      <c r="GN8" s="409" t="s">
        <v>389</v>
      </c>
      <c r="GO8" s="409" t="s">
        <v>389</v>
      </c>
      <c r="GP8" s="409" t="s">
        <v>389</v>
      </c>
      <c r="GQ8" s="410">
        <f t="shared" si="22"/>
        <v>0</v>
      </c>
      <c r="GR8" s="60"/>
      <c r="GS8" s="408" t="s">
        <v>389</v>
      </c>
      <c r="GT8" s="409" t="s">
        <v>389</v>
      </c>
      <c r="GU8" s="409" t="s">
        <v>389</v>
      </c>
      <c r="GV8" s="409" t="s">
        <v>389</v>
      </c>
      <c r="GW8" s="409" t="s">
        <v>389</v>
      </c>
      <c r="GX8" s="409" t="s">
        <v>389</v>
      </c>
      <c r="GY8" s="409" t="s">
        <v>389</v>
      </c>
      <c r="GZ8" s="410">
        <f t="shared" si="23"/>
        <v>0</v>
      </c>
      <c r="HA8" s="60"/>
      <c r="HB8" s="408" t="s">
        <v>389</v>
      </c>
      <c r="HC8" s="409" t="s">
        <v>389</v>
      </c>
      <c r="HD8" s="409" t="s">
        <v>389</v>
      </c>
      <c r="HE8" s="409" t="s">
        <v>389</v>
      </c>
      <c r="HF8" s="409" t="s">
        <v>389</v>
      </c>
      <c r="HG8" s="409" t="s">
        <v>389</v>
      </c>
      <c r="HH8" s="409" t="s">
        <v>389</v>
      </c>
      <c r="HI8" s="410">
        <f t="shared" si="24"/>
        <v>0</v>
      </c>
      <c r="HJ8" s="60"/>
      <c r="HK8" s="408" t="s">
        <v>389</v>
      </c>
      <c r="HL8" s="409" t="s">
        <v>389</v>
      </c>
      <c r="HM8" s="409" t="s">
        <v>389</v>
      </c>
      <c r="HN8" s="409" t="s">
        <v>389</v>
      </c>
      <c r="HO8" s="409" t="s">
        <v>389</v>
      </c>
      <c r="HP8" s="409" t="s">
        <v>389</v>
      </c>
      <c r="HQ8" s="409" t="s">
        <v>389</v>
      </c>
      <c r="HR8" s="410">
        <f t="shared" si="25"/>
        <v>0</v>
      </c>
      <c r="HS8" s="60"/>
      <c r="HT8" s="408" t="s">
        <v>389</v>
      </c>
      <c r="HU8" s="409" t="s">
        <v>389</v>
      </c>
      <c r="HV8" s="409" t="s">
        <v>389</v>
      </c>
      <c r="HW8" s="409" t="s">
        <v>389</v>
      </c>
      <c r="HX8" s="409" t="s">
        <v>389</v>
      </c>
      <c r="HY8" s="409" t="s">
        <v>389</v>
      </c>
      <c r="HZ8" s="409" t="s">
        <v>389</v>
      </c>
      <c r="IA8" s="410">
        <f t="shared" si="26"/>
        <v>0</v>
      </c>
      <c r="IB8" s="60"/>
      <c r="IC8" s="408" t="s">
        <v>389</v>
      </c>
      <c r="ID8" s="409" t="s">
        <v>389</v>
      </c>
      <c r="IE8" s="409" t="s">
        <v>389</v>
      </c>
      <c r="IF8" s="409" t="s">
        <v>389</v>
      </c>
      <c r="IG8" s="409" t="s">
        <v>389</v>
      </c>
      <c r="IH8" s="409" t="s">
        <v>389</v>
      </c>
      <c r="II8" s="409" t="s">
        <v>389</v>
      </c>
      <c r="IJ8" s="410">
        <f t="shared" si="27"/>
        <v>0</v>
      </c>
      <c r="IK8" s="60"/>
      <c r="IL8" s="408" t="s">
        <v>389</v>
      </c>
      <c r="IM8" s="409" t="s">
        <v>389</v>
      </c>
      <c r="IN8" s="409" t="s">
        <v>389</v>
      </c>
      <c r="IO8" s="409" t="s">
        <v>389</v>
      </c>
      <c r="IP8" s="409" t="s">
        <v>389</v>
      </c>
      <c r="IQ8" s="409" t="s">
        <v>389</v>
      </c>
      <c r="IR8" s="409" t="s">
        <v>389</v>
      </c>
      <c r="IS8" s="410">
        <f t="shared" si="28"/>
        <v>0</v>
      </c>
      <c r="IT8" s="60"/>
      <c r="IU8" s="408" t="s">
        <v>389</v>
      </c>
      <c r="IV8" s="409" t="s">
        <v>389</v>
      </c>
      <c r="IW8" s="409" t="s">
        <v>389</v>
      </c>
      <c r="IX8" s="409" t="s">
        <v>389</v>
      </c>
      <c r="IY8" s="409" t="s">
        <v>389</v>
      </c>
      <c r="IZ8" s="409" t="s">
        <v>389</v>
      </c>
      <c r="JA8" s="409" t="s">
        <v>389</v>
      </c>
      <c r="JB8" s="410">
        <f t="shared" si="29"/>
        <v>0</v>
      </c>
      <c r="JC8" s="60"/>
      <c r="JD8" s="408" t="s">
        <v>389</v>
      </c>
      <c r="JE8" s="409" t="s">
        <v>389</v>
      </c>
      <c r="JF8" s="409" t="s">
        <v>389</v>
      </c>
      <c r="JG8" s="409" t="s">
        <v>389</v>
      </c>
      <c r="JH8" s="409" t="s">
        <v>389</v>
      </c>
      <c r="JI8" s="409" t="s">
        <v>389</v>
      </c>
      <c r="JJ8" s="409" t="s">
        <v>389</v>
      </c>
      <c r="JK8" s="410">
        <f t="shared" si="30"/>
        <v>0</v>
      </c>
      <c r="JL8" s="60"/>
      <c r="JM8" s="408" t="s">
        <v>389</v>
      </c>
      <c r="JN8" s="409" t="s">
        <v>389</v>
      </c>
      <c r="JO8" s="409" t="s">
        <v>389</v>
      </c>
      <c r="JP8" s="409" t="s">
        <v>389</v>
      </c>
      <c r="JQ8" s="409" t="s">
        <v>389</v>
      </c>
      <c r="JR8" s="409" t="s">
        <v>389</v>
      </c>
      <c r="JS8" s="409" t="s">
        <v>389</v>
      </c>
      <c r="JT8" s="410">
        <f t="shared" si="31"/>
        <v>0</v>
      </c>
      <c r="JU8" s="60"/>
      <c r="JV8" s="408" t="s">
        <v>389</v>
      </c>
      <c r="JW8" s="409" t="s">
        <v>389</v>
      </c>
      <c r="JX8" s="409" t="s">
        <v>389</v>
      </c>
      <c r="JY8" s="409" t="s">
        <v>389</v>
      </c>
      <c r="JZ8" s="409" t="s">
        <v>389</v>
      </c>
      <c r="KA8" s="409" t="s">
        <v>389</v>
      </c>
      <c r="KB8" s="409" t="s">
        <v>389</v>
      </c>
      <c r="KC8" s="410">
        <f t="shared" si="32"/>
        <v>0</v>
      </c>
      <c r="KD8" s="60"/>
      <c r="KE8" s="408" t="s">
        <v>389</v>
      </c>
      <c r="KF8" s="409" t="s">
        <v>389</v>
      </c>
      <c r="KG8" s="409" t="s">
        <v>389</v>
      </c>
      <c r="KH8" s="409" t="s">
        <v>389</v>
      </c>
      <c r="KI8" s="409" t="s">
        <v>389</v>
      </c>
      <c r="KJ8" s="409" t="s">
        <v>389</v>
      </c>
      <c r="KK8" s="409" t="s">
        <v>389</v>
      </c>
      <c r="KL8" s="410">
        <f t="shared" si="33"/>
        <v>0</v>
      </c>
      <c r="KM8" s="60"/>
      <c r="KN8" s="408" t="s">
        <v>389</v>
      </c>
      <c r="KO8" s="409" t="s">
        <v>389</v>
      </c>
      <c r="KP8" s="409" t="s">
        <v>389</v>
      </c>
      <c r="KQ8" s="409" t="s">
        <v>389</v>
      </c>
      <c r="KR8" s="409" t="s">
        <v>389</v>
      </c>
      <c r="KS8" s="409" t="s">
        <v>389</v>
      </c>
      <c r="KT8" s="409" t="s">
        <v>389</v>
      </c>
      <c r="KU8" s="410">
        <f t="shared" si="34"/>
        <v>0</v>
      </c>
      <c r="KV8" s="60"/>
      <c r="KW8" s="408" t="s">
        <v>389</v>
      </c>
      <c r="KX8" s="409" t="s">
        <v>389</v>
      </c>
      <c r="KY8" s="409" t="s">
        <v>389</v>
      </c>
      <c r="KZ8" s="409" t="s">
        <v>389</v>
      </c>
      <c r="LA8" s="409" t="s">
        <v>389</v>
      </c>
      <c r="LB8" s="409" t="s">
        <v>389</v>
      </c>
      <c r="LC8" s="409" t="s">
        <v>389</v>
      </c>
      <c r="LD8" s="410">
        <f t="shared" si="35"/>
        <v>0</v>
      </c>
      <c r="LE8" s="60"/>
      <c r="LF8" s="408" t="s">
        <v>389</v>
      </c>
      <c r="LG8" s="409" t="s">
        <v>389</v>
      </c>
      <c r="LH8" s="409" t="s">
        <v>389</v>
      </c>
      <c r="LI8" s="409" t="s">
        <v>389</v>
      </c>
      <c r="LJ8" s="409" t="s">
        <v>389</v>
      </c>
      <c r="LK8" s="409" t="s">
        <v>389</v>
      </c>
      <c r="LL8" s="409" t="s">
        <v>389</v>
      </c>
      <c r="LM8" s="410">
        <f t="shared" si="36"/>
        <v>0</v>
      </c>
      <c r="LN8" s="60"/>
      <c r="LO8" s="408" t="s">
        <v>389</v>
      </c>
      <c r="LP8" s="409" t="s">
        <v>389</v>
      </c>
      <c r="LQ8" s="409" t="s">
        <v>389</v>
      </c>
      <c r="LR8" s="409" t="s">
        <v>389</v>
      </c>
      <c r="LS8" s="409" t="s">
        <v>389</v>
      </c>
      <c r="LT8" s="409" t="s">
        <v>389</v>
      </c>
      <c r="LU8" s="409" t="s">
        <v>389</v>
      </c>
      <c r="LV8" s="410">
        <f t="shared" si="37"/>
        <v>0</v>
      </c>
      <c r="LW8" s="60"/>
      <c r="LX8" s="408" t="s">
        <v>389</v>
      </c>
      <c r="LY8" s="409" t="s">
        <v>389</v>
      </c>
      <c r="LZ8" s="409" t="s">
        <v>389</v>
      </c>
      <c r="MA8" s="409" t="s">
        <v>389</v>
      </c>
      <c r="MB8" s="409" t="s">
        <v>389</v>
      </c>
      <c r="MC8" s="409" t="s">
        <v>389</v>
      </c>
      <c r="MD8" s="409" t="s">
        <v>389</v>
      </c>
      <c r="ME8" s="410">
        <f t="shared" si="38"/>
        <v>0</v>
      </c>
      <c r="MF8" s="60"/>
      <c r="MG8" s="408" t="s">
        <v>389</v>
      </c>
      <c r="MH8" s="409" t="s">
        <v>389</v>
      </c>
      <c r="MI8" s="409" t="s">
        <v>389</v>
      </c>
      <c r="MJ8" s="409" t="s">
        <v>389</v>
      </c>
      <c r="MK8" s="409" t="s">
        <v>389</v>
      </c>
      <c r="ML8" s="409" t="s">
        <v>389</v>
      </c>
      <c r="MM8" s="409" t="s">
        <v>389</v>
      </c>
      <c r="MN8" s="410">
        <f t="shared" si="39"/>
        <v>0</v>
      </c>
      <c r="MO8" s="60"/>
      <c r="MP8" s="408" t="s">
        <v>389</v>
      </c>
      <c r="MQ8" s="409" t="s">
        <v>389</v>
      </c>
      <c r="MR8" s="409" t="s">
        <v>389</v>
      </c>
      <c r="MS8" s="409" t="s">
        <v>389</v>
      </c>
      <c r="MT8" s="409" t="s">
        <v>389</v>
      </c>
      <c r="MU8" s="409" t="s">
        <v>389</v>
      </c>
      <c r="MV8" s="409" t="s">
        <v>389</v>
      </c>
      <c r="MW8" s="410">
        <f t="shared" si="40"/>
        <v>0</v>
      </c>
      <c r="MX8" s="60"/>
      <c r="MY8" s="408" t="s">
        <v>389</v>
      </c>
      <c r="MZ8" s="409" t="s">
        <v>389</v>
      </c>
      <c r="NA8" s="409" t="s">
        <v>389</v>
      </c>
      <c r="NB8" s="409" t="s">
        <v>389</v>
      </c>
      <c r="NC8" s="409" t="s">
        <v>389</v>
      </c>
      <c r="ND8" s="409" t="s">
        <v>389</v>
      </c>
      <c r="NE8" s="409" t="s">
        <v>389</v>
      </c>
      <c r="NF8" s="410">
        <f t="shared" si="41"/>
        <v>0</v>
      </c>
      <c r="NG8" s="60"/>
      <c r="NH8" s="408" t="s">
        <v>389</v>
      </c>
      <c r="NI8" s="409" t="s">
        <v>389</v>
      </c>
      <c r="NJ8" s="409" t="s">
        <v>389</v>
      </c>
      <c r="NK8" s="409" t="s">
        <v>389</v>
      </c>
      <c r="NL8" s="409" t="s">
        <v>389</v>
      </c>
      <c r="NM8" s="409" t="s">
        <v>389</v>
      </c>
      <c r="NN8" s="409" t="s">
        <v>389</v>
      </c>
      <c r="NO8" s="410">
        <f t="shared" si="42"/>
        <v>0</v>
      </c>
      <c r="NP8" s="60"/>
      <c r="NQ8" s="408" t="s">
        <v>389</v>
      </c>
      <c r="NR8" s="409" t="s">
        <v>389</v>
      </c>
      <c r="NS8" s="409" t="s">
        <v>389</v>
      </c>
      <c r="NT8" s="409" t="s">
        <v>389</v>
      </c>
      <c r="NU8" s="409" t="s">
        <v>389</v>
      </c>
      <c r="NV8" s="409" t="s">
        <v>389</v>
      </c>
      <c r="NW8" s="409" t="s">
        <v>389</v>
      </c>
      <c r="NX8" s="410">
        <f t="shared" si="43"/>
        <v>0</v>
      </c>
      <c r="NY8" s="60"/>
      <c r="NZ8" s="408" t="s">
        <v>389</v>
      </c>
      <c r="OA8" s="409" t="s">
        <v>389</v>
      </c>
      <c r="OB8" s="409" t="s">
        <v>389</v>
      </c>
      <c r="OC8" s="409" t="s">
        <v>389</v>
      </c>
      <c r="OD8" s="409" t="s">
        <v>389</v>
      </c>
      <c r="OE8" s="409" t="s">
        <v>389</v>
      </c>
      <c r="OF8" s="409" t="s">
        <v>389</v>
      </c>
      <c r="OG8" s="410">
        <f t="shared" si="44"/>
        <v>0</v>
      </c>
      <c r="OH8" s="60"/>
      <c r="OI8" s="408" t="s">
        <v>389</v>
      </c>
      <c r="OJ8" s="409" t="s">
        <v>389</v>
      </c>
      <c r="OK8" s="409" t="s">
        <v>389</v>
      </c>
      <c r="OL8" s="409" t="s">
        <v>389</v>
      </c>
      <c r="OM8" s="409" t="s">
        <v>389</v>
      </c>
      <c r="ON8" s="409" t="s">
        <v>389</v>
      </c>
      <c r="OO8" s="409" t="s">
        <v>389</v>
      </c>
      <c r="OP8" s="410">
        <f t="shared" si="45"/>
        <v>0</v>
      </c>
      <c r="OQ8" s="60"/>
      <c r="OR8" s="408" t="s">
        <v>389</v>
      </c>
      <c r="OS8" s="409" t="s">
        <v>389</v>
      </c>
      <c r="OT8" s="409" t="s">
        <v>389</v>
      </c>
      <c r="OU8" s="409" t="s">
        <v>389</v>
      </c>
      <c r="OV8" s="409" t="s">
        <v>389</v>
      </c>
      <c r="OW8" s="409" t="s">
        <v>389</v>
      </c>
      <c r="OX8" s="409" t="s">
        <v>389</v>
      </c>
      <c r="OY8" s="410">
        <f t="shared" si="46"/>
        <v>0</v>
      </c>
      <c r="OZ8" s="60"/>
      <c r="PA8" s="408" t="s">
        <v>389</v>
      </c>
      <c r="PB8" s="409" t="s">
        <v>389</v>
      </c>
      <c r="PC8" s="409" t="s">
        <v>389</v>
      </c>
      <c r="PD8" s="409" t="s">
        <v>389</v>
      </c>
      <c r="PE8" s="409" t="s">
        <v>389</v>
      </c>
      <c r="PF8" s="409" t="s">
        <v>389</v>
      </c>
      <c r="PG8" s="409" t="s">
        <v>389</v>
      </c>
      <c r="PH8" s="410">
        <f t="shared" si="47"/>
        <v>0</v>
      </c>
      <c r="PI8" s="60"/>
      <c r="PJ8" s="408" t="s">
        <v>389</v>
      </c>
      <c r="PK8" s="409" t="s">
        <v>389</v>
      </c>
      <c r="PL8" s="409" t="s">
        <v>389</v>
      </c>
      <c r="PM8" s="409" t="s">
        <v>389</v>
      </c>
      <c r="PN8" s="409" t="s">
        <v>389</v>
      </c>
      <c r="PO8" s="409" t="s">
        <v>389</v>
      </c>
      <c r="PP8" s="409" t="s">
        <v>389</v>
      </c>
      <c r="PQ8" s="410">
        <f t="shared" si="48"/>
        <v>0</v>
      </c>
      <c r="PR8" s="60"/>
      <c r="PS8" s="408" t="s">
        <v>389</v>
      </c>
      <c r="PT8" s="409" t="s">
        <v>389</v>
      </c>
      <c r="PU8" s="409" t="s">
        <v>389</v>
      </c>
      <c r="PV8" s="409" t="s">
        <v>389</v>
      </c>
      <c r="PW8" s="409" t="s">
        <v>389</v>
      </c>
      <c r="PX8" s="409" t="s">
        <v>389</v>
      </c>
      <c r="PY8" s="409" t="s">
        <v>389</v>
      </c>
      <c r="PZ8" s="410">
        <f t="shared" si="49"/>
        <v>0</v>
      </c>
      <c r="QA8" s="60"/>
      <c r="QB8" s="408" t="s">
        <v>389</v>
      </c>
      <c r="QC8" s="409" t="s">
        <v>389</v>
      </c>
      <c r="QD8" s="409" t="s">
        <v>389</v>
      </c>
      <c r="QE8" s="409" t="s">
        <v>389</v>
      </c>
      <c r="QF8" s="409" t="s">
        <v>389</v>
      </c>
      <c r="QG8" s="409" t="s">
        <v>389</v>
      </c>
      <c r="QH8" s="409" t="s">
        <v>389</v>
      </c>
      <c r="QI8" s="410">
        <f t="shared" si="50"/>
        <v>0</v>
      </c>
      <c r="QJ8" s="60"/>
      <c r="QK8" s="408" t="s">
        <v>389</v>
      </c>
      <c r="QL8" s="409" t="s">
        <v>389</v>
      </c>
      <c r="QM8" s="409" t="s">
        <v>389</v>
      </c>
      <c r="QN8" s="409" t="s">
        <v>389</v>
      </c>
      <c r="QO8" s="409" t="s">
        <v>389</v>
      </c>
      <c r="QP8" s="409" t="s">
        <v>389</v>
      </c>
      <c r="QQ8" s="409" t="s">
        <v>389</v>
      </c>
      <c r="QR8" s="410">
        <f t="shared" si="51"/>
        <v>0</v>
      </c>
      <c r="QS8" s="60"/>
      <c r="QT8" s="408" t="s">
        <v>389</v>
      </c>
      <c r="QU8" s="409" t="s">
        <v>389</v>
      </c>
      <c r="QV8" s="409" t="s">
        <v>389</v>
      </c>
      <c r="QW8" s="409" t="s">
        <v>389</v>
      </c>
      <c r="QX8" s="409" t="s">
        <v>389</v>
      </c>
      <c r="QY8" s="409" t="s">
        <v>389</v>
      </c>
      <c r="QZ8" s="409" t="s">
        <v>389</v>
      </c>
      <c r="RA8" s="410">
        <f t="shared" si="52"/>
        <v>0</v>
      </c>
      <c r="RB8" s="30"/>
      <c r="RC8" s="57"/>
    </row>
    <row r="9" hidden="1">
      <c r="A9" s="32" t="s">
        <v>394</v>
      </c>
      <c r="B9" s="60"/>
      <c r="C9" s="408" t="s">
        <v>389</v>
      </c>
      <c r="D9" s="409" t="s">
        <v>389</v>
      </c>
      <c r="E9" s="409" t="s">
        <v>389</v>
      </c>
      <c r="F9" s="409" t="s">
        <v>389</v>
      </c>
      <c r="G9" s="409" t="s">
        <v>389</v>
      </c>
      <c r="H9" s="409" t="s">
        <v>389</v>
      </c>
      <c r="I9" s="409" t="s">
        <v>389</v>
      </c>
      <c r="J9" s="410">
        <f t="shared" si="1"/>
        <v>0</v>
      </c>
      <c r="K9" s="60"/>
      <c r="L9" s="408" t="s">
        <v>389</v>
      </c>
      <c r="M9" s="409" t="s">
        <v>389</v>
      </c>
      <c r="N9" s="409" t="s">
        <v>389</v>
      </c>
      <c r="O9" s="409" t="s">
        <v>389</v>
      </c>
      <c r="P9" s="409" t="s">
        <v>389</v>
      </c>
      <c r="Q9" s="409" t="s">
        <v>389</v>
      </c>
      <c r="R9" s="409" t="s">
        <v>389</v>
      </c>
      <c r="S9" s="410">
        <f t="shared" si="2"/>
        <v>0</v>
      </c>
      <c r="T9" s="60"/>
      <c r="U9" s="408" t="s">
        <v>389</v>
      </c>
      <c r="V9" s="409" t="s">
        <v>389</v>
      </c>
      <c r="W9" s="409" t="s">
        <v>389</v>
      </c>
      <c r="X9" s="409" t="s">
        <v>389</v>
      </c>
      <c r="Y9" s="409" t="s">
        <v>389</v>
      </c>
      <c r="Z9" s="409" t="s">
        <v>389</v>
      </c>
      <c r="AA9" s="409" t="s">
        <v>389</v>
      </c>
      <c r="AB9" s="410">
        <f t="shared" si="3"/>
        <v>0</v>
      </c>
      <c r="AC9" s="60"/>
      <c r="AD9" s="408" t="s">
        <v>389</v>
      </c>
      <c r="AE9" s="409" t="s">
        <v>389</v>
      </c>
      <c r="AF9" s="409" t="s">
        <v>389</v>
      </c>
      <c r="AG9" s="409" t="s">
        <v>389</v>
      </c>
      <c r="AH9" s="409" t="s">
        <v>389</v>
      </c>
      <c r="AI9" s="409" t="s">
        <v>389</v>
      </c>
      <c r="AJ9" s="409" t="s">
        <v>389</v>
      </c>
      <c r="AK9" s="410">
        <f t="shared" si="4"/>
        <v>0</v>
      </c>
      <c r="AL9" s="60"/>
      <c r="AM9" s="408" t="s">
        <v>389</v>
      </c>
      <c r="AN9" s="409" t="s">
        <v>389</v>
      </c>
      <c r="AO9" s="409" t="s">
        <v>389</v>
      </c>
      <c r="AP9" s="409" t="s">
        <v>389</v>
      </c>
      <c r="AQ9" s="409" t="s">
        <v>389</v>
      </c>
      <c r="AR9" s="409" t="s">
        <v>389</v>
      </c>
      <c r="AS9" s="409" t="s">
        <v>389</v>
      </c>
      <c r="AT9" s="410">
        <f t="shared" si="5"/>
        <v>0</v>
      </c>
      <c r="AU9" s="60"/>
      <c r="AV9" s="408" t="s">
        <v>389</v>
      </c>
      <c r="AW9" s="409" t="s">
        <v>389</v>
      </c>
      <c r="AX9" s="409" t="s">
        <v>389</v>
      </c>
      <c r="AY9" s="409" t="s">
        <v>389</v>
      </c>
      <c r="AZ9" s="409" t="s">
        <v>389</v>
      </c>
      <c r="BA9" s="409" t="s">
        <v>389</v>
      </c>
      <c r="BB9" s="409" t="s">
        <v>389</v>
      </c>
      <c r="BC9" s="410">
        <f t="shared" si="6"/>
        <v>0</v>
      </c>
      <c r="BD9" s="60"/>
      <c r="BE9" s="408" t="s">
        <v>389</v>
      </c>
      <c r="BF9" s="409" t="s">
        <v>389</v>
      </c>
      <c r="BG9" s="409" t="s">
        <v>389</v>
      </c>
      <c r="BH9" s="409" t="s">
        <v>389</v>
      </c>
      <c r="BI9" s="409" t="s">
        <v>389</v>
      </c>
      <c r="BJ9" s="409" t="s">
        <v>389</v>
      </c>
      <c r="BK9" s="409" t="s">
        <v>389</v>
      </c>
      <c r="BL9" s="410">
        <f t="shared" si="7"/>
        <v>0</v>
      </c>
      <c r="BM9" s="60"/>
      <c r="BN9" s="408" t="s">
        <v>389</v>
      </c>
      <c r="BO9" s="409" t="s">
        <v>389</v>
      </c>
      <c r="BP9" s="409" t="s">
        <v>389</v>
      </c>
      <c r="BQ9" s="409" t="s">
        <v>389</v>
      </c>
      <c r="BR9" s="409" t="s">
        <v>389</v>
      </c>
      <c r="BS9" s="409" t="s">
        <v>389</v>
      </c>
      <c r="BT9" s="409" t="s">
        <v>389</v>
      </c>
      <c r="BU9" s="410">
        <f t="shared" si="8"/>
        <v>0</v>
      </c>
      <c r="BV9" s="60"/>
      <c r="BW9" s="408" t="s">
        <v>389</v>
      </c>
      <c r="BX9" s="409" t="s">
        <v>389</v>
      </c>
      <c r="BY9" s="409" t="s">
        <v>389</v>
      </c>
      <c r="BZ9" s="409" t="s">
        <v>389</v>
      </c>
      <c r="CA9" s="409" t="s">
        <v>389</v>
      </c>
      <c r="CB9" s="409" t="s">
        <v>389</v>
      </c>
      <c r="CC9" s="409" t="s">
        <v>389</v>
      </c>
      <c r="CD9" s="410">
        <f t="shared" si="9"/>
        <v>0</v>
      </c>
      <c r="CE9" s="60"/>
      <c r="CF9" s="408" t="s">
        <v>389</v>
      </c>
      <c r="CG9" s="409" t="s">
        <v>389</v>
      </c>
      <c r="CH9" s="409" t="s">
        <v>389</v>
      </c>
      <c r="CI9" s="409" t="s">
        <v>389</v>
      </c>
      <c r="CJ9" s="409" t="s">
        <v>389</v>
      </c>
      <c r="CK9" s="409" t="s">
        <v>389</v>
      </c>
      <c r="CL9" s="409" t="s">
        <v>389</v>
      </c>
      <c r="CM9" s="410">
        <f t="shared" si="10"/>
        <v>0</v>
      </c>
      <c r="CN9" s="60"/>
      <c r="CO9" s="408" t="s">
        <v>389</v>
      </c>
      <c r="CP9" s="409" t="s">
        <v>389</v>
      </c>
      <c r="CQ9" s="409" t="s">
        <v>389</v>
      </c>
      <c r="CR9" s="409" t="s">
        <v>389</v>
      </c>
      <c r="CS9" s="409" t="s">
        <v>389</v>
      </c>
      <c r="CT9" s="409" t="s">
        <v>389</v>
      </c>
      <c r="CU9" s="409" t="s">
        <v>389</v>
      </c>
      <c r="CV9" s="410">
        <f t="shared" si="11"/>
        <v>0</v>
      </c>
      <c r="CW9" s="60"/>
      <c r="CX9" s="408" t="s">
        <v>389</v>
      </c>
      <c r="CY9" s="409" t="s">
        <v>389</v>
      </c>
      <c r="CZ9" s="409" t="s">
        <v>389</v>
      </c>
      <c r="DA9" s="409" t="s">
        <v>389</v>
      </c>
      <c r="DB9" s="409" t="s">
        <v>389</v>
      </c>
      <c r="DC9" s="409" t="s">
        <v>389</v>
      </c>
      <c r="DD9" s="409" t="s">
        <v>389</v>
      </c>
      <c r="DE9" s="410">
        <f t="shared" si="12"/>
        <v>0</v>
      </c>
      <c r="DF9" s="60"/>
      <c r="DG9" s="408" t="s">
        <v>389</v>
      </c>
      <c r="DH9" s="409" t="s">
        <v>389</v>
      </c>
      <c r="DI9" s="409" t="s">
        <v>389</v>
      </c>
      <c r="DJ9" s="409" t="s">
        <v>389</v>
      </c>
      <c r="DK9" s="409" t="s">
        <v>389</v>
      </c>
      <c r="DL9" s="409" t="s">
        <v>389</v>
      </c>
      <c r="DM9" s="409" t="s">
        <v>389</v>
      </c>
      <c r="DN9" s="410">
        <f t="shared" si="13"/>
        <v>0</v>
      </c>
      <c r="DO9" s="60"/>
      <c r="DP9" s="408" t="s">
        <v>389</v>
      </c>
      <c r="DQ9" s="409" t="s">
        <v>389</v>
      </c>
      <c r="DR9" s="409" t="s">
        <v>389</v>
      </c>
      <c r="DS9" s="409" t="s">
        <v>389</v>
      </c>
      <c r="DT9" s="409" t="s">
        <v>389</v>
      </c>
      <c r="DU9" s="409" t="s">
        <v>389</v>
      </c>
      <c r="DV9" s="409" t="s">
        <v>389</v>
      </c>
      <c r="DW9" s="410">
        <f t="shared" si="14"/>
        <v>0</v>
      </c>
      <c r="DX9" s="60"/>
      <c r="DY9" s="408" t="s">
        <v>389</v>
      </c>
      <c r="DZ9" s="409" t="s">
        <v>389</v>
      </c>
      <c r="EA9" s="409" t="s">
        <v>389</v>
      </c>
      <c r="EB9" s="409" t="s">
        <v>389</v>
      </c>
      <c r="EC9" s="409" t="s">
        <v>389</v>
      </c>
      <c r="ED9" s="409" t="s">
        <v>389</v>
      </c>
      <c r="EE9" s="409" t="s">
        <v>389</v>
      </c>
      <c r="EF9" s="410">
        <f t="shared" si="15"/>
        <v>0</v>
      </c>
      <c r="EG9" s="60"/>
      <c r="EH9" s="408" t="s">
        <v>389</v>
      </c>
      <c r="EI9" s="409" t="s">
        <v>389</v>
      </c>
      <c r="EJ9" s="409" t="s">
        <v>389</v>
      </c>
      <c r="EK9" s="409" t="s">
        <v>389</v>
      </c>
      <c r="EL9" s="409" t="s">
        <v>389</v>
      </c>
      <c r="EM9" s="409" t="s">
        <v>389</v>
      </c>
      <c r="EN9" s="409" t="s">
        <v>389</v>
      </c>
      <c r="EO9" s="410">
        <f t="shared" si="16"/>
        <v>0</v>
      </c>
      <c r="EP9" s="60"/>
      <c r="EQ9" s="408" t="s">
        <v>389</v>
      </c>
      <c r="ER9" s="409" t="s">
        <v>389</v>
      </c>
      <c r="ES9" s="409" t="s">
        <v>389</v>
      </c>
      <c r="ET9" s="409" t="s">
        <v>389</v>
      </c>
      <c r="EU9" s="409" t="s">
        <v>389</v>
      </c>
      <c r="EV9" s="409" t="s">
        <v>389</v>
      </c>
      <c r="EW9" s="409" t="s">
        <v>389</v>
      </c>
      <c r="EX9" s="410">
        <f t="shared" si="17"/>
        <v>0</v>
      </c>
      <c r="EY9" s="60"/>
      <c r="EZ9" s="408" t="s">
        <v>389</v>
      </c>
      <c r="FA9" s="409" t="s">
        <v>389</v>
      </c>
      <c r="FB9" s="409" t="s">
        <v>389</v>
      </c>
      <c r="FC9" s="409" t="s">
        <v>389</v>
      </c>
      <c r="FD9" s="409" t="s">
        <v>389</v>
      </c>
      <c r="FE9" s="409" t="s">
        <v>389</v>
      </c>
      <c r="FF9" s="409" t="s">
        <v>389</v>
      </c>
      <c r="FG9" s="410">
        <f t="shared" si="18"/>
        <v>0</v>
      </c>
      <c r="FH9" s="60"/>
      <c r="FI9" s="408" t="s">
        <v>389</v>
      </c>
      <c r="FJ9" s="409" t="s">
        <v>389</v>
      </c>
      <c r="FK9" s="409" t="s">
        <v>389</v>
      </c>
      <c r="FL9" s="409" t="s">
        <v>389</v>
      </c>
      <c r="FM9" s="409" t="s">
        <v>389</v>
      </c>
      <c r="FN9" s="409" t="s">
        <v>389</v>
      </c>
      <c r="FO9" s="409" t="s">
        <v>389</v>
      </c>
      <c r="FP9" s="410">
        <f t="shared" si="19"/>
        <v>0</v>
      </c>
      <c r="FQ9" s="60"/>
      <c r="FR9" s="408" t="s">
        <v>389</v>
      </c>
      <c r="FS9" s="409" t="s">
        <v>389</v>
      </c>
      <c r="FT9" s="409" t="s">
        <v>389</v>
      </c>
      <c r="FU9" s="409" t="s">
        <v>389</v>
      </c>
      <c r="FV9" s="409" t="s">
        <v>389</v>
      </c>
      <c r="FW9" s="409" t="s">
        <v>389</v>
      </c>
      <c r="FX9" s="409" t="s">
        <v>389</v>
      </c>
      <c r="FY9" s="410">
        <f t="shared" si="20"/>
        <v>0</v>
      </c>
      <c r="FZ9" s="60"/>
      <c r="GA9" s="408" t="s">
        <v>389</v>
      </c>
      <c r="GB9" s="409" t="s">
        <v>389</v>
      </c>
      <c r="GC9" s="409" t="s">
        <v>389</v>
      </c>
      <c r="GD9" s="409" t="s">
        <v>389</v>
      </c>
      <c r="GE9" s="409" t="s">
        <v>389</v>
      </c>
      <c r="GF9" s="409" t="s">
        <v>389</v>
      </c>
      <c r="GG9" s="409" t="s">
        <v>389</v>
      </c>
      <c r="GH9" s="410">
        <f t="shared" si="21"/>
        <v>0</v>
      </c>
      <c r="GI9" s="60"/>
      <c r="GJ9" s="408" t="s">
        <v>389</v>
      </c>
      <c r="GK9" s="409" t="s">
        <v>389</v>
      </c>
      <c r="GL9" s="409" t="s">
        <v>389</v>
      </c>
      <c r="GM9" s="409" t="s">
        <v>389</v>
      </c>
      <c r="GN9" s="409" t="s">
        <v>389</v>
      </c>
      <c r="GO9" s="409" t="s">
        <v>389</v>
      </c>
      <c r="GP9" s="409" t="s">
        <v>389</v>
      </c>
      <c r="GQ9" s="410">
        <f t="shared" si="22"/>
        <v>0</v>
      </c>
      <c r="GR9" s="60"/>
      <c r="GS9" s="408" t="s">
        <v>389</v>
      </c>
      <c r="GT9" s="409" t="s">
        <v>389</v>
      </c>
      <c r="GU9" s="409" t="s">
        <v>389</v>
      </c>
      <c r="GV9" s="409" t="s">
        <v>389</v>
      </c>
      <c r="GW9" s="409" t="s">
        <v>389</v>
      </c>
      <c r="GX9" s="409" t="s">
        <v>389</v>
      </c>
      <c r="GY9" s="409" t="s">
        <v>389</v>
      </c>
      <c r="GZ9" s="410">
        <f t="shared" si="23"/>
        <v>0</v>
      </c>
      <c r="HA9" s="60"/>
      <c r="HB9" s="408" t="s">
        <v>389</v>
      </c>
      <c r="HC9" s="409" t="s">
        <v>389</v>
      </c>
      <c r="HD9" s="409" t="s">
        <v>389</v>
      </c>
      <c r="HE9" s="409" t="s">
        <v>389</v>
      </c>
      <c r="HF9" s="409" t="s">
        <v>389</v>
      </c>
      <c r="HG9" s="409" t="s">
        <v>389</v>
      </c>
      <c r="HH9" s="409" t="s">
        <v>389</v>
      </c>
      <c r="HI9" s="410">
        <f t="shared" si="24"/>
        <v>0</v>
      </c>
      <c r="HJ9" s="60"/>
      <c r="HK9" s="408" t="s">
        <v>389</v>
      </c>
      <c r="HL9" s="409" t="s">
        <v>389</v>
      </c>
      <c r="HM9" s="409" t="s">
        <v>389</v>
      </c>
      <c r="HN9" s="409" t="s">
        <v>389</v>
      </c>
      <c r="HO9" s="409" t="s">
        <v>389</v>
      </c>
      <c r="HP9" s="409" t="s">
        <v>389</v>
      </c>
      <c r="HQ9" s="409" t="s">
        <v>389</v>
      </c>
      <c r="HR9" s="410">
        <f t="shared" si="25"/>
        <v>0</v>
      </c>
      <c r="HS9" s="60"/>
      <c r="HT9" s="408" t="s">
        <v>389</v>
      </c>
      <c r="HU9" s="409" t="s">
        <v>389</v>
      </c>
      <c r="HV9" s="409" t="s">
        <v>389</v>
      </c>
      <c r="HW9" s="409" t="s">
        <v>389</v>
      </c>
      <c r="HX9" s="409" t="s">
        <v>389</v>
      </c>
      <c r="HY9" s="409" t="s">
        <v>389</v>
      </c>
      <c r="HZ9" s="409" t="s">
        <v>389</v>
      </c>
      <c r="IA9" s="410">
        <f t="shared" si="26"/>
        <v>0</v>
      </c>
      <c r="IB9" s="60"/>
      <c r="IC9" s="408" t="s">
        <v>389</v>
      </c>
      <c r="ID9" s="409" t="s">
        <v>389</v>
      </c>
      <c r="IE9" s="409" t="s">
        <v>389</v>
      </c>
      <c r="IF9" s="409" t="s">
        <v>389</v>
      </c>
      <c r="IG9" s="409" t="s">
        <v>389</v>
      </c>
      <c r="IH9" s="409" t="s">
        <v>389</v>
      </c>
      <c r="II9" s="409" t="s">
        <v>389</v>
      </c>
      <c r="IJ9" s="410">
        <f t="shared" si="27"/>
        <v>0</v>
      </c>
      <c r="IK9" s="60"/>
      <c r="IL9" s="408" t="s">
        <v>389</v>
      </c>
      <c r="IM9" s="409" t="s">
        <v>389</v>
      </c>
      <c r="IN9" s="409" t="s">
        <v>389</v>
      </c>
      <c r="IO9" s="409" t="s">
        <v>389</v>
      </c>
      <c r="IP9" s="409" t="s">
        <v>389</v>
      </c>
      <c r="IQ9" s="409" t="s">
        <v>389</v>
      </c>
      <c r="IR9" s="409" t="s">
        <v>389</v>
      </c>
      <c r="IS9" s="410">
        <f t="shared" si="28"/>
        <v>0</v>
      </c>
      <c r="IT9" s="60"/>
      <c r="IU9" s="408" t="s">
        <v>389</v>
      </c>
      <c r="IV9" s="409" t="s">
        <v>389</v>
      </c>
      <c r="IW9" s="409" t="s">
        <v>389</v>
      </c>
      <c r="IX9" s="409" t="s">
        <v>389</v>
      </c>
      <c r="IY9" s="409" t="s">
        <v>389</v>
      </c>
      <c r="IZ9" s="409" t="s">
        <v>389</v>
      </c>
      <c r="JA9" s="409" t="s">
        <v>389</v>
      </c>
      <c r="JB9" s="410">
        <f t="shared" si="29"/>
        <v>0</v>
      </c>
      <c r="JC9" s="60"/>
      <c r="JD9" s="408" t="s">
        <v>389</v>
      </c>
      <c r="JE9" s="409" t="s">
        <v>389</v>
      </c>
      <c r="JF9" s="409" t="s">
        <v>389</v>
      </c>
      <c r="JG9" s="409" t="s">
        <v>389</v>
      </c>
      <c r="JH9" s="409" t="s">
        <v>389</v>
      </c>
      <c r="JI9" s="409" t="s">
        <v>389</v>
      </c>
      <c r="JJ9" s="409" t="s">
        <v>389</v>
      </c>
      <c r="JK9" s="410">
        <f t="shared" si="30"/>
        <v>0</v>
      </c>
      <c r="JL9" s="60"/>
      <c r="JM9" s="408" t="s">
        <v>389</v>
      </c>
      <c r="JN9" s="409" t="s">
        <v>389</v>
      </c>
      <c r="JO9" s="409" t="s">
        <v>389</v>
      </c>
      <c r="JP9" s="409" t="s">
        <v>389</v>
      </c>
      <c r="JQ9" s="409" t="s">
        <v>389</v>
      </c>
      <c r="JR9" s="409" t="s">
        <v>389</v>
      </c>
      <c r="JS9" s="409" t="s">
        <v>389</v>
      </c>
      <c r="JT9" s="410">
        <f t="shared" si="31"/>
        <v>0</v>
      </c>
      <c r="JU9" s="60"/>
      <c r="JV9" s="408" t="s">
        <v>389</v>
      </c>
      <c r="JW9" s="409" t="s">
        <v>389</v>
      </c>
      <c r="JX9" s="409" t="s">
        <v>389</v>
      </c>
      <c r="JY9" s="409" t="s">
        <v>389</v>
      </c>
      <c r="JZ9" s="409" t="s">
        <v>389</v>
      </c>
      <c r="KA9" s="409" t="s">
        <v>389</v>
      </c>
      <c r="KB9" s="409" t="s">
        <v>389</v>
      </c>
      <c r="KC9" s="410">
        <f t="shared" si="32"/>
        <v>0</v>
      </c>
      <c r="KD9" s="60"/>
      <c r="KE9" s="408" t="s">
        <v>389</v>
      </c>
      <c r="KF9" s="409" t="s">
        <v>389</v>
      </c>
      <c r="KG9" s="409" t="s">
        <v>389</v>
      </c>
      <c r="KH9" s="409" t="s">
        <v>389</v>
      </c>
      <c r="KI9" s="409" t="s">
        <v>389</v>
      </c>
      <c r="KJ9" s="409" t="s">
        <v>389</v>
      </c>
      <c r="KK9" s="409" t="s">
        <v>389</v>
      </c>
      <c r="KL9" s="410">
        <f t="shared" si="33"/>
        <v>0</v>
      </c>
      <c r="KM9" s="60"/>
      <c r="KN9" s="408" t="s">
        <v>389</v>
      </c>
      <c r="KO9" s="409" t="s">
        <v>389</v>
      </c>
      <c r="KP9" s="409" t="s">
        <v>389</v>
      </c>
      <c r="KQ9" s="409" t="s">
        <v>389</v>
      </c>
      <c r="KR9" s="409" t="s">
        <v>389</v>
      </c>
      <c r="KS9" s="409" t="s">
        <v>389</v>
      </c>
      <c r="KT9" s="409" t="s">
        <v>389</v>
      </c>
      <c r="KU9" s="410">
        <f t="shared" si="34"/>
        <v>0</v>
      </c>
      <c r="KV9" s="60"/>
      <c r="KW9" s="408" t="s">
        <v>389</v>
      </c>
      <c r="KX9" s="409" t="s">
        <v>389</v>
      </c>
      <c r="KY9" s="409" t="s">
        <v>389</v>
      </c>
      <c r="KZ9" s="409" t="s">
        <v>389</v>
      </c>
      <c r="LA9" s="409" t="s">
        <v>389</v>
      </c>
      <c r="LB9" s="409" t="s">
        <v>389</v>
      </c>
      <c r="LC9" s="409" t="s">
        <v>389</v>
      </c>
      <c r="LD9" s="410">
        <f t="shared" si="35"/>
        <v>0</v>
      </c>
      <c r="LE9" s="60"/>
      <c r="LF9" s="408" t="s">
        <v>389</v>
      </c>
      <c r="LG9" s="409" t="s">
        <v>389</v>
      </c>
      <c r="LH9" s="409" t="s">
        <v>389</v>
      </c>
      <c r="LI9" s="409" t="s">
        <v>389</v>
      </c>
      <c r="LJ9" s="409" t="s">
        <v>389</v>
      </c>
      <c r="LK9" s="409" t="s">
        <v>389</v>
      </c>
      <c r="LL9" s="409" t="s">
        <v>389</v>
      </c>
      <c r="LM9" s="410">
        <f t="shared" si="36"/>
        <v>0</v>
      </c>
      <c r="LN9" s="60"/>
      <c r="LO9" s="408" t="s">
        <v>389</v>
      </c>
      <c r="LP9" s="409" t="s">
        <v>389</v>
      </c>
      <c r="LQ9" s="409" t="s">
        <v>389</v>
      </c>
      <c r="LR9" s="409" t="s">
        <v>389</v>
      </c>
      <c r="LS9" s="409" t="s">
        <v>389</v>
      </c>
      <c r="LT9" s="409" t="s">
        <v>389</v>
      </c>
      <c r="LU9" s="409" t="s">
        <v>389</v>
      </c>
      <c r="LV9" s="410">
        <f t="shared" si="37"/>
        <v>0</v>
      </c>
      <c r="LW9" s="60"/>
      <c r="LX9" s="408" t="s">
        <v>389</v>
      </c>
      <c r="LY9" s="409" t="s">
        <v>389</v>
      </c>
      <c r="LZ9" s="409" t="s">
        <v>389</v>
      </c>
      <c r="MA9" s="409" t="s">
        <v>389</v>
      </c>
      <c r="MB9" s="409" t="s">
        <v>389</v>
      </c>
      <c r="MC9" s="409" t="s">
        <v>389</v>
      </c>
      <c r="MD9" s="409" t="s">
        <v>389</v>
      </c>
      <c r="ME9" s="410">
        <f t="shared" si="38"/>
        <v>0</v>
      </c>
      <c r="MF9" s="60"/>
      <c r="MG9" s="408" t="s">
        <v>389</v>
      </c>
      <c r="MH9" s="409" t="s">
        <v>389</v>
      </c>
      <c r="MI9" s="409" t="s">
        <v>389</v>
      </c>
      <c r="MJ9" s="409" t="s">
        <v>389</v>
      </c>
      <c r="MK9" s="409" t="s">
        <v>389</v>
      </c>
      <c r="ML9" s="409" t="s">
        <v>389</v>
      </c>
      <c r="MM9" s="409" t="s">
        <v>389</v>
      </c>
      <c r="MN9" s="410">
        <f t="shared" si="39"/>
        <v>0</v>
      </c>
      <c r="MO9" s="60"/>
      <c r="MP9" s="408" t="s">
        <v>389</v>
      </c>
      <c r="MQ9" s="409" t="s">
        <v>389</v>
      </c>
      <c r="MR9" s="409" t="s">
        <v>389</v>
      </c>
      <c r="MS9" s="409" t="s">
        <v>389</v>
      </c>
      <c r="MT9" s="409" t="s">
        <v>389</v>
      </c>
      <c r="MU9" s="409" t="s">
        <v>389</v>
      </c>
      <c r="MV9" s="409" t="s">
        <v>389</v>
      </c>
      <c r="MW9" s="410">
        <f t="shared" si="40"/>
        <v>0</v>
      </c>
      <c r="MX9" s="60"/>
      <c r="MY9" s="408" t="s">
        <v>389</v>
      </c>
      <c r="MZ9" s="409" t="s">
        <v>389</v>
      </c>
      <c r="NA9" s="409" t="s">
        <v>389</v>
      </c>
      <c r="NB9" s="409" t="s">
        <v>389</v>
      </c>
      <c r="NC9" s="409" t="s">
        <v>389</v>
      </c>
      <c r="ND9" s="409" t="s">
        <v>389</v>
      </c>
      <c r="NE9" s="409" t="s">
        <v>389</v>
      </c>
      <c r="NF9" s="410">
        <f t="shared" si="41"/>
        <v>0</v>
      </c>
      <c r="NG9" s="60"/>
      <c r="NH9" s="408" t="s">
        <v>389</v>
      </c>
      <c r="NI9" s="409" t="s">
        <v>389</v>
      </c>
      <c r="NJ9" s="409" t="s">
        <v>389</v>
      </c>
      <c r="NK9" s="409" t="s">
        <v>389</v>
      </c>
      <c r="NL9" s="409" t="s">
        <v>389</v>
      </c>
      <c r="NM9" s="409" t="s">
        <v>389</v>
      </c>
      <c r="NN9" s="409" t="s">
        <v>389</v>
      </c>
      <c r="NO9" s="410">
        <f t="shared" si="42"/>
        <v>0</v>
      </c>
      <c r="NP9" s="60"/>
      <c r="NQ9" s="408" t="s">
        <v>389</v>
      </c>
      <c r="NR9" s="409" t="s">
        <v>389</v>
      </c>
      <c r="NS9" s="409" t="s">
        <v>389</v>
      </c>
      <c r="NT9" s="409" t="s">
        <v>389</v>
      </c>
      <c r="NU9" s="409" t="s">
        <v>389</v>
      </c>
      <c r="NV9" s="409" t="s">
        <v>389</v>
      </c>
      <c r="NW9" s="409" t="s">
        <v>389</v>
      </c>
      <c r="NX9" s="410">
        <f t="shared" si="43"/>
        <v>0</v>
      </c>
      <c r="NY9" s="60"/>
      <c r="NZ9" s="408" t="s">
        <v>389</v>
      </c>
      <c r="OA9" s="409" t="s">
        <v>389</v>
      </c>
      <c r="OB9" s="409" t="s">
        <v>389</v>
      </c>
      <c r="OC9" s="409" t="s">
        <v>389</v>
      </c>
      <c r="OD9" s="409" t="s">
        <v>389</v>
      </c>
      <c r="OE9" s="409" t="s">
        <v>389</v>
      </c>
      <c r="OF9" s="409" t="s">
        <v>389</v>
      </c>
      <c r="OG9" s="410">
        <f t="shared" si="44"/>
        <v>0</v>
      </c>
      <c r="OH9" s="60"/>
      <c r="OI9" s="408" t="s">
        <v>389</v>
      </c>
      <c r="OJ9" s="409" t="s">
        <v>389</v>
      </c>
      <c r="OK9" s="409" t="s">
        <v>389</v>
      </c>
      <c r="OL9" s="409" t="s">
        <v>389</v>
      </c>
      <c r="OM9" s="409" t="s">
        <v>389</v>
      </c>
      <c r="ON9" s="409" t="s">
        <v>389</v>
      </c>
      <c r="OO9" s="409" t="s">
        <v>389</v>
      </c>
      <c r="OP9" s="410">
        <f t="shared" si="45"/>
        <v>0</v>
      </c>
      <c r="OQ9" s="60"/>
      <c r="OR9" s="408" t="s">
        <v>389</v>
      </c>
      <c r="OS9" s="409" t="s">
        <v>389</v>
      </c>
      <c r="OT9" s="409" t="s">
        <v>389</v>
      </c>
      <c r="OU9" s="409" t="s">
        <v>389</v>
      </c>
      <c r="OV9" s="409" t="s">
        <v>389</v>
      </c>
      <c r="OW9" s="409" t="s">
        <v>389</v>
      </c>
      <c r="OX9" s="409" t="s">
        <v>389</v>
      </c>
      <c r="OY9" s="410">
        <f t="shared" si="46"/>
        <v>0</v>
      </c>
      <c r="OZ9" s="60"/>
      <c r="PA9" s="408" t="s">
        <v>389</v>
      </c>
      <c r="PB9" s="409" t="s">
        <v>389</v>
      </c>
      <c r="PC9" s="409" t="s">
        <v>389</v>
      </c>
      <c r="PD9" s="409" t="s">
        <v>389</v>
      </c>
      <c r="PE9" s="409" t="s">
        <v>389</v>
      </c>
      <c r="PF9" s="409" t="s">
        <v>389</v>
      </c>
      <c r="PG9" s="409" t="s">
        <v>389</v>
      </c>
      <c r="PH9" s="410">
        <f t="shared" si="47"/>
        <v>0</v>
      </c>
      <c r="PI9" s="60"/>
      <c r="PJ9" s="408" t="s">
        <v>389</v>
      </c>
      <c r="PK9" s="409" t="s">
        <v>389</v>
      </c>
      <c r="PL9" s="409" t="s">
        <v>389</v>
      </c>
      <c r="PM9" s="409" t="s">
        <v>389</v>
      </c>
      <c r="PN9" s="409" t="s">
        <v>389</v>
      </c>
      <c r="PO9" s="409" t="s">
        <v>389</v>
      </c>
      <c r="PP9" s="409" t="s">
        <v>389</v>
      </c>
      <c r="PQ9" s="410">
        <f t="shared" si="48"/>
        <v>0</v>
      </c>
      <c r="PR9" s="60"/>
      <c r="PS9" s="408" t="s">
        <v>389</v>
      </c>
      <c r="PT9" s="409" t="s">
        <v>389</v>
      </c>
      <c r="PU9" s="409" t="s">
        <v>389</v>
      </c>
      <c r="PV9" s="409" t="s">
        <v>389</v>
      </c>
      <c r="PW9" s="409" t="s">
        <v>389</v>
      </c>
      <c r="PX9" s="409" t="s">
        <v>389</v>
      </c>
      <c r="PY9" s="409" t="s">
        <v>389</v>
      </c>
      <c r="PZ9" s="410">
        <f t="shared" si="49"/>
        <v>0</v>
      </c>
      <c r="QA9" s="60"/>
      <c r="QB9" s="408" t="s">
        <v>389</v>
      </c>
      <c r="QC9" s="409" t="s">
        <v>389</v>
      </c>
      <c r="QD9" s="409" t="s">
        <v>389</v>
      </c>
      <c r="QE9" s="409" t="s">
        <v>389</v>
      </c>
      <c r="QF9" s="409" t="s">
        <v>389</v>
      </c>
      <c r="QG9" s="409" t="s">
        <v>389</v>
      </c>
      <c r="QH9" s="409" t="s">
        <v>389</v>
      </c>
      <c r="QI9" s="410">
        <f t="shared" si="50"/>
        <v>0</v>
      </c>
      <c r="QJ9" s="60"/>
      <c r="QK9" s="408" t="s">
        <v>389</v>
      </c>
      <c r="QL9" s="409" t="s">
        <v>389</v>
      </c>
      <c r="QM9" s="409" t="s">
        <v>389</v>
      </c>
      <c r="QN9" s="409" t="s">
        <v>389</v>
      </c>
      <c r="QO9" s="409" t="s">
        <v>389</v>
      </c>
      <c r="QP9" s="409" t="s">
        <v>389</v>
      </c>
      <c r="QQ9" s="409" t="s">
        <v>389</v>
      </c>
      <c r="QR9" s="410">
        <f t="shared" si="51"/>
        <v>0</v>
      </c>
      <c r="QS9" s="60"/>
      <c r="QT9" s="408" t="s">
        <v>389</v>
      </c>
      <c r="QU9" s="409" t="s">
        <v>389</v>
      </c>
      <c r="QV9" s="409" t="s">
        <v>389</v>
      </c>
      <c r="QW9" s="409" t="s">
        <v>389</v>
      </c>
      <c r="QX9" s="409" t="s">
        <v>389</v>
      </c>
      <c r="QY9" s="409" t="s">
        <v>389</v>
      </c>
      <c r="QZ9" s="409" t="s">
        <v>389</v>
      </c>
      <c r="RA9" s="410">
        <f t="shared" si="52"/>
        <v>0</v>
      </c>
      <c r="RB9" s="30"/>
      <c r="RC9" s="57"/>
    </row>
    <row r="10" hidden="1">
      <c r="A10" s="32" t="s">
        <v>395</v>
      </c>
      <c r="B10" s="60"/>
      <c r="C10" s="408" t="s">
        <v>389</v>
      </c>
      <c r="D10" s="409" t="s">
        <v>389</v>
      </c>
      <c r="E10" s="409" t="s">
        <v>389</v>
      </c>
      <c r="F10" s="409" t="s">
        <v>389</v>
      </c>
      <c r="G10" s="409" t="s">
        <v>389</v>
      </c>
      <c r="H10" s="409" t="s">
        <v>389</v>
      </c>
      <c r="I10" s="409" t="s">
        <v>389</v>
      </c>
      <c r="J10" s="410">
        <f t="shared" si="1"/>
        <v>0</v>
      </c>
      <c r="K10" s="60"/>
      <c r="L10" s="408" t="s">
        <v>389</v>
      </c>
      <c r="M10" s="409" t="s">
        <v>389</v>
      </c>
      <c r="N10" s="409" t="s">
        <v>389</v>
      </c>
      <c r="O10" s="409" t="s">
        <v>389</v>
      </c>
      <c r="P10" s="409" t="s">
        <v>389</v>
      </c>
      <c r="Q10" s="409" t="s">
        <v>389</v>
      </c>
      <c r="R10" s="409" t="s">
        <v>389</v>
      </c>
      <c r="S10" s="410">
        <f t="shared" si="2"/>
        <v>0</v>
      </c>
      <c r="T10" s="60"/>
      <c r="U10" s="408" t="s">
        <v>389</v>
      </c>
      <c r="V10" s="409" t="s">
        <v>389</v>
      </c>
      <c r="W10" s="409" t="s">
        <v>389</v>
      </c>
      <c r="X10" s="409" t="s">
        <v>389</v>
      </c>
      <c r="Y10" s="409" t="s">
        <v>389</v>
      </c>
      <c r="Z10" s="409" t="s">
        <v>389</v>
      </c>
      <c r="AA10" s="409" t="s">
        <v>389</v>
      </c>
      <c r="AB10" s="410">
        <f t="shared" si="3"/>
        <v>0</v>
      </c>
      <c r="AC10" s="60"/>
      <c r="AD10" s="408" t="s">
        <v>389</v>
      </c>
      <c r="AE10" s="409" t="s">
        <v>389</v>
      </c>
      <c r="AF10" s="409" t="s">
        <v>389</v>
      </c>
      <c r="AG10" s="409" t="s">
        <v>389</v>
      </c>
      <c r="AH10" s="409" t="s">
        <v>389</v>
      </c>
      <c r="AI10" s="409" t="s">
        <v>389</v>
      </c>
      <c r="AJ10" s="409" t="s">
        <v>389</v>
      </c>
      <c r="AK10" s="410">
        <f t="shared" si="4"/>
        <v>0</v>
      </c>
      <c r="AL10" s="60"/>
      <c r="AM10" s="408" t="s">
        <v>389</v>
      </c>
      <c r="AN10" s="409" t="s">
        <v>389</v>
      </c>
      <c r="AO10" s="409" t="s">
        <v>389</v>
      </c>
      <c r="AP10" s="409" t="s">
        <v>389</v>
      </c>
      <c r="AQ10" s="409" t="s">
        <v>389</v>
      </c>
      <c r="AR10" s="409" t="s">
        <v>389</v>
      </c>
      <c r="AS10" s="409" t="s">
        <v>389</v>
      </c>
      <c r="AT10" s="410">
        <f t="shared" si="5"/>
        <v>0</v>
      </c>
      <c r="AU10" s="60"/>
      <c r="AV10" s="408" t="s">
        <v>389</v>
      </c>
      <c r="AW10" s="409" t="s">
        <v>389</v>
      </c>
      <c r="AX10" s="409" t="s">
        <v>389</v>
      </c>
      <c r="AY10" s="409" t="s">
        <v>389</v>
      </c>
      <c r="AZ10" s="409" t="s">
        <v>389</v>
      </c>
      <c r="BA10" s="409" t="s">
        <v>389</v>
      </c>
      <c r="BB10" s="409" t="s">
        <v>389</v>
      </c>
      <c r="BC10" s="410">
        <f t="shared" si="6"/>
        <v>0</v>
      </c>
      <c r="BD10" s="60"/>
      <c r="BE10" s="408" t="s">
        <v>389</v>
      </c>
      <c r="BF10" s="409" t="s">
        <v>389</v>
      </c>
      <c r="BG10" s="409" t="s">
        <v>389</v>
      </c>
      <c r="BH10" s="409" t="s">
        <v>389</v>
      </c>
      <c r="BI10" s="409" t="s">
        <v>389</v>
      </c>
      <c r="BJ10" s="409" t="s">
        <v>389</v>
      </c>
      <c r="BK10" s="409" t="s">
        <v>389</v>
      </c>
      <c r="BL10" s="410">
        <f t="shared" si="7"/>
        <v>0</v>
      </c>
      <c r="BM10" s="60"/>
      <c r="BN10" s="408" t="s">
        <v>389</v>
      </c>
      <c r="BO10" s="409" t="s">
        <v>389</v>
      </c>
      <c r="BP10" s="409" t="s">
        <v>389</v>
      </c>
      <c r="BQ10" s="409" t="s">
        <v>389</v>
      </c>
      <c r="BR10" s="409" t="s">
        <v>389</v>
      </c>
      <c r="BS10" s="409" t="s">
        <v>389</v>
      </c>
      <c r="BT10" s="409" t="s">
        <v>389</v>
      </c>
      <c r="BU10" s="410">
        <f t="shared" si="8"/>
        <v>0</v>
      </c>
      <c r="BV10" s="60"/>
      <c r="BW10" s="408" t="s">
        <v>389</v>
      </c>
      <c r="BX10" s="409" t="s">
        <v>389</v>
      </c>
      <c r="BY10" s="409" t="s">
        <v>389</v>
      </c>
      <c r="BZ10" s="409" t="s">
        <v>389</v>
      </c>
      <c r="CA10" s="409" t="s">
        <v>389</v>
      </c>
      <c r="CB10" s="409" t="s">
        <v>389</v>
      </c>
      <c r="CC10" s="409" t="s">
        <v>389</v>
      </c>
      <c r="CD10" s="410">
        <f t="shared" si="9"/>
        <v>0</v>
      </c>
      <c r="CE10" s="60"/>
      <c r="CF10" s="408" t="s">
        <v>389</v>
      </c>
      <c r="CG10" s="409" t="s">
        <v>389</v>
      </c>
      <c r="CH10" s="409" t="s">
        <v>389</v>
      </c>
      <c r="CI10" s="409" t="s">
        <v>389</v>
      </c>
      <c r="CJ10" s="409" t="s">
        <v>389</v>
      </c>
      <c r="CK10" s="409" t="s">
        <v>389</v>
      </c>
      <c r="CL10" s="409" t="s">
        <v>389</v>
      </c>
      <c r="CM10" s="410">
        <f t="shared" si="10"/>
        <v>0</v>
      </c>
      <c r="CN10" s="60"/>
      <c r="CO10" s="408" t="s">
        <v>389</v>
      </c>
      <c r="CP10" s="409" t="s">
        <v>389</v>
      </c>
      <c r="CQ10" s="409" t="s">
        <v>389</v>
      </c>
      <c r="CR10" s="409" t="s">
        <v>389</v>
      </c>
      <c r="CS10" s="409" t="s">
        <v>389</v>
      </c>
      <c r="CT10" s="409" t="s">
        <v>389</v>
      </c>
      <c r="CU10" s="409" t="s">
        <v>389</v>
      </c>
      <c r="CV10" s="410">
        <f t="shared" si="11"/>
        <v>0</v>
      </c>
      <c r="CW10" s="60"/>
      <c r="CX10" s="408" t="s">
        <v>389</v>
      </c>
      <c r="CY10" s="409" t="s">
        <v>389</v>
      </c>
      <c r="CZ10" s="409" t="s">
        <v>389</v>
      </c>
      <c r="DA10" s="409" t="s">
        <v>389</v>
      </c>
      <c r="DB10" s="409" t="s">
        <v>389</v>
      </c>
      <c r="DC10" s="409" t="s">
        <v>389</v>
      </c>
      <c r="DD10" s="409" t="s">
        <v>389</v>
      </c>
      <c r="DE10" s="410">
        <f t="shared" si="12"/>
        <v>0</v>
      </c>
      <c r="DF10" s="60"/>
      <c r="DG10" s="408" t="s">
        <v>389</v>
      </c>
      <c r="DH10" s="409" t="s">
        <v>389</v>
      </c>
      <c r="DI10" s="409" t="s">
        <v>389</v>
      </c>
      <c r="DJ10" s="409" t="s">
        <v>389</v>
      </c>
      <c r="DK10" s="409" t="s">
        <v>389</v>
      </c>
      <c r="DL10" s="409" t="s">
        <v>389</v>
      </c>
      <c r="DM10" s="409" t="s">
        <v>389</v>
      </c>
      <c r="DN10" s="410">
        <f t="shared" si="13"/>
        <v>0</v>
      </c>
      <c r="DO10" s="60"/>
      <c r="DP10" s="408" t="s">
        <v>389</v>
      </c>
      <c r="DQ10" s="409" t="s">
        <v>389</v>
      </c>
      <c r="DR10" s="409" t="s">
        <v>389</v>
      </c>
      <c r="DS10" s="409" t="s">
        <v>389</v>
      </c>
      <c r="DT10" s="409" t="s">
        <v>389</v>
      </c>
      <c r="DU10" s="409" t="s">
        <v>389</v>
      </c>
      <c r="DV10" s="409" t="s">
        <v>389</v>
      </c>
      <c r="DW10" s="410">
        <f t="shared" si="14"/>
        <v>0</v>
      </c>
      <c r="DX10" s="60"/>
      <c r="DY10" s="408" t="s">
        <v>389</v>
      </c>
      <c r="DZ10" s="409" t="s">
        <v>389</v>
      </c>
      <c r="EA10" s="409" t="s">
        <v>389</v>
      </c>
      <c r="EB10" s="409" t="s">
        <v>389</v>
      </c>
      <c r="EC10" s="409" t="s">
        <v>389</v>
      </c>
      <c r="ED10" s="409" t="s">
        <v>389</v>
      </c>
      <c r="EE10" s="409" t="s">
        <v>389</v>
      </c>
      <c r="EF10" s="410">
        <f t="shared" si="15"/>
        <v>0</v>
      </c>
      <c r="EG10" s="60"/>
      <c r="EH10" s="408" t="s">
        <v>389</v>
      </c>
      <c r="EI10" s="409" t="s">
        <v>389</v>
      </c>
      <c r="EJ10" s="409" t="s">
        <v>389</v>
      </c>
      <c r="EK10" s="409" t="s">
        <v>389</v>
      </c>
      <c r="EL10" s="409" t="s">
        <v>389</v>
      </c>
      <c r="EM10" s="409" t="s">
        <v>389</v>
      </c>
      <c r="EN10" s="409" t="s">
        <v>389</v>
      </c>
      <c r="EO10" s="410">
        <f t="shared" si="16"/>
        <v>0</v>
      </c>
      <c r="EP10" s="60"/>
      <c r="EQ10" s="408" t="s">
        <v>389</v>
      </c>
      <c r="ER10" s="409" t="s">
        <v>389</v>
      </c>
      <c r="ES10" s="409" t="s">
        <v>389</v>
      </c>
      <c r="ET10" s="409" t="s">
        <v>389</v>
      </c>
      <c r="EU10" s="409" t="s">
        <v>389</v>
      </c>
      <c r="EV10" s="409" t="s">
        <v>389</v>
      </c>
      <c r="EW10" s="409" t="s">
        <v>389</v>
      </c>
      <c r="EX10" s="410">
        <f t="shared" si="17"/>
        <v>0</v>
      </c>
      <c r="EY10" s="60"/>
      <c r="EZ10" s="408" t="s">
        <v>389</v>
      </c>
      <c r="FA10" s="409" t="s">
        <v>389</v>
      </c>
      <c r="FB10" s="409" t="s">
        <v>389</v>
      </c>
      <c r="FC10" s="409" t="s">
        <v>389</v>
      </c>
      <c r="FD10" s="409" t="s">
        <v>389</v>
      </c>
      <c r="FE10" s="409" t="s">
        <v>389</v>
      </c>
      <c r="FF10" s="409" t="s">
        <v>389</v>
      </c>
      <c r="FG10" s="410">
        <f t="shared" si="18"/>
        <v>0</v>
      </c>
      <c r="FH10" s="60"/>
      <c r="FI10" s="408" t="s">
        <v>389</v>
      </c>
      <c r="FJ10" s="409" t="s">
        <v>389</v>
      </c>
      <c r="FK10" s="409" t="s">
        <v>389</v>
      </c>
      <c r="FL10" s="409" t="s">
        <v>389</v>
      </c>
      <c r="FM10" s="409" t="s">
        <v>389</v>
      </c>
      <c r="FN10" s="409" t="s">
        <v>389</v>
      </c>
      <c r="FO10" s="409" t="s">
        <v>389</v>
      </c>
      <c r="FP10" s="410">
        <f t="shared" si="19"/>
        <v>0</v>
      </c>
      <c r="FQ10" s="60"/>
      <c r="FR10" s="408" t="s">
        <v>389</v>
      </c>
      <c r="FS10" s="409" t="s">
        <v>389</v>
      </c>
      <c r="FT10" s="409" t="s">
        <v>389</v>
      </c>
      <c r="FU10" s="409" t="s">
        <v>389</v>
      </c>
      <c r="FV10" s="409" t="s">
        <v>389</v>
      </c>
      <c r="FW10" s="409" t="s">
        <v>389</v>
      </c>
      <c r="FX10" s="409" t="s">
        <v>389</v>
      </c>
      <c r="FY10" s="410">
        <f t="shared" si="20"/>
        <v>0</v>
      </c>
      <c r="FZ10" s="60"/>
      <c r="GA10" s="408" t="s">
        <v>389</v>
      </c>
      <c r="GB10" s="409" t="s">
        <v>389</v>
      </c>
      <c r="GC10" s="409" t="s">
        <v>389</v>
      </c>
      <c r="GD10" s="409" t="s">
        <v>389</v>
      </c>
      <c r="GE10" s="409" t="s">
        <v>389</v>
      </c>
      <c r="GF10" s="409" t="s">
        <v>389</v>
      </c>
      <c r="GG10" s="409" t="s">
        <v>389</v>
      </c>
      <c r="GH10" s="410">
        <f t="shared" si="21"/>
        <v>0</v>
      </c>
      <c r="GI10" s="60"/>
      <c r="GJ10" s="408" t="s">
        <v>389</v>
      </c>
      <c r="GK10" s="409" t="s">
        <v>389</v>
      </c>
      <c r="GL10" s="409" t="s">
        <v>389</v>
      </c>
      <c r="GM10" s="409" t="s">
        <v>389</v>
      </c>
      <c r="GN10" s="409" t="s">
        <v>389</v>
      </c>
      <c r="GO10" s="409" t="s">
        <v>389</v>
      </c>
      <c r="GP10" s="409" t="s">
        <v>389</v>
      </c>
      <c r="GQ10" s="410">
        <f t="shared" si="22"/>
        <v>0</v>
      </c>
      <c r="GR10" s="60"/>
      <c r="GS10" s="408" t="s">
        <v>389</v>
      </c>
      <c r="GT10" s="409" t="s">
        <v>389</v>
      </c>
      <c r="GU10" s="409" t="s">
        <v>389</v>
      </c>
      <c r="GV10" s="409" t="s">
        <v>389</v>
      </c>
      <c r="GW10" s="409" t="s">
        <v>389</v>
      </c>
      <c r="GX10" s="409" t="s">
        <v>389</v>
      </c>
      <c r="GY10" s="409" t="s">
        <v>389</v>
      </c>
      <c r="GZ10" s="410">
        <f t="shared" si="23"/>
        <v>0</v>
      </c>
      <c r="HA10" s="60"/>
      <c r="HB10" s="408" t="s">
        <v>389</v>
      </c>
      <c r="HC10" s="409" t="s">
        <v>389</v>
      </c>
      <c r="HD10" s="409" t="s">
        <v>389</v>
      </c>
      <c r="HE10" s="409" t="s">
        <v>389</v>
      </c>
      <c r="HF10" s="409" t="s">
        <v>389</v>
      </c>
      <c r="HG10" s="409" t="s">
        <v>389</v>
      </c>
      <c r="HH10" s="409" t="s">
        <v>389</v>
      </c>
      <c r="HI10" s="410">
        <f t="shared" si="24"/>
        <v>0</v>
      </c>
      <c r="HJ10" s="60"/>
      <c r="HK10" s="408" t="s">
        <v>389</v>
      </c>
      <c r="HL10" s="409" t="s">
        <v>389</v>
      </c>
      <c r="HM10" s="409" t="s">
        <v>389</v>
      </c>
      <c r="HN10" s="409" t="s">
        <v>389</v>
      </c>
      <c r="HO10" s="409" t="s">
        <v>389</v>
      </c>
      <c r="HP10" s="409" t="s">
        <v>389</v>
      </c>
      <c r="HQ10" s="409" t="s">
        <v>389</v>
      </c>
      <c r="HR10" s="410">
        <f t="shared" si="25"/>
        <v>0</v>
      </c>
      <c r="HS10" s="60"/>
      <c r="HT10" s="408" t="s">
        <v>389</v>
      </c>
      <c r="HU10" s="409" t="s">
        <v>389</v>
      </c>
      <c r="HV10" s="409" t="s">
        <v>389</v>
      </c>
      <c r="HW10" s="409" t="s">
        <v>389</v>
      </c>
      <c r="HX10" s="409" t="s">
        <v>389</v>
      </c>
      <c r="HY10" s="409" t="s">
        <v>389</v>
      </c>
      <c r="HZ10" s="409" t="s">
        <v>389</v>
      </c>
      <c r="IA10" s="410">
        <f t="shared" si="26"/>
        <v>0</v>
      </c>
      <c r="IB10" s="60"/>
      <c r="IC10" s="408" t="s">
        <v>389</v>
      </c>
      <c r="ID10" s="409" t="s">
        <v>389</v>
      </c>
      <c r="IE10" s="409" t="s">
        <v>389</v>
      </c>
      <c r="IF10" s="409" t="s">
        <v>389</v>
      </c>
      <c r="IG10" s="409" t="s">
        <v>389</v>
      </c>
      <c r="IH10" s="409" t="s">
        <v>389</v>
      </c>
      <c r="II10" s="409" t="s">
        <v>389</v>
      </c>
      <c r="IJ10" s="410">
        <f t="shared" si="27"/>
        <v>0</v>
      </c>
      <c r="IK10" s="60"/>
      <c r="IL10" s="408" t="s">
        <v>389</v>
      </c>
      <c r="IM10" s="409" t="s">
        <v>389</v>
      </c>
      <c r="IN10" s="409" t="s">
        <v>389</v>
      </c>
      <c r="IO10" s="409" t="s">
        <v>389</v>
      </c>
      <c r="IP10" s="409" t="s">
        <v>389</v>
      </c>
      <c r="IQ10" s="409" t="s">
        <v>389</v>
      </c>
      <c r="IR10" s="409" t="s">
        <v>389</v>
      </c>
      <c r="IS10" s="410">
        <f t="shared" si="28"/>
        <v>0</v>
      </c>
      <c r="IT10" s="60"/>
      <c r="IU10" s="408" t="s">
        <v>389</v>
      </c>
      <c r="IV10" s="409" t="s">
        <v>389</v>
      </c>
      <c r="IW10" s="409" t="s">
        <v>389</v>
      </c>
      <c r="IX10" s="409" t="s">
        <v>389</v>
      </c>
      <c r="IY10" s="409" t="s">
        <v>389</v>
      </c>
      <c r="IZ10" s="409" t="s">
        <v>389</v>
      </c>
      <c r="JA10" s="409" t="s">
        <v>389</v>
      </c>
      <c r="JB10" s="410">
        <f t="shared" si="29"/>
        <v>0</v>
      </c>
      <c r="JC10" s="60"/>
      <c r="JD10" s="408" t="s">
        <v>389</v>
      </c>
      <c r="JE10" s="409" t="s">
        <v>389</v>
      </c>
      <c r="JF10" s="409" t="s">
        <v>389</v>
      </c>
      <c r="JG10" s="409" t="s">
        <v>389</v>
      </c>
      <c r="JH10" s="409" t="s">
        <v>389</v>
      </c>
      <c r="JI10" s="409" t="s">
        <v>389</v>
      </c>
      <c r="JJ10" s="409" t="s">
        <v>389</v>
      </c>
      <c r="JK10" s="410">
        <f t="shared" si="30"/>
        <v>0</v>
      </c>
      <c r="JL10" s="60"/>
      <c r="JM10" s="408" t="s">
        <v>389</v>
      </c>
      <c r="JN10" s="409" t="s">
        <v>389</v>
      </c>
      <c r="JO10" s="409" t="s">
        <v>389</v>
      </c>
      <c r="JP10" s="409" t="s">
        <v>389</v>
      </c>
      <c r="JQ10" s="409" t="s">
        <v>389</v>
      </c>
      <c r="JR10" s="409" t="s">
        <v>389</v>
      </c>
      <c r="JS10" s="409" t="s">
        <v>389</v>
      </c>
      <c r="JT10" s="410">
        <f t="shared" si="31"/>
        <v>0</v>
      </c>
      <c r="JU10" s="60"/>
      <c r="JV10" s="408" t="s">
        <v>389</v>
      </c>
      <c r="JW10" s="409" t="s">
        <v>389</v>
      </c>
      <c r="JX10" s="409" t="s">
        <v>389</v>
      </c>
      <c r="JY10" s="409" t="s">
        <v>389</v>
      </c>
      <c r="JZ10" s="409" t="s">
        <v>389</v>
      </c>
      <c r="KA10" s="409" t="s">
        <v>389</v>
      </c>
      <c r="KB10" s="409" t="s">
        <v>389</v>
      </c>
      <c r="KC10" s="410">
        <f t="shared" si="32"/>
        <v>0</v>
      </c>
      <c r="KD10" s="60"/>
      <c r="KE10" s="408" t="s">
        <v>389</v>
      </c>
      <c r="KF10" s="409" t="s">
        <v>389</v>
      </c>
      <c r="KG10" s="409" t="s">
        <v>389</v>
      </c>
      <c r="KH10" s="409" t="s">
        <v>389</v>
      </c>
      <c r="KI10" s="409" t="s">
        <v>389</v>
      </c>
      <c r="KJ10" s="409" t="s">
        <v>389</v>
      </c>
      <c r="KK10" s="409" t="s">
        <v>389</v>
      </c>
      <c r="KL10" s="410">
        <f t="shared" si="33"/>
        <v>0</v>
      </c>
      <c r="KM10" s="60"/>
      <c r="KN10" s="408" t="s">
        <v>389</v>
      </c>
      <c r="KO10" s="409" t="s">
        <v>389</v>
      </c>
      <c r="KP10" s="409" t="s">
        <v>389</v>
      </c>
      <c r="KQ10" s="409" t="s">
        <v>389</v>
      </c>
      <c r="KR10" s="409" t="s">
        <v>389</v>
      </c>
      <c r="KS10" s="409" t="s">
        <v>389</v>
      </c>
      <c r="KT10" s="409" t="s">
        <v>389</v>
      </c>
      <c r="KU10" s="410">
        <f t="shared" si="34"/>
        <v>0</v>
      </c>
      <c r="KV10" s="60"/>
      <c r="KW10" s="408" t="s">
        <v>389</v>
      </c>
      <c r="KX10" s="409" t="s">
        <v>389</v>
      </c>
      <c r="KY10" s="409" t="s">
        <v>389</v>
      </c>
      <c r="KZ10" s="409" t="s">
        <v>389</v>
      </c>
      <c r="LA10" s="409" t="s">
        <v>389</v>
      </c>
      <c r="LB10" s="409" t="s">
        <v>389</v>
      </c>
      <c r="LC10" s="409" t="s">
        <v>389</v>
      </c>
      <c r="LD10" s="410">
        <f t="shared" si="35"/>
        <v>0</v>
      </c>
      <c r="LE10" s="60"/>
      <c r="LF10" s="408" t="s">
        <v>389</v>
      </c>
      <c r="LG10" s="409" t="s">
        <v>389</v>
      </c>
      <c r="LH10" s="409" t="s">
        <v>389</v>
      </c>
      <c r="LI10" s="409" t="s">
        <v>389</v>
      </c>
      <c r="LJ10" s="409" t="s">
        <v>389</v>
      </c>
      <c r="LK10" s="409" t="s">
        <v>389</v>
      </c>
      <c r="LL10" s="409" t="s">
        <v>389</v>
      </c>
      <c r="LM10" s="410">
        <f t="shared" si="36"/>
        <v>0</v>
      </c>
      <c r="LN10" s="60"/>
      <c r="LO10" s="408" t="s">
        <v>389</v>
      </c>
      <c r="LP10" s="409" t="s">
        <v>389</v>
      </c>
      <c r="LQ10" s="409" t="s">
        <v>389</v>
      </c>
      <c r="LR10" s="409" t="s">
        <v>389</v>
      </c>
      <c r="LS10" s="409" t="s">
        <v>389</v>
      </c>
      <c r="LT10" s="409" t="s">
        <v>389</v>
      </c>
      <c r="LU10" s="409" t="s">
        <v>389</v>
      </c>
      <c r="LV10" s="410">
        <f t="shared" si="37"/>
        <v>0</v>
      </c>
      <c r="LW10" s="60"/>
      <c r="LX10" s="408" t="s">
        <v>389</v>
      </c>
      <c r="LY10" s="409" t="s">
        <v>389</v>
      </c>
      <c r="LZ10" s="409" t="s">
        <v>389</v>
      </c>
      <c r="MA10" s="409" t="s">
        <v>389</v>
      </c>
      <c r="MB10" s="409" t="s">
        <v>389</v>
      </c>
      <c r="MC10" s="409" t="s">
        <v>389</v>
      </c>
      <c r="MD10" s="409" t="s">
        <v>389</v>
      </c>
      <c r="ME10" s="410">
        <f t="shared" si="38"/>
        <v>0</v>
      </c>
      <c r="MF10" s="60"/>
      <c r="MG10" s="408" t="s">
        <v>389</v>
      </c>
      <c r="MH10" s="409" t="s">
        <v>389</v>
      </c>
      <c r="MI10" s="409" t="s">
        <v>389</v>
      </c>
      <c r="MJ10" s="409" t="s">
        <v>389</v>
      </c>
      <c r="MK10" s="409" t="s">
        <v>389</v>
      </c>
      <c r="ML10" s="409" t="s">
        <v>389</v>
      </c>
      <c r="MM10" s="409" t="s">
        <v>389</v>
      </c>
      <c r="MN10" s="410">
        <f t="shared" si="39"/>
        <v>0</v>
      </c>
      <c r="MO10" s="60"/>
      <c r="MP10" s="408" t="s">
        <v>389</v>
      </c>
      <c r="MQ10" s="409" t="s">
        <v>389</v>
      </c>
      <c r="MR10" s="409" t="s">
        <v>389</v>
      </c>
      <c r="MS10" s="409" t="s">
        <v>389</v>
      </c>
      <c r="MT10" s="409" t="s">
        <v>389</v>
      </c>
      <c r="MU10" s="409" t="s">
        <v>389</v>
      </c>
      <c r="MV10" s="409" t="s">
        <v>389</v>
      </c>
      <c r="MW10" s="410">
        <f t="shared" si="40"/>
        <v>0</v>
      </c>
      <c r="MX10" s="60"/>
      <c r="MY10" s="408" t="s">
        <v>389</v>
      </c>
      <c r="MZ10" s="409" t="s">
        <v>389</v>
      </c>
      <c r="NA10" s="409" t="s">
        <v>389</v>
      </c>
      <c r="NB10" s="409" t="s">
        <v>389</v>
      </c>
      <c r="NC10" s="409" t="s">
        <v>389</v>
      </c>
      <c r="ND10" s="409" t="s">
        <v>389</v>
      </c>
      <c r="NE10" s="409" t="s">
        <v>389</v>
      </c>
      <c r="NF10" s="410">
        <f t="shared" si="41"/>
        <v>0</v>
      </c>
      <c r="NG10" s="60"/>
      <c r="NH10" s="408" t="s">
        <v>389</v>
      </c>
      <c r="NI10" s="409" t="s">
        <v>389</v>
      </c>
      <c r="NJ10" s="409" t="s">
        <v>389</v>
      </c>
      <c r="NK10" s="409" t="s">
        <v>389</v>
      </c>
      <c r="NL10" s="409" t="s">
        <v>389</v>
      </c>
      <c r="NM10" s="409" t="s">
        <v>389</v>
      </c>
      <c r="NN10" s="409" t="s">
        <v>389</v>
      </c>
      <c r="NO10" s="410">
        <f t="shared" si="42"/>
        <v>0</v>
      </c>
      <c r="NP10" s="60"/>
      <c r="NQ10" s="408" t="s">
        <v>389</v>
      </c>
      <c r="NR10" s="409" t="s">
        <v>389</v>
      </c>
      <c r="NS10" s="409" t="s">
        <v>389</v>
      </c>
      <c r="NT10" s="409" t="s">
        <v>389</v>
      </c>
      <c r="NU10" s="409" t="s">
        <v>389</v>
      </c>
      <c r="NV10" s="409" t="s">
        <v>389</v>
      </c>
      <c r="NW10" s="409" t="s">
        <v>389</v>
      </c>
      <c r="NX10" s="410">
        <f t="shared" si="43"/>
        <v>0</v>
      </c>
      <c r="NY10" s="60"/>
      <c r="NZ10" s="408" t="s">
        <v>389</v>
      </c>
      <c r="OA10" s="409" t="s">
        <v>389</v>
      </c>
      <c r="OB10" s="409" t="s">
        <v>389</v>
      </c>
      <c r="OC10" s="409" t="s">
        <v>389</v>
      </c>
      <c r="OD10" s="409" t="s">
        <v>389</v>
      </c>
      <c r="OE10" s="409" t="s">
        <v>389</v>
      </c>
      <c r="OF10" s="409" t="s">
        <v>389</v>
      </c>
      <c r="OG10" s="410">
        <f t="shared" si="44"/>
        <v>0</v>
      </c>
      <c r="OH10" s="60"/>
      <c r="OI10" s="408" t="s">
        <v>389</v>
      </c>
      <c r="OJ10" s="409" t="s">
        <v>389</v>
      </c>
      <c r="OK10" s="409" t="s">
        <v>389</v>
      </c>
      <c r="OL10" s="409" t="s">
        <v>389</v>
      </c>
      <c r="OM10" s="409" t="s">
        <v>389</v>
      </c>
      <c r="ON10" s="409" t="s">
        <v>389</v>
      </c>
      <c r="OO10" s="409" t="s">
        <v>389</v>
      </c>
      <c r="OP10" s="410">
        <f t="shared" si="45"/>
        <v>0</v>
      </c>
      <c r="OQ10" s="60"/>
      <c r="OR10" s="408" t="s">
        <v>389</v>
      </c>
      <c r="OS10" s="409" t="s">
        <v>389</v>
      </c>
      <c r="OT10" s="409" t="s">
        <v>389</v>
      </c>
      <c r="OU10" s="409" t="s">
        <v>389</v>
      </c>
      <c r="OV10" s="409" t="s">
        <v>389</v>
      </c>
      <c r="OW10" s="409" t="s">
        <v>389</v>
      </c>
      <c r="OX10" s="409" t="s">
        <v>389</v>
      </c>
      <c r="OY10" s="410">
        <f t="shared" si="46"/>
        <v>0</v>
      </c>
      <c r="OZ10" s="60"/>
      <c r="PA10" s="408" t="s">
        <v>389</v>
      </c>
      <c r="PB10" s="409" t="s">
        <v>389</v>
      </c>
      <c r="PC10" s="409" t="s">
        <v>389</v>
      </c>
      <c r="PD10" s="409" t="s">
        <v>389</v>
      </c>
      <c r="PE10" s="409" t="s">
        <v>389</v>
      </c>
      <c r="PF10" s="409" t="s">
        <v>389</v>
      </c>
      <c r="PG10" s="409" t="s">
        <v>389</v>
      </c>
      <c r="PH10" s="410">
        <f t="shared" si="47"/>
        <v>0</v>
      </c>
      <c r="PI10" s="60"/>
      <c r="PJ10" s="408" t="s">
        <v>389</v>
      </c>
      <c r="PK10" s="409" t="s">
        <v>389</v>
      </c>
      <c r="PL10" s="409" t="s">
        <v>389</v>
      </c>
      <c r="PM10" s="409" t="s">
        <v>389</v>
      </c>
      <c r="PN10" s="409" t="s">
        <v>389</v>
      </c>
      <c r="PO10" s="409" t="s">
        <v>389</v>
      </c>
      <c r="PP10" s="409" t="s">
        <v>389</v>
      </c>
      <c r="PQ10" s="410">
        <f t="shared" si="48"/>
        <v>0</v>
      </c>
      <c r="PR10" s="60"/>
      <c r="PS10" s="408" t="s">
        <v>389</v>
      </c>
      <c r="PT10" s="409" t="s">
        <v>389</v>
      </c>
      <c r="PU10" s="409" t="s">
        <v>389</v>
      </c>
      <c r="PV10" s="409" t="s">
        <v>389</v>
      </c>
      <c r="PW10" s="409" t="s">
        <v>389</v>
      </c>
      <c r="PX10" s="409" t="s">
        <v>389</v>
      </c>
      <c r="PY10" s="409" t="s">
        <v>389</v>
      </c>
      <c r="PZ10" s="410">
        <f t="shared" si="49"/>
        <v>0</v>
      </c>
      <c r="QA10" s="60"/>
      <c r="QB10" s="408" t="s">
        <v>389</v>
      </c>
      <c r="QC10" s="409" t="s">
        <v>389</v>
      </c>
      <c r="QD10" s="409" t="s">
        <v>389</v>
      </c>
      <c r="QE10" s="409" t="s">
        <v>389</v>
      </c>
      <c r="QF10" s="409" t="s">
        <v>389</v>
      </c>
      <c r="QG10" s="409" t="s">
        <v>389</v>
      </c>
      <c r="QH10" s="409" t="s">
        <v>389</v>
      </c>
      <c r="QI10" s="410">
        <f t="shared" si="50"/>
        <v>0</v>
      </c>
      <c r="QJ10" s="60"/>
      <c r="QK10" s="408" t="s">
        <v>389</v>
      </c>
      <c r="QL10" s="409" t="s">
        <v>389</v>
      </c>
      <c r="QM10" s="409" t="s">
        <v>389</v>
      </c>
      <c r="QN10" s="409" t="s">
        <v>389</v>
      </c>
      <c r="QO10" s="409" t="s">
        <v>389</v>
      </c>
      <c r="QP10" s="409" t="s">
        <v>389</v>
      </c>
      <c r="QQ10" s="409" t="s">
        <v>389</v>
      </c>
      <c r="QR10" s="410">
        <f t="shared" si="51"/>
        <v>0</v>
      </c>
      <c r="QS10" s="60"/>
      <c r="QT10" s="408" t="s">
        <v>389</v>
      </c>
      <c r="QU10" s="409" t="s">
        <v>389</v>
      </c>
      <c r="QV10" s="409" t="s">
        <v>389</v>
      </c>
      <c r="QW10" s="409" t="s">
        <v>389</v>
      </c>
      <c r="QX10" s="409" t="s">
        <v>389</v>
      </c>
      <c r="QY10" s="409" t="s">
        <v>389</v>
      </c>
      <c r="QZ10" s="409" t="s">
        <v>389</v>
      </c>
      <c r="RA10" s="410">
        <f t="shared" si="52"/>
        <v>0</v>
      </c>
      <c r="RB10" s="30"/>
      <c r="RC10" s="57"/>
    </row>
    <row r="11" hidden="1">
      <c r="A11" s="32" t="s">
        <v>396</v>
      </c>
      <c r="B11" s="60"/>
      <c r="C11" s="408" t="s">
        <v>389</v>
      </c>
      <c r="D11" s="409" t="s">
        <v>389</v>
      </c>
      <c r="E11" s="409" t="s">
        <v>389</v>
      </c>
      <c r="F11" s="409" t="s">
        <v>389</v>
      </c>
      <c r="G11" s="409" t="s">
        <v>389</v>
      </c>
      <c r="H11" s="409" t="s">
        <v>389</v>
      </c>
      <c r="I11" s="409" t="s">
        <v>389</v>
      </c>
      <c r="J11" s="410">
        <f t="shared" si="1"/>
        <v>0</v>
      </c>
      <c r="K11" s="60"/>
      <c r="L11" s="408" t="s">
        <v>389</v>
      </c>
      <c r="M11" s="409" t="s">
        <v>389</v>
      </c>
      <c r="N11" s="409" t="s">
        <v>389</v>
      </c>
      <c r="O11" s="409" t="s">
        <v>389</v>
      </c>
      <c r="P11" s="409" t="s">
        <v>389</v>
      </c>
      <c r="Q11" s="409" t="s">
        <v>389</v>
      </c>
      <c r="R11" s="409" t="s">
        <v>389</v>
      </c>
      <c r="S11" s="410">
        <f t="shared" si="2"/>
        <v>0</v>
      </c>
      <c r="T11" s="60"/>
      <c r="U11" s="408" t="s">
        <v>389</v>
      </c>
      <c r="V11" s="409" t="s">
        <v>389</v>
      </c>
      <c r="W11" s="409" t="s">
        <v>389</v>
      </c>
      <c r="X11" s="409" t="s">
        <v>389</v>
      </c>
      <c r="Y11" s="409" t="s">
        <v>389</v>
      </c>
      <c r="Z11" s="409" t="s">
        <v>389</v>
      </c>
      <c r="AA11" s="409" t="s">
        <v>389</v>
      </c>
      <c r="AB11" s="410">
        <f t="shared" si="3"/>
        <v>0</v>
      </c>
      <c r="AC11" s="60"/>
      <c r="AD11" s="408" t="s">
        <v>389</v>
      </c>
      <c r="AE11" s="409" t="s">
        <v>389</v>
      </c>
      <c r="AF11" s="409" t="s">
        <v>389</v>
      </c>
      <c r="AG11" s="409" t="s">
        <v>389</v>
      </c>
      <c r="AH11" s="409" t="s">
        <v>389</v>
      </c>
      <c r="AI11" s="409" t="s">
        <v>389</v>
      </c>
      <c r="AJ11" s="409" t="s">
        <v>389</v>
      </c>
      <c r="AK11" s="410">
        <f t="shared" si="4"/>
        <v>0</v>
      </c>
      <c r="AL11" s="60"/>
      <c r="AM11" s="408" t="s">
        <v>389</v>
      </c>
      <c r="AN11" s="409" t="s">
        <v>389</v>
      </c>
      <c r="AO11" s="409" t="s">
        <v>389</v>
      </c>
      <c r="AP11" s="409" t="s">
        <v>389</v>
      </c>
      <c r="AQ11" s="409" t="s">
        <v>389</v>
      </c>
      <c r="AR11" s="409" t="s">
        <v>389</v>
      </c>
      <c r="AS11" s="409" t="s">
        <v>389</v>
      </c>
      <c r="AT11" s="410">
        <f t="shared" si="5"/>
        <v>0</v>
      </c>
      <c r="AU11" s="60"/>
      <c r="AV11" s="408" t="s">
        <v>389</v>
      </c>
      <c r="AW11" s="409" t="s">
        <v>389</v>
      </c>
      <c r="AX11" s="409" t="s">
        <v>389</v>
      </c>
      <c r="AY11" s="409" t="s">
        <v>389</v>
      </c>
      <c r="AZ11" s="409" t="s">
        <v>389</v>
      </c>
      <c r="BA11" s="409" t="s">
        <v>389</v>
      </c>
      <c r="BB11" s="409" t="s">
        <v>389</v>
      </c>
      <c r="BC11" s="410">
        <f t="shared" si="6"/>
        <v>0</v>
      </c>
      <c r="BD11" s="60"/>
      <c r="BE11" s="408" t="s">
        <v>389</v>
      </c>
      <c r="BF11" s="409" t="s">
        <v>389</v>
      </c>
      <c r="BG11" s="409" t="s">
        <v>389</v>
      </c>
      <c r="BH11" s="409" t="s">
        <v>389</v>
      </c>
      <c r="BI11" s="409" t="s">
        <v>389</v>
      </c>
      <c r="BJ11" s="409" t="s">
        <v>389</v>
      </c>
      <c r="BK11" s="409" t="s">
        <v>389</v>
      </c>
      <c r="BL11" s="410">
        <f t="shared" si="7"/>
        <v>0</v>
      </c>
      <c r="BM11" s="60"/>
      <c r="BN11" s="408" t="s">
        <v>389</v>
      </c>
      <c r="BO11" s="409" t="s">
        <v>389</v>
      </c>
      <c r="BP11" s="409" t="s">
        <v>389</v>
      </c>
      <c r="BQ11" s="409" t="s">
        <v>389</v>
      </c>
      <c r="BR11" s="409" t="s">
        <v>389</v>
      </c>
      <c r="BS11" s="409" t="s">
        <v>389</v>
      </c>
      <c r="BT11" s="409" t="s">
        <v>389</v>
      </c>
      <c r="BU11" s="410">
        <f t="shared" si="8"/>
        <v>0</v>
      </c>
      <c r="BV11" s="60"/>
      <c r="BW11" s="408" t="s">
        <v>389</v>
      </c>
      <c r="BX11" s="409" t="s">
        <v>389</v>
      </c>
      <c r="BY11" s="409" t="s">
        <v>389</v>
      </c>
      <c r="BZ11" s="409" t="s">
        <v>389</v>
      </c>
      <c r="CA11" s="409" t="s">
        <v>389</v>
      </c>
      <c r="CB11" s="409" t="s">
        <v>389</v>
      </c>
      <c r="CC11" s="409" t="s">
        <v>389</v>
      </c>
      <c r="CD11" s="410">
        <f t="shared" si="9"/>
        <v>0</v>
      </c>
      <c r="CE11" s="60"/>
      <c r="CF11" s="408" t="s">
        <v>389</v>
      </c>
      <c r="CG11" s="409" t="s">
        <v>389</v>
      </c>
      <c r="CH11" s="409" t="s">
        <v>389</v>
      </c>
      <c r="CI11" s="409" t="s">
        <v>389</v>
      </c>
      <c r="CJ11" s="409" t="s">
        <v>389</v>
      </c>
      <c r="CK11" s="409" t="s">
        <v>389</v>
      </c>
      <c r="CL11" s="409" t="s">
        <v>389</v>
      </c>
      <c r="CM11" s="410">
        <f t="shared" si="10"/>
        <v>0</v>
      </c>
      <c r="CN11" s="60"/>
      <c r="CO11" s="408" t="s">
        <v>389</v>
      </c>
      <c r="CP11" s="409" t="s">
        <v>389</v>
      </c>
      <c r="CQ11" s="409" t="s">
        <v>389</v>
      </c>
      <c r="CR11" s="409" t="s">
        <v>389</v>
      </c>
      <c r="CS11" s="409" t="s">
        <v>389</v>
      </c>
      <c r="CT11" s="409" t="s">
        <v>389</v>
      </c>
      <c r="CU11" s="409" t="s">
        <v>389</v>
      </c>
      <c r="CV11" s="410">
        <f t="shared" si="11"/>
        <v>0</v>
      </c>
      <c r="CW11" s="60"/>
      <c r="CX11" s="408" t="s">
        <v>389</v>
      </c>
      <c r="CY11" s="409" t="s">
        <v>389</v>
      </c>
      <c r="CZ11" s="409" t="s">
        <v>389</v>
      </c>
      <c r="DA11" s="409" t="s">
        <v>389</v>
      </c>
      <c r="DB11" s="409" t="s">
        <v>389</v>
      </c>
      <c r="DC11" s="409" t="s">
        <v>389</v>
      </c>
      <c r="DD11" s="409" t="s">
        <v>389</v>
      </c>
      <c r="DE11" s="410">
        <f t="shared" si="12"/>
        <v>0</v>
      </c>
      <c r="DF11" s="60"/>
      <c r="DG11" s="408" t="s">
        <v>389</v>
      </c>
      <c r="DH11" s="409" t="s">
        <v>389</v>
      </c>
      <c r="DI11" s="409" t="s">
        <v>389</v>
      </c>
      <c r="DJ11" s="409" t="s">
        <v>389</v>
      </c>
      <c r="DK11" s="409" t="s">
        <v>389</v>
      </c>
      <c r="DL11" s="409" t="s">
        <v>389</v>
      </c>
      <c r="DM11" s="409" t="s">
        <v>389</v>
      </c>
      <c r="DN11" s="410">
        <f t="shared" si="13"/>
        <v>0</v>
      </c>
      <c r="DO11" s="60"/>
      <c r="DP11" s="408" t="s">
        <v>389</v>
      </c>
      <c r="DQ11" s="409" t="s">
        <v>389</v>
      </c>
      <c r="DR11" s="409" t="s">
        <v>389</v>
      </c>
      <c r="DS11" s="409" t="s">
        <v>389</v>
      </c>
      <c r="DT11" s="409" t="s">
        <v>389</v>
      </c>
      <c r="DU11" s="409" t="s">
        <v>389</v>
      </c>
      <c r="DV11" s="409" t="s">
        <v>389</v>
      </c>
      <c r="DW11" s="410">
        <f t="shared" si="14"/>
        <v>0</v>
      </c>
      <c r="DX11" s="60"/>
      <c r="DY11" s="408" t="s">
        <v>389</v>
      </c>
      <c r="DZ11" s="409" t="s">
        <v>389</v>
      </c>
      <c r="EA11" s="409" t="s">
        <v>389</v>
      </c>
      <c r="EB11" s="409" t="s">
        <v>389</v>
      </c>
      <c r="EC11" s="409" t="s">
        <v>389</v>
      </c>
      <c r="ED11" s="409" t="s">
        <v>389</v>
      </c>
      <c r="EE11" s="409" t="s">
        <v>389</v>
      </c>
      <c r="EF11" s="410">
        <f t="shared" si="15"/>
        <v>0</v>
      </c>
      <c r="EG11" s="60"/>
      <c r="EH11" s="408" t="s">
        <v>389</v>
      </c>
      <c r="EI11" s="409" t="s">
        <v>389</v>
      </c>
      <c r="EJ11" s="409" t="s">
        <v>389</v>
      </c>
      <c r="EK11" s="409" t="s">
        <v>389</v>
      </c>
      <c r="EL11" s="409" t="s">
        <v>389</v>
      </c>
      <c r="EM11" s="409" t="s">
        <v>389</v>
      </c>
      <c r="EN11" s="409" t="s">
        <v>389</v>
      </c>
      <c r="EO11" s="410">
        <f t="shared" si="16"/>
        <v>0</v>
      </c>
      <c r="EP11" s="60"/>
      <c r="EQ11" s="408" t="s">
        <v>389</v>
      </c>
      <c r="ER11" s="409" t="s">
        <v>389</v>
      </c>
      <c r="ES11" s="409" t="s">
        <v>389</v>
      </c>
      <c r="ET11" s="409" t="s">
        <v>389</v>
      </c>
      <c r="EU11" s="409" t="s">
        <v>389</v>
      </c>
      <c r="EV11" s="409" t="s">
        <v>389</v>
      </c>
      <c r="EW11" s="409" t="s">
        <v>389</v>
      </c>
      <c r="EX11" s="410">
        <f t="shared" si="17"/>
        <v>0</v>
      </c>
      <c r="EY11" s="60"/>
      <c r="EZ11" s="408" t="s">
        <v>389</v>
      </c>
      <c r="FA11" s="409" t="s">
        <v>389</v>
      </c>
      <c r="FB11" s="409" t="s">
        <v>389</v>
      </c>
      <c r="FC11" s="409" t="s">
        <v>389</v>
      </c>
      <c r="FD11" s="409" t="s">
        <v>389</v>
      </c>
      <c r="FE11" s="409" t="s">
        <v>389</v>
      </c>
      <c r="FF11" s="409" t="s">
        <v>389</v>
      </c>
      <c r="FG11" s="410">
        <f t="shared" si="18"/>
        <v>0</v>
      </c>
      <c r="FH11" s="60"/>
      <c r="FI11" s="408" t="s">
        <v>389</v>
      </c>
      <c r="FJ11" s="409" t="s">
        <v>389</v>
      </c>
      <c r="FK11" s="409" t="s">
        <v>389</v>
      </c>
      <c r="FL11" s="409" t="s">
        <v>389</v>
      </c>
      <c r="FM11" s="409" t="s">
        <v>389</v>
      </c>
      <c r="FN11" s="409" t="s">
        <v>389</v>
      </c>
      <c r="FO11" s="409" t="s">
        <v>389</v>
      </c>
      <c r="FP11" s="410">
        <f t="shared" si="19"/>
        <v>0</v>
      </c>
      <c r="FQ11" s="60"/>
      <c r="FR11" s="408" t="s">
        <v>389</v>
      </c>
      <c r="FS11" s="409" t="s">
        <v>389</v>
      </c>
      <c r="FT11" s="409" t="s">
        <v>389</v>
      </c>
      <c r="FU11" s="409" t="s">
        <v>389</v>
      </c>
      <c r="FV11" s="409" t="s">
        <v>389</v>
      </c>
      <c r="FW11" s="409" t="s">
        <v>389</v>
      </c>
      <c r="FX11" s="409" t="s">
        <v>389</v>
      </c>
      <c r="FY11" s="410">
        <f t="shared" si="20"/>
        <v>0</v>
      </c>
      <c r="FZ11" s="60"/>
      <c r="GA11" s="408" t="s">
        <v>389</v>
      </c>
      <c r="GB11" s="409" t="s">
        <v>389</v>
      </c>
      <c r="GC11" s="409" t="s">
        <v>389</v>
      </c>
      <c r="GD11" s="409" t="s">
        <v>389</v>
      </c>
      <c r="GE11" s="409" t="s">
        <v>389</v>
      </c>
      <c r="GF11" s="409" t="s">
        <v>389</v>
      </c>
      <c r="GG11" s="409" t="s">
        <v>389</v>
      </c>
      <c r="GH11" s="410">
        <f t="shared" si="21"/>
        <v>0</v>
      </c>
      <c r="GI11" s="60"/>
      <c r="GJ11" s="408" t="s">
        <v>389</v>
      </c>
      <c r="GK11" s="409" t="s">
        <v>389</v>
      </c>
      <c r="GL11" s="409" t="s">
        <v>389</v>
      </c>
      <c r="GM11" s="409" t="s">
        <v>389</v>
      </c>
      <c r="GN11" s="409" t="s">
        <v>389</v>
      </c>
      <c r="GO11" s="409" t="s">
        <v>389</v>
      </c>
      <c r="GP11" s="409" t="s">
        <v>389</v>
      </c>
      <c r="GQ11" s="410">
        <f t="shared" si="22"/>
        <v>0</v>
      </c>
      <c r="GR11" s="60"/>
      <c r="GS11" s="408" t="s">
        <v>389</v>
      </c>
      <c r="GT11" s="409" t="s">
        <v>389</v>
      </c>
      <c r="GU11" s="409" t="s">
        <v>389</v>
      </c>
      <c r="GV11" s="409" t="s">
        <v>389</v>
      </c>
      <c r="GW11" s="409" t="s">
        <v>389</v>
      </c>
      <c r="GX11" s="409" t="s">
        <v>389</v>
      </c>
      <c r="GY11" s="409" t="s">
        <v>389</v>
      </c>
      <c r="GZ11" s="410">
        <f t="shared" si="23"/>
        <v>0</v>
      </c>
      <c r="HA11" s="60"/>
      <c r="HB11" s="408" t="s">
        <v>389</v>
      </c>
      <c r="HC11" s="409" t="s">
        <v>389</v>
      </c>
      <c r="HD11" s="409" t="s">
        <v>389</v>
      </c>
      <c r="HE11" s="409" t="s">
        <v>389</v>
      </c>
      <c r="HF11" s="409" t="s">
        <v>389</v>
      </c>
      <c r="HG11" s="409" t="s">
        <v>389</v>
      </c>
      <c r="HH11" s="409" t="s">
        <v>389</v>
      </c>
      <c r="HI11" s="410">
        <f t="shared" si="24"/>
        <v>0</v>
      </c>
      <c r="HJ11" s="60"/>
      <c r="HK11" s="408" t="s">
        <v>389</v>
      </c>
      <c r="HL11" s="409" t="s">
        <v>389</v>
      </c>
      <c r="HM11" s="409" t="s">
        <v>389</v>
      </c>
      <c r="HN11" s="409" t="s">
        <v>389</v>
      </c>
      <c r="HO11" s="409" t="s">
        <v>389</v>
      </c>
      <c r="HP11" s="409" t="s">
        <v>389</v>
      </c>
      <c r="HQ11" s="409" t="s">
        <v>389</v>
      </c>
      <c r="HR11" s="410">
        <f t="shared" si="25"/>
        <v>0</v>
      </c>
      <c r="HS11" s="60"/>
      <c r="HT11" s="408" t="s">
        <v>389</v>
      </c>
      <c r="HU11" s="409" t="s">
        <v>389</v>
      </c>
      <c r="HV11" s="409" t="s">
        <v>389</v>
      </c>
      <c r="HW11" s="409" t="s">
        <v>389</v>
      </c>
      <c r="HX11" s="409" t="s">
        <v>389</v>
      </c>
      <c r="HY11" s="409" t="s">
        <v>389</v>
      </c>
      <c r="HZ11" s="409" t="s">
        <v>389</v>
      </c>
      <c r="IA11" s="410">
        <f t="shared" si="26"/>
        <v>0</v>
      </c>
      <c r="IB11" s="60"/>
      <c r="IC11" s="408" t="s">
        <v>389</v>
      </c>
      <c r="ID11" s="409" t="s">
        <v>389</v>
      </c>
      <c r="IE11" s="409" t="s">
        <v>389</v>
      </c>
      <c r="IF11" s="409" t="s">
        <v>389</v>
      </c>
      <c r="IG11" s="409" t="s">
        <v>389</v>
      </c>
      <c r="IH11" s="409" t="s">
        <v>389</v>
      </c>
      <c r="II11" s="409" t="s">
        <v>389</v>
      </c>
      <c r="IJ11" s="410">
        <f t="shared" si="27"/>
        <v>0</v>
      </c>
      <c r="IK11" s="60"/>
      <c r="IL11" s="408" t="s">
        <v>389</v>
      </c>
      <c r="IM11" s="409" t="s">
        <v>389</v>
      </c>
      <c r="IN11" s="409" t="s">
        <v>389</v>
      </c>
      <c r="IO11" s="409" t="s">
        <v>389</v>
      </c>
      <c r="IP11" s="409" t="s">
        <v>389</v>
      </c>
      <c r="IQ11" s="409" t="s">
        <v>389</v>
      </c>
      <c r="IR11" s="409" t="s">
        <v>389</v>
      </c>
      <c r="IS11" s="410">
        <f t="shared" si="28"/>
        <v>0</v>
      </c>
      <c r="IT11" s="60"/>
      <c r="IU11" s="408" t="s">
        <v>389</v>
      </c>
      <c r="IV11" s="409" t="s">
        <v>389</v>
      </c>
      <c r="IW11" s="409" t="s">
        <v>389</v>
      </c>
      <c r="IX11" s="409" t="s">
        <v>389</v>
      </c>
      <c r="IY11" s="409" t="s">
        <v>389</v>
      </c>
      <c r="IZ11" s="409" t="s">
        <v>389</v>
      </c>
      <c r="JA11" s="409" t="s">
        <v>389</v>
      </c>
      <c r="JB11" s="410">
        <f t="shared" si="29"/>
        <v>0</v>
      </c>
      <c r="JC11" s="60"/>
      <c r="JD11" s="408" t="s">
        <v>389</v>
      </c>
      <c r="JE11" s="409" t="s">
        <v>389</v>
      </c>
      <c r="JF11" s="409" t="s">
        <v>389</v>
      </c>
      <c r="JG11" s="409" t="s">
        <v>389</v>
      </c>
      <c r="JH11" s="409" t="s">
        <v>389</v>
      </c>
      <c r="JI11" s="409" t="s">
        <v>389</v>
      </c>
      <c r="JJ11" s="409" t="s">
        <v>389</v>
      </c>
      <c r="JK11" s="410">
        <f t="shared" si="30"/>
        <v>0</v>
      </c>
      <c r="JL11" s="60"/>
      <c r="JM11" s="408" t="s">
        <v>389</v>
      </c>
      <c r="JN11" s="409" t="s">
        <v>389</v>
      </c>
      <c r="JO11" s="409" t="s">
        <v>389</v>
      </c>
      <c r="JP11" s="409" t="s">
        <v>389</v>
      </c>
      <c r="JQ11" s="409" t="s">
        <v>389</v>
      </c>
      <c r="JR11" s="409" t="s">
        <v>389</v>
      </c>
      <c r="JS11" s="409" t="s">
        <v>389</v>
      </c>
      <c r="JT11" s="410">
        <f t="shared" si="31"/>
        <v>0</v>
      </c>
      <c r="JU11" s="60"/>
      <c r="JV11" s="408" t="s">
        <v>389</v>
      </c>
      <c r="JW11" s="409" t="s">
        <v>389</v>
      </c>
      <c r="JX11" s="409" t="s">
        <v>389</v>
      </c>
      <c r="JY11" s="409" t="s">
        <v>389</v>
      </c>
      <c r="JZ11" s="409" t="s">
        <v>389</v>
      </c>
      <c r="KA11" s="409" t="s">
        <v>389</v>
      </c>
      <c r="KB11" s="409" t="s">
        <v>389</v>
      </c>
      <c r="KC11" s="410">
        <f t="shared" si="32"/>
        <v>0</v>
      </c>
      <c r="KD11" s="60"/>
      <c r="KE11" s="408" t="s">
        <v>389</v>
      </c>
      <c r="KF11" s="409" t="s">
        <v>389</v>
      </c>
      <c r="KG11" s="409" t="s">
        <v>389</v>
      </c>
      <c r="KH11" s="409" t="s">
        <v>389</v>
      </c>
      <c r="KI11" s="409" t="s">
        <v>389</v>
      </c>
      <c r="KJ11" s="409" t="s">
        <v>389</v>
      </c>
      <c r="KK11" s="409" t="s">
        <v>389</v>
      </c>
      <c r="KL11" s="410">
        <f t="shared" si="33"/>
        <v>0</v>
      </c>
      <c r="KM11" s="60"/>
      <c r="KN11" s="408" t="s">
        <v>389</v>
      </c>
      <c r="KO11" s="409" t="s">
        <v>389</v>
      </c>
      <c r="KP11" s="409" t="s">
        <v>389</v>
      </c>
      <c r="KQ11" s="409" t="s">
        <v>389</v>
      </c>
      <c r="KR11" s="409" t="s">
        <v>389</v>
      </c>
      <c r="KS11" s="409" t="s">
        <v>389</v>
      </c>
      <c r="KT11" s="409" t="s">
        <v>389</v>
      </c>
      <c r="KU11" s="410">
        <f t="shared" si="34"/>
        <v>0</v>
      </c>
      <c r="KV11" s="60"/>
      <c r="KW11" s="408" t="s">
        <v>389</v>
      </c>
      <c r="KX11" s="409" t="s">
        <v>389</v>
      </c>
      <c r="KY11" s="409" t="s">
        <v>389</v>
      </c>
      <c r="KZ11" s="409" t="s">
        <v>389</v>
      </c>
      <c r="LA11" s="409" t="s">
        <v>389</v>
      </c>
      <c r="LB11" s="409" t="s">
        <v>389</v>
      </c>
      <c r="LC11" s="409" t="s">
        <v>389</v>
      </c>
      <c r="LD11" s="410">
        <f t="shared" si="35"/>
        <v>0</v>
      </c>
      <c r="LE11" s="60"/>
      <c r="LF11" s="408" t="s">
        <v>389</v>
      </c>
      <c r="LG11" s="409" t="s">
        <v>389</v>
      </c>
      <c r="LH11" s="409" t="s">
        <v>389</v>
      </c>
      <c r="LI11" s="409" t="s">
        <v>389</v>
      </c>
      <c r="LJ11" s="409" t="s">
        <v>389</v>
      </c>
      <c r="LK11" s="409" t="s">
        <v>389</v>
      </c>
      <c r="LL11" s="409" t="s">
        <v>389</v>
      </c>
      <c r="LM11" s="410">
        <f t="shared" si="36"/>
        <v>0</v>
      </c>
      <c r="LN11" s="60"/>
      <c r="LO11" s="408" t="s">
        <v>389</v>
      </c>
      <c r="LP11" s="409" t="s">
        <v>389</v>
      </c>
      <c r="LQ11" s="409" t="s">
        <v>389</v>
      </c>
      <c r="LR11" s="409" t="s">
        <v>389</v>
      </c>
      <c r="LS11" s="409" t="s">
        <v>389</v>
      </c>
      <c r="LT11" s="409" t="s">
        <v>389</v>
      </c>
      <c r="LU11" s="409" t="s">
        <v>389</v>
      </c>
      <c r="LV11" s="410">
        <f t="shared" si="37"/>
        <v>0</v>
      </c>
      <c r="LW11" s="60"/>
      <c r="LX11" s="408" t="s">
        <v>389</v>
      </c>
      <c r="LY11" s="409" t="s">
        <v>389</v>
      </c>
      <c r="LZ11" s="409" t="s">
        <v>389</v>
      </c>
      <c r="MA11" s="409" t="s">
        <v>389</v>
      </c>
      <c r="MB11" s="409" t="s">
        <v>389</v>
      </c>
      <c r="MC11" s="409" t="s">
        <v>389</v>
      </c>
      <c r="MD11" s="409" t="s">
        <v>389</v>
      </c>
      <c r="ME11" s="410">
        <f t="shared" si="38"/>
        <v>0</v>
      </c>
      <c r="MF11" s="60"/>
      <c r="MG11" s="408" t="s">
        <v>389</v>
      </c>
      <c r="MH11" s="409" t="s">
        <v>389</v>
      </c>
      <c r="MI11" s="409" t="s">
        <v>389</v>
      </c>
      <c r="MJ11" s="409" t="s">
        <v>389</v>
      </c>
      <c r="MK11" s="409" t="s">
        <v>389</v>
      </c>
      <c r="ML11" s="409" t="s">
        <v>389</v>
      </c>
      <c r="MM11" s="409" t="s">
        <v>389</v>
      </c>
      <c r="MN11" s="410">
        <f t="shared" si="39"/>
        <v>0</v>
      </c>
      <c r="MO11" s="60"/>
      <c r="MP11" s="408" t="s">
        <v>389</v>
      </c>
      <c r="MQ11" s="409" t="s">
        <v>389</v>
      </c>
      <c r="MR11" s="409" t="s">
        <v>389</v>
      </c>
      <c r="MS11" s="409" t="s">
        <v>389</v>
      </c>
      <c r="MT11" s="409" t="s">
        <v>389</v>
      </c>
      <c r="MU11" s="409" t="s">
        <v>389</v>
      </c>
      <c r="MV11" s="409" t="s">
        <v>389</v>
      </c>
      <c r="MW11" s="410">
        <f t="shared" si="40"/>
        <v>0</v>
      </c>
      <c r="MX11" s="60"/>
      <c r="MY11" s="408" t="s">
        <v>389</v>
      </c>
      <c r="MZ11" s="409" t="s">
        <v>389</v>
      </c>
      <c r="NA11" s="409" t="s">
        <v>389</v>
      </c>
      <c r="NB11" s="409" t="s">
        <v>389</v>
      </c>
      <c r="NC11" s="409" t="s">
        <v>389</v>
      </c>
      <c r="ND11" s="409" t="s">
        <v>389</v>
      </c>
      <c r="NE11" s="409" t="s">
        <v>389</v>
      </c>
      <c r="NF11" s="410">
        <f t="shared" si="41"/>
        <v>0</v>
      </c>
      <c r="NG11" s="60"/>
      <c r="NH11" s="408" t="s">
        <v>389</v>
      </c>
      <c r="NI11" s="409" t="s">
        <v>389</v>
      </c>
      <c r="NJ11" s="409" t="s">
        <v>389</v>
      </c>
      <c r="NK11" s="409" t="s">
        <v>389</v>
      </c>
      <c r="NL11" s="409" t="s">
        <v>389</v>
      </c>
      <c r="NM11" s="409" t="s">
        <v>389</v>
      </c>
      <c r="NN11" s="409" t="s">
        <v>389</v>
      </c>
      <c r="NO11" s="410">
        <f t="shared" si="42"/>
        <v>0</v>
      </c>
      <c r="NP11" s="60"/>
      <c r="NQ11" s="408" t="s">
        <v>389</v>
      </c>
      <c r="NR11" s="409" t="s">
        <v>389</v>
      </c>
      <c r="NS11" s="409" t="s">
        <v>389</v>
      </c>
      <c r="NT11" s="409" t="s">
        <v>389</v>
      </c>
      <c r="NU11" s="409" t="s">
        <v>389</v>
      </c>
      <c r="NV11" s="409" t="s">
        <v>389</v>
      </c>
      <c r="NW11" s="409" t="s">
        <v>389</v>
      </c>
      <c r="NX11" s="410">
        <f t="shared" si="43"/>
        <v>0</v>
      </c>
      <c r="NY11" s="60"/>
      <c r="NZ11" s="408" t="s">
        <v>389</v>
      </c>
      <c r="OA11" s="409" t="s">
        <v>389</v>
      </c>
      <c r="OB11" s="409" t="s">
        <v>389</v>
      </c>
      <c r="OC11" s="409" t="s">
        <v>389</v>
      </c>
      <c r="OD11" s="409" t="s">
        <v>389</v>
      </c>
      <c r="OE11" s="409" t="s">
        <v>389</v>
      </c>
      <c r="OF11" s="409" t="s">
        <v>389</v>
      </c>
      <c r="OG11" s="410">
        <f t="shared" si="44"/>
        <v>0</v>
      </c>
      <c r="OH11" s="60"/>
      <c r="OI11" s="408" t="s">
        <v>389</v>
      </c>
      <c r="OJ11" s="409" t="s">
        <v>389</v>
      </c>
      <c r="OK11" s="409" t="s">
        <v>389</v>
      </c>
      <c r="OL11" s="409" t="s">
        <v>389</v>
      </c>
      <c r="OM11" s="409" t="s">
        <v>389</v>
      </c>
      <c r="ON11" s="409" t="s">
        <v>389</v>
      </c>
      <c r="OO11" s="409" t="s">
        <v>389</v>
      </c>
      <c r="OP11" s="410">
        <f t="shared" si="45"/>
        <v>0</v>
      </c>
      <c r="OQ11" s="60"/>
      <c r="OR11" s="408" t="s">
        <v>389</v>
      </c>
      <c r="OS11" s="409" t="s">
        <v>389</v>
      </c>
      <c r="OT11" s="409" t="s">
        <v>389</v>
      </c>
      <c r="OU11" s="409" t="s">
        <v>389</v>
      </c>
      <c r="OV11" s="409" t="s">
        <v>389</v>
      </c>
      <c r="OW11" s="409" t="s">
        <v>389</v>
      </c>
      <c r="OX11" s="409" t="s">
        <v>389</v>
      </c>
      <c r="OY11" s="410">
        <f t="shared" si="46"/>
        <v>0</v>
      </c>
      <c r="OZ11" s="60"/>
      <c r="PA11" s="408" t="s">
        <v>389</v>
      </c>
      <c r="PB11" s="409" t="s">
        <v>389</v>
      </c>
      <c r="PC11" s="409" t="s">
        <v>389</v>
      </c>
      <c r="PD11" s="409" t="s">
        <v>389</v>
      </c>
      <c r="PE11" s="409" t="s">
        <v>389</v>
      </c>
      <c r="PF11" s="409" t="s">
        <v>389</v>
      </c>
      <c r="PG11" s="409" t="s">
        <v>389</v>
      </c>
      <c r="PH11" s="410">
        <f t="shared" si="47"/>
        <v>0</v>
      </c>
      <c r="PI11" s="60"/>
      <c r="PJ11" s="408" t="s">
        <v>389</v>
      </c>
      <c r="PK11" s="409" t="s">
        <v>389</v>
      </c>
      <c r="PL11" s="409" t="s">
        <v>389</v>
      </c>
      <c r="PM11" s="409" t="s">
        <v>389</v>
      </c>
      <c r="PN11" s="409" t="s">
        <v>389</v>
      </c>
      <c r="PO11" s="409" t="s">
        <v>389</v>
      </c>
      <c r="PP11" s="409" t="s">
        <v>389</v>
      </c>
      <c r="PQ11" s="410">
        <f t="shared" si="48"/>
        <v>0</v>
      </c>
      <c r="PR11" s="60"/>
      <c r="PS11" s="408" t="s">
        <v>389</v>
      </c>
      <c r="PT11" s="409" t="s">
        <v>389</v>
      </c>
      <c r="PU11" s="409" t="s">
        <v>389</v>
      </c>
      <c r="PV11" s="409" t="s">
        <v>389</v>
      </c>
      <c r="PW11" s="409" t="s">
        <v>389</v>
      </c>
      <c r="PX11" s="409" t="s">
        <v>389</v>
      </c>
      <c r="PY11" s="409" t="s">
        <v>389</v>
      </c>
      <c r="PZ11" s="410">
        <f t="shared" si="49"/>
        <v>0</v>
      </c>
      <c r="QA11" s="60"/>
      <c r="QB11" s="408" t="s">
        <v>389</v>
      </c>
      <c r="QC11" s="409" t="s">
        <v>389</v>
      </c>
      <c r="QD11" s="409" t="s">
        <v>389</v>
      </c>
      <c r="QE11" s="409" t="s">
        <v>389</v>
      </c>
      <c r="QF11" s="409" t="s">
        <v>389</v>
      </c>
      <c r="QG11" s="409" t="s">
        <v>389</v>
      </c>
      <c r="QH11" s="409" t="s">
        <v>389</v>
      </c>
      <c r="QI11" s="410">
        <f t="shared" si="50"/>
        <v>0</v>
      </c>
      <c r="QJ11" s="60"/>
      <c r="QK11" s="408" t="s">
        <v>389</v>
      </c>
      <c r="QL11" s="409" t="s">
        <v>389</v>
      </c>
      <c r="QM11" s="409" t="s">
        <v>389</v>
      </c>
      <c r="QN11" s="409" t="s">
        <v>389</v>
      </c>
      <c r="QO11" s="409" t="s">
        <v>389</v>
      </c>
      <c r="QP11" s="409" t="s">
        <v>389</v>
      </c>
      <c r="QQ11" s="409" t="s">
        <v>389</v>
      </c>
      <c r="QR11" s="410">
        <f t="shared" si="51"/>
        <v>0</v>
      </c>
      <c r="QS11" s="60"/>
      <c r="QT11" s="408" t="s">
        <v>389</v>
      </c>
      <c r="QU11" s="409" t="s">
        <v>389</v>
      </c>
      <c r="QV11" s="409" t="s">
        <v>389</v>
      </c>
      <c r="QW11" s="409" t="s">
        <v>389</v>
      </c>
      <c r="QX11" s="409" t="s">
        <v>389</v>
      </c>
      <c r="QY11" s="409" t="s">
        <v>389</v>
      </c>
      <c r="QZ11" s="409" t="s">
        <v>389</v>
      </c>
      <c r="RA11" s="410">
        <f t="shared" si="52"/>
        <v>0</v>
      </c>
      <c r="RB11" s="30"/>
      <c r="RC11" s="57"/>
    </row>
    <row r="12" hidden="1">
      <c r="A12" s="32" t="s">
        <v>397</v>
      </c>
      <c r="B12" s="60"/>
      <c r="C12" s="408" t="s">
        <v>389</v>
      </c>
      <c r="D12" s="409" t="s">
        <v>389</v>
      </c>
      <c r="E12" s="409" t="s">
        <v>389</v>
      </c>
      <c r="F12" s="409" t="s">
        <v>389</v>
      </c>
      <c r="G12" s="409" t="s">
        <v>389</v>
      </c>
      <c r="H12" s="409" t="s">
        <v>389</v>
      </c>
      <c r="I12" s="409" t="s">
        <v>389</v>
      </c>
      <c r="J12" s="410">
        <f t="shared" si="1"/>
        <v>0</v>
      </c>
      <c r="K12" s="60"/>
      <c r="L12" s="408" t="s">
        <v>389</v>
      </c>
      <c r="M12" s="409" t="s">
        <v>389</v>
      </c>
      <c r="N12" s="409" t="s">
        <v>389</v>
      </c>
      <c r="O12" s="409" t="s">
        <v>389</v>
      </c>
      <c r="P12" s="409" t="s">
        <v>389</v>
      </c>
      <c r="Q12" s="409" t="s">
        <v>389</v>
      </c>
      <c r="R12" s="409" t="s">
        <v>389</v>
      </c>
      <c r="S12" s="410">
        <f t="shared" si="2"/>
        <v>0</v>
      </c>
      <c r="T12" s="60"/>
      <c r="U12" s="408" t="s">
        <v>389</v>
      </c>
      <c r="V12" s="409" t="s">
        <v>389</v>
      </c>
      <c r="W12" s="409" t="s">
        <v>389</v>
      </c>
      <c r="X12" s="409" t="s">
        <v>389</v>
      </c>
      <c r="Y12" s="409" t="s">
        <v>389</v>
      </c>
      <c r="Z12" s="409" t="s">
        <v>389</v>
      </c>
      <c r="AA12" s="409" t="s">
        <v>389</v>
      </c>
      <c r="AB12" s="410">
        <f t="shared" si="3"/>
        <v>0</v>
      </c>
      <c r="AC12" s="60"/>
      <c r="AD12" s="408" t="s">
        <v>389</v>
      </c>
      <c r="AE12" s="409" t="s">
        <v>389</v>
      </c>
      <c r="AF12" s="409" t="s">
        <v>389</v>
      </c>
      <c r="AG12" s="409" t="s">
        <v>389</v>
      </c>
      <c r="AH12" s="409" t="s">
        <v>389</v>
      </c>
      <c r="AI12" s="409" t="s">
        <v>389</v>
      </c>
      <c r="AJ12" s="409" t="s">
        <v>389</v>
      </c>
      <c r="AK12" s="410">
        <f t="shared" si="4"/>
        <v>0</v>
      </c>
      <c r="AL12" s="60"/>
      <c r="AM12" s="408" t="s">
        <v>389</v>
      </c>
      <c r="AN12" s="409" t="s">
        <v>389</v>
      </c>
      <c r="AO12" s="409" t="s">
        <v>389</v>
      </c>
      <c r="AP12" s="409" t="s">
        <v>389</v>
      </c>
      <c r="AQ12" s="409" t="s">
        <v>389</v>
      </c>
      <c r="AR12" s="409" t="s">
        <v>389</v>
      </c>
      <c r="AS12" s="409" t="s">
        <v>389</v>
      </c>
      <c r="AT12" s="410">
        <f t="shared" si="5"/>
        <v>0</v>
      </c>
      <c r="AU12" s="60"/>
      <c r="AV12" s="408" t="s">
        <v>389</v>
      </c>
      <c r="AW12" s="409" t="s">
        <v>389</v>
      </c>
      <c r="AX12" s="409" t="s">
        <v>389</v>
      </c>
      <c r="AY12" s="409" t="s">
        <v>389</v>
      </c>
      <c r="AZ12" s="409" t="s">
        <v>389</v>
      </c>
      <c r="BA12" s="409" t="s">
        <v>389</v>
      </c>
      <c r="BB12" s="409" t="s">
        <v>389</v>
      </c>
      <c r="BC12" s="410">
        <f t="shared" si="6"/>
        <v>0</v>
      </c>
      <c r="BD12" s="60"/>
      <c r="BE12" s="408" t="s">
        <v>389</v>
      </c>
      <c r="BF12" s="409" t="s">
        <v>389</v>
      </c>
      <c r="BG12" s="409" t="s">
        <v>389</v>
      </c>
      <c r="BH12" s="409" t="s">
        <v>389</v>
      </c>
      <c r="BI12" s="409" t="s">
        <v>389</v>
      </c>
      <c r="BJ12" s="409" t="s">
        <v>389</v>
      </c>
      <c r="BK12" s="409" t="s">
        <v>389</v>
      </c>
      <c r="BL12" s="410">
        <f t="shared" si="7"/>
        <v>0</v>
      </c>
      <c r="BM12" s="60"/>
      <c r="BN12" s="408" t="s">
        <v>389</v>
      </c>
      <c r="BO12" s="409" t="s">
        <v>389</v>
      </c>
      <c r="BP12" s="409" t="s">
        <v>389</v>
      </c>
      <c r="BQ12" s="409" t="s">
        <v>389</v>
      </c>
      <c r="BR12" s="409" t="s">
        <v>389</v>
      </c>
      <c r="BS12" s="409" t="s">
        <v>389</v>
      </c>
      <c r="BT12" s="409" t="s">
        <v>389</v>
      </c>
      <c r="BU12" s="410">
        <f t="shared" si="8"/>
        <v>0</v>
      </c>
      <c r="BV12" s="60"/>
      <c r="BW12" s="408" t="s">
        <v>389</v>
      </c>
      <c r="BX12" s="409" t="s">
        <v>389</v>
      </c>
      <c r="BY12" s="409" t="s">
        <v>389</v>
      </c>
      <c r="BZ12" s="409" t="s">
        <v>389</v>
      </c>
      <c r="CA12" s="409" t="s">
        <v>389</v>
      </c>
      <c r="CB12" s="409" t="s">
        <v>389</v>
      </c>
      <c r="CC12" s="409" t="s">
        <v>389</v>
      </c>
      <c r="CD12" s="410">
        <f t="shared" si="9"/>
        <v>0</v>
      </c>
      <c r="CE12" s="60"/>
      <c r="CF12" s="408" t="s">
        <v>389</v>
      </c>
      <c r="CG12" s="409" t="s">
        <v>389</v>
      </c>
      <c r="CH12" s="409" t="s">
        <v>389</v>
      </c>
      <c r="CI12" s="409" t="s">
        <v>389</v>
      </c>
      <c r="CJ12" s="409" t="s">
        <v>389</v>
      </c>
      <c r="CK12" s="409" t="s">
        <v>389</v>
      </c>
      <c r="CL12" s="409" t="s">
        <v>389</v>
      </c>
      <c r="CM12" s="410">
        <f t="shared" si="10"/>
        <v>0</v>
      </c>
      <c r="CN12" s="60"/>
      <c r="CO12" s="408" t="s">
        <v>389</v>
      </c>
      <c r="CP12" s="409" t="s">
        <v>389</v>
      </c>
      <c r="CQ12" s="409" t="s">
        <v>389</v>
      </c>
      <c r="CR12" s="409" t="s">
        <v>389</v>
      </c>
      <c r="CS12" s="409" t="s">
        <v>389</v>
      </c>
      <c r="CT12" s="409" t="s">
        <v>389</v>
      </c>
      <c r="CU12" s="409" t="s">
        <v>389</v>
      </c>
      <c r="CV12" s="410">
        <f t="shared" si="11"/>
        <v>0</v>
      </c>
      <c r="CW12" s="60"/>
      <c r="CX12" s="408" t="s">
        <v>389</v>
      </c>
      <c r="CY12" s="409" t="s">
        <v>389</v>
      </c>
      <c r="CZ12" s="409" t="s">
        <v>389</v>
      </c>
      <c r="DA12" s="409" t="s">
        <v>389</v>
      </c>
      <c r="DB12" s="409" t="s">
        <v>389</v>
      </c>
      <c r="DC12" s="409" t="s">
        <v>389</v>
      </c>
      <c r="DD12" s="409" t="s">
        <v>389</v>
      </c>
      <c r="DE12" s="410">
        <f t="shared" si="12"/>
        <v>0</v>
      </c>
      <c r="DF12" s="60"/>
      <c r="DG12" s="408" t="s">
        <v>389</v>
      </c>
      <c r="DH12" s="409" t="s">
        <v>389</v>
      </c>
      <c r="DI12" s="409" t="s">
        <v>389</v>
      </c>
      <c r="DJ12" s="409" t="s">
        <v>389</v>
      </c>
      <c r="DK12" s="409" t="s">
        <v>389</v>
      </c>
      <c r="DL12" s="409" t="s">
        <v>389</v>
      </c>
      <c r="DM12" s="409" t="s">
        <v>389</v>
      </c>
      <c r="DN12" s="410">
        <f t="shared" si="13"/>
        <v>0</v>
      </c>
      <c r="DO12" s="60"/>
      <c r="DP12" s="408" t="s">
        <v>389</v>
      </c>
      <c r="DQ12" s="409" t="s">
        <v>389</v>
      </c>
      <c r="DR12" s="409" t="s">
        <v>389</v>
      </c>
      <c r="DS12" s="409" t="s">
        <v>389</v>
      </c>
      <c r="DT12" s="409" t="s">
        <v>389</v>
      </c>
      <c r="DU12" s="409" t="s">
        <v>389</v>
      </c>
      <c r="DV12" s="409" t="s">
        <v>389</v>
      </c>
      <c r="DW12" s="410">
        <f t="shared" si="14"/>
        <v>0</v>
      </c>
      <c r="DX12" s="60"/>
      <c r="DY12" s="408" t="s">
        <v>389</v>
      </c>
      <c r="DZ12" s="409" t="s">
        <v>389</v>
      </c>
      <c r="EA12" s="409" t="s">
        <v>389</v>
      </c>
      <c r="EB12" s="409" t="s">
        <v>389</v>
      </c>
      <c r="EC12" s="409" t="s">
        <v>389</v>
      </c>
      <c r="ED12" s="409" t="s">
        <v>389</v>
      </c>
      <c r="EE12" s="409" t="s">
        <v>389</v>
      </c>
      <c r="EF12" s="410">
        <f t="shared" si="15"/>
        <v>0</v>
      </c>
      <c r="EG12" s="60"/>
      <c r="EH12" s="408" t="s">
        <v>389</v>
      </c>
      <c r="EI12" s="409" t="s">
        <v>389</v>
      </c>
      <c r="EJ12" s="409" t="s">
        <v>389</v>
      </c>
      <c r="EK12" s="409" t="s">
        <v>389</v>
      </c>
      <c r="EL12" s="409" t="s">
        <v>389</v>
      </c>
      <c r="EM12" s="409" t="s">
        <v>389</v>
      </c>
      <c r="EN12" s="409" t="s">
        <v>389</v>
      </c>
      <c r="EO12" s="410">
        <f t="shared" si="16"/>
        <v>0</v>
      </c>
      <c r="EP12" s="60"/>
      <c r="EQ12" s="408" t="s">
        <v>389</v>
      </c>
      <c r="ER12" s="409" t="s">
        <v>389</v>
      </c>
      <c r="ES12" s="409" t="s">
        <v>389</v>
      </c>
      <c r="ET12" s="409" t="s">
        <v>389</v>
      </c>
      <c r="EU12" s="409" t="s">
        <v>389</v>
      </c>
      <c r="EV12" s="409" t="s">
        <v>389</v>
      </c>
      <c r="EW12" s="409" t="s">
        <v>389</v>
      </c>
      <c r="EX12" s="410">
        <f t="shared" si="17"/>
        <v>0</v>
      </c>
      <c r="EY12" s="60"/>
      <c r="EZ12" s="408" t="s">
        <v>389</v>
      </c>
      <c r="FA12" s="409" t="s">
        <v>389</v>
      </c>
      <c r="FB12" s="409" t="s">
        <v>389</v>
      </c>
      <c r="FC12" s="409" t="s">
        <v>389</v>
      </c>
      <c r="FD12" s="409" t="s">
        <v>389</v>
      </c>
      <c r="FE12" s="409" t="s">
        <v>389</v>
      </c>
      <c r="FF12" s="409" t="s">
        <v>389</v>
      </c>
      <c r="FG12" s="410">
        <f t="shared" si="18"/>
        <v>0</v>
      </c>
      <c r="FH12" s="60"/>
      <c r="FI12" s="408" t="s">
        <v>389</v>
      </c>
      <c r="FJ12" s="409" t="s">
        <v>389</v>
      </c>
      <c r="FK12" s="409" t="s">
        <v>389</v>
      </c>
      <c r="FL12" s="409" t="s">
        <v>389</v>
      </c>
      <c r="FM12" s="409" t="s">
        <v>389</v>
      </c>
      <c r="FN12" s="409" t="s">
        <v>389</v>
      </c>
      <c r="FO12" s="409" t="s">
        <v>389</v>
      </c>
      <c r="FP12" s="410">
        <f t="shared" si="19"/>
        <v>0</v>
      </c>
      <c r="FQ12" s="60"/>
      <c r="FR12" s="408" t="s">
        <v>389</v>
      </c>
      <c r="FS12" s="409" t="s">
        <v>389</v>
      </c>
      <c r="FT12" s="409" t="s">
        <v>389</v>
      </c>
      <c r="FU12" s="409" t="s">
        <v>389</v>
      </c>
      <c r="FV12" s="409" t="s">
        <v>389</v>
      </c>
      <c r="FW12" s="409" t="s">
        <v>389</v>
      </c>
      <c r="FX12" s="409" t="s">
        <v>389</v>
      </c>
      <c r="FY12" s="410">
        <f t="shared" si="20"/>
        <v>0</v>
      </c>
      <c r="FZ12" s="60"/>
      <c r="GA12" s="408" t="s">
        <v>389</v>
      </c>
      <c r="GB12" s="409" t="s">
        <v>389</v>
      </c>
      <c r="GC12" s="409" t="s">
        <v>389</v>
      </c>
      <c r="GD12" s="409" t="s">
        <v>389</v>
      </c>
      <c r="GE12" s="409" t="s">
        <v>389</v>
      </c>
      <c r="GF12" s="409" t="s">
        <v>389</v>
      </c>
      <c r="GG12" s="409" t="s">
        <v>389</v>
      </c>
      <c r="GH12" s="410">
        <f t="shared" si="21"/>
        <v>0</v>
      </c>
      <c r="GI12" s="60"/>
      <c r="GJ12" s="408" t="s">
        <v>389</v>
      </c>
      <c r="GK12" s="409" t="s">
        <v>389</v>
      </c>
      <c r="GL12" s="409" t="s">
        <v>389</v>
      </c>
      <c r="GM12" s="409" t="s">
        <v>389</v>
      </c>
      <c r="GN12" s="409" t="s">
        <v>389</v>
      </c>
      <c r="GO12" s="409" t="s">
        <v>389</v>
      </c>
      <c r="GP12" s="409" t="s">
        <v>389</v>
      </c>
      <c r="GQ12" s="410">
        <f t="shared" si="22"/>
        <v>0</v>
      </c>
      <c r="GR12" s="60"/>
      <c r="GS12" s="408" t="s">
        <v>389</v>
      </c>
      <c r="GT12" s="409" t="s">
        <v>389</v>
      </c>
      <c r="GU12" s="409" t="s">
        <v>389</v>
      </c>
      <c r="GV12" s="409" t="s">
        <v>389</v>
      </c>
      <c r="GW12" s="409" t="s">
        <v>389</v>
      </c>
      <c r="GX12" s="409" t="s">
        <v>389</v>
      </c>
      <c r="GY12" s="409" t="s">
        <v>389</v>
      </c>
      <c r="GZ12" s="410">
        <f t="shared" si="23"/>
        <v>0</v>
      </c>
      <c r="HA12" s="60"/>
      <c r="HB12" s="408" t="s">
        <v>389</v>
      </c>
      <c r="HC12" s="409" t="s">
        <v>389</v>
      </c>
      <c r="HD12" s="409" t="s">
        <v>389</v>
      </c>
      <c r="HE12" s="409" t="s">
        <v>389</v>
      </c>
      <c r="HF12" s="409" t="s">
        <v>389</v>
      </c>
      <c r="HG12" s="409" t="s">
        <v>389</v>
      </c>
      <c r="HH12" s="409" t="s">
        <v>389</v>
      </c>
      <c r="HI12" s="410">
        <f t="shared" si="24"/>
        <v>0</v>
      </c>
      <c r="HJ12" s="60"/>
      <c r="HK12" s="408" t="s">
        <v>389</v>
      </c>
      <c r="HL12" s="409" t="s">
        <v>389</v>
      </c>
      <c r="HM12" s="409" t="s">
        <v>389</v>
      </c>
      <c r="HN12" s="409" t="s">
        <v>389</v>
      </c>
      <c r="HO12" s="409" t="s">
        <v>389</v>
      </c>
      <c r="HP12" s="409" t="s">
        <v>389</v>
      </c>
      <c r="HQ12" s="409" t="s">
        <v>389</v>
      </c>
      <c r="HR12" s="410">
        <f t="shared" si="25"/>
        <v>0</v>
      </c>
      <c r="HS12" s="60"/>
      <c r="HT12" s="408" t="s">
        <v>389</v>
      </c>
      <c r="HU12" s="409" t="s">
        <v>389</v>
      </c>
      <c r="HV12" s="409" t="s">
        <v>389</v>
      </c>
      <c r="HW12" s="409" t="s">
        <v>389</v>
      </c>
      <c r="HX12" s="409" t="s">
        <v>389</v>
      </c>
      <c r="HY12" s="409" t="s">
        <v>389</v>
      </c>
      <c r="HZ12" s="409" t="s">
        <v>389</v>
      </c>
      <c r="IA12" s="410">
        <f t="shared" si="26"/>
        <v>0</v>
      </c>
      <c r="IB12" s="60"/>
      <c r="IC12" s="408" t="s">
        <v>389</v>
      </c>
      <c r="ID12" s="409" t="s">
        <v>389</v>
      </c>
      <c r="IE12" s="409" t="s">
        <v>389</v>
      </c>
      <c r="IF12" s="409" t="s">
        <v>389</v>
      </c>
      <c r="IG12" s="409" t="s">
        <v>389</v>
      </c>
      <c r="IH12" s="409" t="s">
        <v>389</v>
      </c>
      <c r="II12" s="409" t="s">
        <v>389</v>
      </c>
      <c r="IJ12" s="410">
        <f t="shared" si="27"/>
        <v>0</v>
      </c>
      <c r="IK12" s="60"/>
      <c r="IL12" s="408" t="s">
        <v>389</v>
      </c>
      <c r="IM12" s="409" t="s">
        <v>389</v>
      </c>
      <c r="IN12" s="409" t="s">
        <v>389</v>
      </c>
      <c r="IO12" s="409" t="s">
        <v>389</v>
      </c>
      <c r="IP12" s="409" t="s">
        <v>389</v>
      </c>
      <c r="IQ12" s="409" t="s">
        <v>389</v>
      </c>
      <c r="IR12" s="409" t="s">
        <v>389</v>
      </c>
      <c r="IS12" s="410">
        <f t="shared" si="28"/>
        <v>0</v>
      </c>
      <c r="IT12" s="60"/>
      <c r="IU12" s="408" t="s">
        <v>389</v>
      </c>
      <c r="IV12" s="409" t="s">
        <v>389</v>
      </c>
      <c r="IW12" s="409" t="s">
        <v>389</v>
      </c>
      <c r="IX12" s="409" t="s">
        <v>389</v>
      </c>
      <c r="IY12" s="409" t="s">
        <v>389</v>
      </c>
      <c r="IZ12" s="409" t="s">
        <v>389</v>
      </c>
      <c r="JA12" s="409" t="s">
        <v>389</v>
      </c>
      <c r="JB12" s="410">
        <f t="shared" si="29"/>
        <v>0</v>
      </c>
      <c r="JC12" s="60"/>
      <c r="JD12" s="408" t="s">
        <v>389</v>
      </c>
      <c r="JE12" s="409" t="s">
        <v>389</v>
      </c>
      <c r="JF12" s="409" t="s">
        <v>389</v>
      </c>
      <c r="JG12" s="409" t="s">
        <v>389</v>
      </c>
      <c r="JH12" s="409" t="s">
        <v>389</v>
      </c>
      <c r="JI12" s="409" t="s">
        <v>389</v>
      </c>
      <c r="JJ12" s="409" t="s">
        <v>389</v>
      </c>
      <c r="JK12" s="410">
        <f t="shared" si="30"/>
        <v>0</v>
      </c>
      <c r="JL12" s="60"/>
      <c r="JM12" s="408" t="s">
        <v>389</v>
      </c>
      <c r="JN12" s="409" t="s">
        <v>389</v>
      </c>
      <c r="JO12" s="409" t="s">
        <v>389</v>
      </c>
      <c r="JP12" s="409" t="s">
        <v>389</v>
      </c>
      <c r="JQ12" s="409" t="s">
        <v>389</v>
      </c>
      <c r="JR12" s="409" t="s">
        <v>389</v>
      </c>
      <c r="JS12" s="409" t="s">
        <v>389</v>
      </c>
      <c r="JT12" s="410">
        <f t="shared" si="31"/>
        <v>0</v>
      </c>
      <c r="JU12" s="60"/>
      <c r="JV12" s="408" t="s">
        <v>389</v>
      </c>
      <c r="JW12" s="409" t="s">
        <v>389</v>
      </c>
      <c r="JX12" s="409" t="s">
        <v>389</v>
      </c>
      <c r="JY12" s="409" t="s">
        <v>389</v>
      </c>
      <c r="JZ12" s="409" t="s">
        <v>389</v>
      </c>
      <c r="KA12" s="409" t="s">
        <v>389</v>
      </c>
      <c r="KB12" s="409" t="s">
        <v>389</v>
      </c>
      <c r="KC12" s="410">
        <f t="shared" si="32"/>
        <v>0</v>
      </c>
      <c r="KD12" s="60"/>
      <c r="KE12" s="408" t="s">
        <v>389</v>
      </c>
      <c r="KF12" s="409" t="s">
        <v>389</v>
      </c>
      <c r="KG12" s="409" t="s">
        <v>389</v>
      </c>
      <c r="KH12" s="409" t="s">
        <v>389</v>
      </c>
      <c r="KI12" s="409" t="s">
        <v>389</v>
      </c>
      <c r="KJ12" s="409" t="s">
        <v>389</v>
      </c>
      <c r="KK12" s="409" t="s">
        <v>389</v>
      </c>
      <c r="KL12" s="410">
        <f t="shared" si="33"/>
        <v>0</v>
      </c>
      <c r="KM12" s="60"/>
      <c r="KN12" s="408" t="s">
        <v>389</v>
      </c>
      <c r="KO12" s="409" t="s">
        <v>389</v>
      </c>
      <c r="KP12" s="409" t="s">
        <v>389</v>
      </c>
      <c r="KQ12" s="409" t="s">
        <v>389</v>
      </c>
      <c r="KR12" s="409" t="s">
        <v>389</v>
      </c>
      <c r="KS12" s="409" t="s">
        <v>389</v>
      </c>
      <c r="KT12" s="409" t="s">
        <v>389</v>
      </c>
      <c r="KU12" s="410">
        <f t="shared" si="34"/>
        <v>0</v>
      </c>
      <c r="KV12" s="60"/>
      <c r="KW12" s="408" t="s">
        <v>389</v>
      </c>
      <c r="KX12" s="409" t="s">
        <v>389</v>
      </c>
      <c r="KY12" s="409" t="s">
        <v>389</v>
      </c>
      <c r="KZ12" s="409" t="s">
        <v>389</v>
      </c>
      <c r="LA12" s="409" t="s">
        <v>389</v>
      </c>
      <c r="LB12" s="409" t="s">
        <v>389</v>
      </c>
      <c r="LC12" s="409" t="s">
        <v>389</v>
      </c>
      <c r="LD12" s="410">
        <f t="shared" si="35"/>
        <v>0</v>
      </c>
      <c r="LE12" s="60"/>
      <c r="LF12" s="408" t="s">
        <v>389</v>
      </c>
      <c r="LG12" s="409" t="s">
        <v>389</v>
      </c>
      <c r="LH12" s="409" t="s">
        <v>389</v>
      </c>
      <c r="LI12" s="409" t="s">
        <v>389</v>
      </c>
      <c r="LJ12" s="409" t="s">
        <v>389</v>
      </c>
      <c r="LK12" s="409" t="s">
        <v>389</v>
      </c>
      <c r="LL12" s="409" t="s">
        <v>389</v>
      </c>
      <c r="LM12" s="410">
        <f t="shared" si="36"/>
        <v>0</v>
      </c>
      <c r="LN12" s="60"/>
      <c r="LO12" s="408" t="s">
        <v>389</v>
      </c>
      <c r="LP12" s="409" t="s">
        <v>389</v>
      </c>
      <c r="LQ12" s="409" t="s">
        <v>389</v>
      </c>
      <c r="LR12" s="409" t="s">
        <v>389</v>
      </c>
      <c r="LS12" s="409" t="s">
        <v>389</v>
      </c>
      <c r="LT12" s="409" t="s">
        <v>389</v>
      </c>
      <c r="LU12" s="409" t="s">
        <v>389</v>
      </c>
      <c r="LV12" s="410">
        <f t="shared" si="37"/>
        <v>0</v>
      </c>
      <c r="LW12" s="60"/>
      <c r="LX12" s="408" t="s">
        <v>389</v>
      </c>
      <c r="LY12" s="409" t="s">
        <v>389</v>
      </c>
      <c r="LZ12" s="409" t="s">
        <v>389</v>
      </c>
      <c r="MA12" s="409" t="s">
        <v>389</v>
      </c>
      <c r="MB12" s="409" t="s">
        <v>389</v>
      </c>
      <c r="MC12" s="409" t="s">
        <v>389</v>
      </c>
      <c r="MD12" s="409" t="s">
        <v>389</v>
      </c>
      <c r="ME12" s="410">
        <f t="shared" si="38"/>
        <v>0</v>
      </c>
      <c r="MF12" s="60"/>
      <c r="MG12" s="408" t="s">
        <v>389</v>
      </c>
      <c r="MH12" s="409" t="s">
        <v>389</v>
      </c>
      <c r="MI12" s="409" t="s">
        <v>389</v>
      </c>
      <c r="MJ12" s="409" t="s">
        <v>389</v>
      </c>
      <c r="MK12" s="409" t="s">
        <v>389</v>
      </c>
      <c r="ML12" s="409" t="s">
        <v>389</v>
      </c>
      <c r="MM12" s="409" t="s">
        <v>389</v>
      </c>
      <c r="MN12" s="410">
        <f t="shared" si="39"/>
        <v>0</v>
      </c>
      <c r="MO12" s="60"/>
      <c r="MP12" s="408" t="s">
        <v>389</v>
      </c>
      <c r="MQ12" s="409" t="s">
        <v>389</v>
      </c>
      <c r="MR12" s="409" t="s">
        <v>389</v>
      </c>
      <c r="MS12" s="409" t="s">
        <v>389</v>
      </c>
      <c r="MT12" s="409" t="s">
        <v>389</v>
      </c>
      <c r="MU12" s="409" t="s">
        <v>389</v>
      </c>
      <c r="MV12" s="409" t="s">
        <v>389</v>
      </c>
      <c r="MW12" s="410">
        <f t="shared" si="40"/>
        <v>0</v>
      </c>
      <c r="MX12" s="60"/>
      <c r="MY12" s="408" t="s">
        <v>389</v>
      </c>
      <c r="MZ12" s="409" t="s">
        <v>389</v>
      </c>
      <c r="NA12" s="409" t="s">
        <v>389</v>
      </c>
      <c r="NB12" s="409" t="s">
        <v>389</v>
      </c>
      <c r="NC12" s="409" t="s">
        <v>389</v>
      </c>
      <c r="ND12" s="409" t="s">
        <v>389</v>
      </c>
      <c r="NE12" s="409" t="s">
        <v>389</v>
      </c>
      <c r="NF12" s="410">
        <f t="shared" si="41"/>
        <v>0</v>
      </c>
      <c r="NG12" s="60"/>
      <c r="NH12" s="408" t="s">
        <v>389</v>
      </c>
      <c r="NI12" s="409" t="s">
        <v>389</v>
      </c>
      <c r="NJ12" s="409" t="s">
        <v>389</v>
      </c>
      <c r="NK12" s="409" t="s">
        <v>389</v>
      </c>
      <c r="NL12" s="409" t="s">
        <v>389</v>
      </c>
      <c r="NM12" s="409" t="s">
        <v>389</v>
      </c>
      <c r="NN12" s="409" t="s">
        <v>389</v>
      </c>
      <c r="NO12" s="410">
        <f t="shared" si="42"/>
        <v>0</v>
      </c>
      <c r="NP12" s="60"/>
      <c r="NQ12" s="408" t="s">
        <v>389</v>
      </c>
      <c r="NR12" s="409" t="s">
        <v>389</v>
      </c>
      <c r="NS12" s="409" t="s">
        <v>389</v>
      </c>
      <c r="NT12" s="409" t="s">
        <v>389</v>
      </c>
      <c r="NU12" s="409" t="s">
        <v>389</v>
      </c>
      <c r="NV12" s="409" t="s">
        <v>389</v>
      </c>
      <c r="NW12" s="409" t="s">
        <v>389</v>
      </c>
      <c r="NX12" s="410">
        <f t="shared" si="43"/>
        <v>0</v>
      </c>
      <c r="NY12" s="60"/>
      <c r="NZ12" s="408" t="s">
        <v>389</v>
      </c>
      <c r="OA12" s="409" t="s">
        <v>389</v>
      </c>
      <c r="OB12" s="409" t="s">
        <v>389</v>
      </c>
      <c r="OC12" s="409" t="s">
        <v>389</v>
      </c>
      <c r="OD12" s="409" t="s">
        <v>389</v>
      </c>
      <c r="OE12" s="409" t="s">
        <v>389</v>
      </c>
      <c r="OF12" s="409" t="s">
        <v>389</v>
      </c>
      <c r="OG12" s="410">
        <f t="shared" si="44"/>
        <v>0</v>
      </c>
      <c r="OH12" s="60"/>
      <c r="OI12" s="408" t="s">
        <v>389</v>
      </c>
      <c r="OJ12" s="409" t="s">
        <v>389</v>
      </c>
      <c r="OK12" s="409" t="s">
        <v>389</v>
      </c>
      <c r="OL12" s="409" t="s">
        <v>389</v>
      </c>
      <c r="OM12" s="409" t="s">
        <v>389</v>
      </c>
      <c r="ON12" s="409" t="s">
        <v>389</v>
      </c>
      <c r="OO12" s="409" t="s">
        <v>389</v>
      </c>
      <c r="OP12" s="410">
        <f t="shared" si="45"/>
        <v>0</v>
      </c>
      <c r="OQ12" s="60"/>
      <c r="OR12" s="408" t="s">
        <v>389</v>
      </c>
      <c r="OS12" s="409" t="s">
        <v>389</v>
      </c>
      <c r="OT12" s="409" t="s">
        <v>389</v>
      </c>
      <c r="OU12" s="409" t="s">
        <v>389</v>
      </c>
      <c r="OV12" s="409" t="s">
        <v>389</v>
      </c>
      <c r="OW12" s="409" t="s">
        <v>389</v>
      </c>
      <c r="OX12" s="409" t="s">
        <v>389</v>
      </c>
      <c r="OY12" s="410">
        <f t="shared" si="46"/>
        <v>0</v>
      </c>
      <c r="OZ12" s="60"/>
      <c r="PA12" s="408" t="s">
        <v>389</v>
      </c>
      <c r="PB12" s="409" t="s">
        <v>389</v>
      </c>
      <c r="PC12" s="409" t="s">
        <v>389</v>
      </c>
      <c r="PD12" s="409" t="s">
        <v>389</v>
      </c>
      <c r="PE12" s="409" t="s">
        <v>389</v>
      </c>
      <c r="PF12" s="409" t="s">
        <v>389</v>
      </c>
      <c r="PG12" s="409" t="s">
        <v>389</v>
      </c>
      <c r="PH12" s="410">
        <f t="shared" si="47"/>
        <v>0</v>
      </c>
      <c r="PI12" s="60"/>
      <c r="PJ12" s="408" t="s">
        <v>389</v>
      </c>
      <c r="PK12" s="409" t="s">
        <v>389</v>
      </c>
      <c r="PL12" s="409" t="s">
        <v>389</v>
      </c>
      <c r="PM12" s="409" t="s">
        <v>389</v>
      </c>
      <c r="PN12" s="409" t="s">
        <v>389</v>
      </c>
      <c r="PO12" s="409" t="s">
        <v>389</v>
      </c>
      <c r="PP12" s="409" t="s">
        <v>389</v>
      </c>
      <c r="PQ12" s="410">
        <f t="shared" si="48"/>
        <v>0</v>
      </c>
      <c r="PR12" s="60"/>
      <c r="PS12" s="408" t="s">
        <v>389</v>
      </c>
      <c r="PT12" s="409" t="s">
        <v>389</v>
      </c>
      <c r="PU12" s="409" t="s">
        <v>389</v>
      </c>
      <c r="PV12" s="409" t="s">
        <v>389</v>
      </c>
      <c r="PW12" s="409" t="s">
        <v>389</v>
      </c>
      <c r="PX12" s="409" t="s">
        <v>389</v>
      </c>
      <c r="PY12" s="409" t="s">
        <v>389</v>
      </c>
      <c r="PZ12" s="410">
        <f t="shared" si="49"/>
        <v>0</v>
      </c>
      <c r="QA12" s="60"/>
      <c r="QB12" s="408" t="s">
        <v>389</v>
      </c>
      <c r="QC12" s="409" t="s">
        <v>389</v>
      </c>
      <c r="QD12" s="409" t="s">
        <v>389</v>
      </c>
      <c r="QE12" s="409" t="s">
        <v>389</v>
      </c>
      <c r="QF12" s="409" t="s">
        <v>389</v>
      </c>
      <c r="QG12" s="409" t="s">
        <v>389</v>
      </c>
      <c r="QH12" s="409" t="s">
        <v>389</v>
      </c>
      <c r="QI12" s="410">
        <f t="shared" si="50"/>
        <v>0</v>
      </c>
      <c r="QJ12" s="60"/>
      <c r="QK12" s="408" t="s">
        <v>389</v>
      </c>
      <c r="QL12" s="409" t="s">
        <v>389</v>
      </c>
      <c r="QM12" s="409" t="s">
        <v>389</v>
      </c>
      <c r="QN12" s="409" t="s">
        <v>389</v>
      </c>
      <c r="QO12" s="409" t="s">
        <v>389</v>
      </c>
      <c r="QP12" s="409" t="s">
        <v>389</v>
      </c>
      <c r="QQ12" s="409" t="s">
        <v>389</v>
      </c>
      <c r="QR12" s="410">
        <f t="shared" si="51"/>
        <v>0</v>
      </c>
      <c r="QS12" s="60"/>
      <c r="QT12" s="408" t="s">
        <v>389</v>
      </c>
      <c r="QU12" s="409" t="s">
        <v>389</v>
      </c>
      <c r="QV12" s="409" t="s">
        <v>389</v>
      </c>
      <c r="QW12" s="409" t="s">
        <v>389</v>
      </c>
      <c r="QX12" s="409" t="s">
        <v>389</v>
      </c>
      <c r="QY12" s="409" t="s">
        <v>389</v>
      </c>
      <c r="QZ12" s="409" t="s">
        <v>389</v>
      </c>
      <c r="RA12" s="410">
        <f t="shared" si="52"/>
        <v>0</v>
      </c>
      <c r="RB12" s="30"/>
      <c r="RC12" s="57"/>
    </row>
    <row r="13" hidden="1">
      <c r="A13" s="32" t="s">
        <v>398</v>
      </c>
      <c r="B13" s="60"/>
      <c r="C13" s="408" t="s">
        <v>389</v>
      </c>
      <c r="D13" s="409" t="s">
        <v>389</v>
      </c>
      <c r="E13" s="409" t="s">
        <v>389</v>
      </c>
      <c r="F13" s="409" t="s">
        <v>389</v>
      </c>
      <c r="G13" s="409" t="s">
        <v>389</v>
      </c>
      <c r="H13" s="409" t="s">
        <v>389</v>
      </c>
      <c r="I13" s="409" t="s">
        <v>389</v>
      </c>
      <c r="J13" s="410">
        <f t="shared" si="1"/>
        <v>0</v>
      </c>
      <c r="K13" s="60"/>
      <c r="L13" s="408" t="s">
        <v>389</v>
      </c>
      <c r="M13" s="409" t="s">
        <v>389</v>
      </c>
      <c r="N13" s="409" t="s">
        <v>389</v>
      </c>
      <c r="O13" s="409" t="s">
        <v>389</v>
      </c>
      <c r="P13" s="409" t="s">
        <v>389</v>
      </c>
      <c r="Q13" s="409" t="s">
        <v>389</v>
      </c>
      <c r="R13" s="409" t="s">
        <v>389</v>
      </c>
      <c r="S13" s="410">
        <f t="shared" si="2"/>
        <v>0</v>
      </c>
      <c r="T13" s="60"/>
      <c r="U13" s="408" t="s">
        <v>389</v>
      </c>
      <c r="V13" s="409" t="s">
        <v>389</v>
      </c>
      <c r="W13" s="409" t="s">
        <v>389</v>
      </c>
      <c r="X13" s="409" t="s">
        <v>389</v>
      </c>
      <c r="Y13" s="409" t="s">
        <v>389</v>
      </c>
      <c r="Z13" s="409" t="s">
        <v>389</v>
      </c>
      <c r="AA13" s="409" t="s">
        <v>389</v>
      </c>
      <c r="AB13" s="410">
        <f t="shared" si="3"/>
        <v>0</v>
      </c>
      <c r="AC13" s="60"/>
      <c r="AD13" s="408" t="s">
        <v>389</v>
      </c>
      <c r="AE13" s="409" t="s">
        <v>389</v>
      </c>
      <c r="AF13" s="409" t="s">
        <v>389</v>
      </c>
      <c r="AG13" s="409" t="s">
        <v>389</v>
      </c>
      <c r="AH13" s="409" t="s">
        <v>389</v>
      </c>
      <c r="AI13" s="409" t="s">
        <v>389</v>
      </c>
      <c r="AJ13" s="409" t="s">
        <v>389</v>
      </c>
      <c r="AK13" s="410">
        <f t="shared" si="4"/>
        <v>0</v>
      </c>
      <c r="AL13" s="60"/>
      <c r="AM13" s="408" t="s">
        <v>389</v>
      </c>
      <c r="AN13" s="409" t="s">
        <v>389</v>
      </c>
      <c r="AO13" s="409" t="s">
        <v>389</v>
      </c>
      <c r="AP13" s="409" t="s">
        <v>389</v>
      </c>
      <c r="AQ13" s="409" t="s">
        <v>389</v>
      </c>
      <c r="AR13" s="409" t="s">
        <v>389</v>
      </c>
      <c r="AS13" s="409" t="s">
        <v>389</v>
      </c>
      <c r="AT13" s="410">
        <f t="shared" si="5"/>
        <v>0</v>
      </c>
      <c r="AU13" s="60"/>
      <c r="AV13" s="408" t="s">
        <v>389</v>
      </c>
      <c r="AW13" s="409" t="s">
        <v>389</v>
      </c>
      <c r="AX13" s="409" t="s">
        <v>389</v>
      </c>
      <c r="AY13" s="409" t="s">
        <v>389</v>
      </c>
      <c r="AZ13" s="409" t="s">
        <v>389</v>
      </c>
      <c r="BA13" s="409" t="s">
        <v>389</v>
      </c>
      <c r="BB13" s="409" t="s">
        <v>389</v>
      </c>
      <c r="BC13" s="410">
        <f t="shared" si="6"/>
        <v>0</v>
      </c>
      <c r="BD13" s="60"/>
      <c r="BE13" s="408" t="s">
        <v>389</v>
      </c>
      <c r="BF13" s="409" t="s">
        <v>389</v>
      </c>
      <c r="BG13" s="409" t="s">
        <v>389</v>
      </c>
      <c r="BH13" s="409" t="s">
        <v>389</v>
      </c>
      <c r="BI13" s="409" t="s">
        <v>389</v>
      </c>
      <c r="BJ13" s="409" t="s">
        <v>389</v>
      </c>
      <c r="BK13" s="409" t="s">
        <v>389</v>
      </c>
      <c r="BL13" s="410">
        <f t="shared" si="7"/>
        <v>0</v>
      </c>
      <c r="BM13" s="60"/>
      <c r="BN13" s="408" t="s">
        <v>389</v>
      </c>
      <c r="BO13" s="409" t="s">
        <v>389</v>
      </c>
      <c r="BP13" s="409" t="s">
        <v>389</v>
      </c>
      <c r="BQ13" s="409" t="s">
        <v>389</v>
      </c>
      <c r="BR13" s="409" t="s">
        <v>389</v>
      </c>
      <c r="BS13" s="409" t="s">
        <v>389</v>
      </c>
      <c r="BT13" s="409" t="s">
        <v>389</v>
      </c>
      <c r="BU13" s="410">
        <f t="shared" si="8"/>
        <v>0</v>
      </c>
      <c r="BV13" s="60"/>
      <c r="BW13" s="408" t="s">
        <v>389</v>
      </c>
      <c r="BX13" s="409" t="s">
        <v>389</v>
      </c>
      <c r="BY13" s="409" t="s">
        <v>389</v>
      </c>
      <c r="BZ13" s="409" t="s">
        <v>389</v>
      </c>
      <c r="CA13" s="409" t="s">
        <v>389</v>
      </c>
      <c r="CB13" s="409" t="s">
        <v>389</v>
      </c>
      <c r="CC13" s="409" t="s">
        <v>389</v>
      </c>
      <c r="CD13" s="410">
        <f t="shared" si="9"/>
        <v>0</v>
      </c>
      <c r="CE13" s="60"/>
      <c r="CF13" s="408" t="s">
        <v>389</v>
      </c>
      <c r="CG13" s="409" t="s">
        <v>389</v>
      </c>
      <c r="CH13" s="409" t="s">
        <v>389</v>
      </c>
      <c r="CI13" s="409" t="s">
        <v>389</v>
      </c>
      <c r="CJ13" s="409" t="s">
        <v>389</v>
      </c>
      <c r="CK13" s="409" t="s">
        <v>389</v>
      </c>
      <c r="CL13" s="409" t="s">
        <v>389</v>
      </c>
      <c r="CM13" s="410">
        <f t="shared" si="10"/>
        <v>0</v>
      </c>
      <c r="CN13" s="60"/>
      <c r="CO13" s="408" t="s">
        <v>389</v>
      </c>
      <c r="CP13" s="409" t="s">
        <v>389</v>
      </c>
      <c r="CQ13" s="409" t="s">
        <v>389</v>
      </c>
      <c r="CR13" s="409" t="s">
        <v>389</v>
      </c>
      <c r="CS13" s="409" t="s">
        <v>389</v>
      </c>
      <c r="CT13" s="409" t="s">
        <v>389</v>
      </c>
      <c r="CU13" s="409" t="s">
        <v>389</v>
      </c>
      <c r="CV13" s="410">
        <f t="shared" si="11"/>
        <v>0</v>
      </c>
      <c r="CW13" s="60"/>
      <c r="CX13" s="408" t="s">
        <v>389</v>
      </c>
      <c r="CY13" s="409" t="s">
        <v>389</v>
      </c>
      <c r="CZ13" s="409" t="s">
        <v>389</v>
      </c>
      <c r="DA13" s="409" t="s">
        <v>389</v>
      </c>
      <c r="DB13" s="409" t="s">
        <v>389</v>
      </c>
      <c r="DC13" s="409" t="s">
        <v>389</v>
      </c>
      <c r="DD13" s="409" t="s">
        <v>389</v>
      </c>
      <c r="DE13" s="410">
        <f t="shared" si="12"/>
        <v>0</v>
      </c>
      <c r="DF13" s="60"/>
      <c r="DG13" s="408" t="s">
        <v>389</v>
      </c>
      <c r="DH13" s="409" t="s">
        <v>389</v>
      </c>
      <c r="DI13" s="409" t="s">
        <v>389</v>
      </c>
      <c r="DJ13" s="409" t="s">
        <v>389</v>
      </c>
      <c r="DK13" s="409" t="s">
        <v>389</v>
      </c>
      <c r="DL13" s="409" t="s">
        <v>389</v>
      </c>
      <c r="DM13" s="409" t="s">
        <v>389</v>
      </c>
      <c r="DN13" s="410">
        <f t="shared" si="13"/>
        <v>0</v>
      </c>
      <c r="DO13" s="60"/>
      <c r="DP13" s="408" t="s">
        <v>389</v>
      </c>
      <c r="DQ13" s="409" t="s">
        <v>389</v>
      </c>
      <c r="DR13" s="409" t="s">
        <v>389</v>
      </c>
      <c r="DS13" s="409" t="s">
        <v>389</v>
      </c>
      <c r="DT13" s="409" t="s">
        <v>389</v>
      </c>
      <c r="DU13" s="409" t="s">
        <v>389</v>
      </c>
      <c r="DV13" s="409" t="s">
        <v>389</v>
      </c>
      <c r="DW13" s="410">
        <f t="shared" si="14"/>
        <v>0</v>
      </c>
      <c r="DX13" s="60"/>
      <c r="DY13" s="408" t="s">
        <v>389</v>
      </c>
      <c r="DZ13" s="409" t="s">
        <v>389</v>
      </c>
      <c r="EA13" s="409" t="s">
        <v>389</v>
      </c>
      <c r="EB13" s="409" t="s">
        <v>389</v>
      </c>
      <c r="EC13" s="409" t="s">
        <v>389</v>
      </c>
      <c r="ED13" s="409" t="s">
        <v>389</v>
      </c>
      <c r="EE13" s="409" t="s">
        <v>389</v>
      </c>
      <c r="EF13" s="410">
        <f t="shared" si="15"/>
        <v>0</v>
      </c>
      <c r="EG13" s="60"/>
      <c r="EH13" s="408" t="s">
        <v>389</v>
      </c>
      <c r="EI13" s="409" t="s">
        <v>389</v>
      </c>
      <c r="EJ13" s="409" t="s">
        <v>389</v>
      </c>
      <c r="EK13" s="409" t="s">
        <v>389</v>
      </c>
      <c r="EL13" s="409" t="s">
        <v>389</v>
      </c>
      <c r="EM13" s="409" t="s">
        <v>389</v>
      </c>
      <c r="EN13" s="409" t="s">
        <v>389</v>
      </c>
      <c r="EO13" s="410">
        <f t="shared" si="16"/>
        <v>0</v>
      </c>
      <c r="EP13" s="60"/>
      <c r="EQ13" s="408" t="s">
        <v>389</v>
      </c>
      <c r="ER13" s="409" t="s">
        <v>389</v>
      </c>
      <c r="ES13" s="409" t="s">
        <v>389</v>
      </c>
      <c r="ET13" s="409" t="s">
        <v>389</v>
      </c>
      <c r="EU13" s="409" t="s">
        <v>389</v>
      </c>
      <c r="EV13" s="409" t="s">
        <v>389</v>
      </c>
      <c r="EW13" s="409" t="s">
        <v>389</v>
      </c>
      <c r="EX13" s="410">
        <f t="shared" si="17"/>
        <v>0</v>
      </c>
      <c r="EY13" s="60"/>
      <c r="EZ13" s="408" t="s">
        <v>389</v>
      </c>
      <c r="FA13" s="409" t="s">
        <v>389</v>
      </c>
      <c r="FB13" s="409" t="s">
        <v>389</v>
      </c>
      <c r="FC13" s="409" t="s">
        <v>389</v>
      </c>
      <c r="FD13" s="409" t="s">
        <v>389</v>
      </c>
      <c r="FE13" s="409" t="s">
        <v>389</v>
      </c>
      <c r="FF13" s="409" t="s">
        <v>389</v>
      </c>
      <c r="FG13" s="410">
        <f t="shared" si="18"/>
        <v>0</v>
      </c>
      <c r="FH13" s="60"/>
      <c r="FI13" s="408" t="s">
        <v>389</v>
      </c>
      <c r="FJ13" s="409" t="s">
        <v>389</v>
      </c>
      <c r="FK13" s="409" t="s">
        <v>389</v>
      </c>
      <c r="FL13" s="409" t="s">
        <v>389</v>
      </c>
      <c r="FM13" s="409" t="s">
        <v>389</v>
      </c>
      <c r="FN13" s="409" t="s">
        <v>389</v>
      </c>
      <c r="FO13" s="409" t="s">
        <v>389</v>
      </c>
      <c r="FP13" s="410">
        <f t="shared" si="19"/>
        <v>0</v>
      </c>
      <c r="FQ13" s="60"/>
      <c r="FR13" s="408" t="s">
        <v>389</v>
      </c>
      <c r="FS13" s="409" t="s">
        <v>389</v>
      </c>
      <c r="FT13" s="409" t="s">
        <v>389</v>
      </c>
      <c r="FU13" s="409" t="s">
        <v>389</v>
      </c>
      <c r="FV13" s="409" t="s">
        <v>389</v>
      </c>
      <c r="FW13" s="409" t="s">
        <v>389</v>
      </c>
      <c r="FX13" s="409" t="s">
        <v>389</v>
      </c>
      <c r="FY13" s="410">
        <f t="shared" si="20"/>
        <v>0</v>
      </c>
      <c r="FZ13" s="60"/>
      <c r="GA13" s="408" t="s">
        <v>389</v>
      </c>
      <c r="GB13" s="409" t="s">
        <v>389</v>
      </c>
      <c r="GC13" s="409" t="s">
        <v>389</v>
      </c>
      <c r="GD13" s="409" t="s">
        <v>389</v>
      </c>
      <c r="GE13" s="409" t="s">
        <v>389</v>
      </c>
      <c r="GF13" s="409" t="s">
        <v>389</v>
      </c>
      <c r="GG13" s="409" t="s">
        <v>389</v>
      </c>
      <c r="GH13" s="410">
        <f t="shared" si="21"/>
        <v>0</v>
      </c>
      <c r="GI13" s="60"/>
      <c r="GJ13" s="408" t="s">
        <v>389</v>
      </c>
      <c r="GK13" s="409" t="s">
        <v>389</v>
      </c>
      <c r="GL13" s="409" t="s">
        <v>389</v>
      </c>
      <c r="GM13" s="409" t="s">
        <v>389</v>
      </c>
      <c r="GN13" s="409" t="s">
        <v>389</v>
      </c>
      <c r="GO13" s="409" t="s">
        <v>389</v>
      </c>
      <c r="GP13" s="409" t="s">
        <v>389</v>
      </c>
      <c r="GQ13" s="410">
        <f t="shared" si="22"/>
        <v>0</v>
      </c>
      <c r="GR13" s="60"/>
      <c r="GS13" s="408" t="s">
        <v>389</v>
      </c>
      <c r="GT13" s="409" t="s">
        <v>389</v>
      </c>
      <c r="GU13" s="409" t="s">
        <v>389</v>
      </c>
      <c r="GV13" s="409" t="s">
        <v>389</v>
      </c>
      <c r="GW13" s="409" t="s">
        <v>389</v>
      </c>
      <c r="GX13" s="409" t="s">
        <v>389</v>
      </c>
      <c r="GY13" s="409" t="s">
        <v>389</v>
      </c>
      <c r="GZ13" s="410">
        <f t="shared" si="23"/>
        <v>0</v>
      </c>
      <c r="HA13" s="60"/>
      <c r="HB13" s="408" t="s">
        <v>389</v>
      </c>
      <c r="HC13" s="409" t="s">
        <v>389</v>
      </c>
      <c r="HD13" s="409" t="s">
        <v>389</v>
      </c>
      <c r="HE13" s="409" t="s">
        <v>389</v>
      </c>
      <c r="HF13" s="409" t="s">
        <v>389</v>
      </c>
      <c r="HG13" s="409" t="s">
        <v>389</v>
      </c>
      <c r="HH13" s="409" t="s">
        <v>389</v>
      </c>
      <c r="HI13" s="410">
        <f t="shared" si="24"/>
        <v>0</v>
      </c>
      <c r="HJ13" s="60"/>
      <c r="HK13" s="408" t="s">
        <v>389</v>
      </c>
      <c r="HL13" s="409" t="s">
        <v>389</v>
      </c>
      <c r="HM13" s="409" t="s">
        <v>389</v>
      </c>
      <c r="HN13" s="409" t="s">
        <v>389</v>
      </c>
      <c r="HO13" s="409" t="s">
        <v>389</v>
      </c>
      <c r="HP13" s="409" t="s">
        <v>389</v>
      </c>
      <c r="HQ13" s="409" t="s">
        <v>389</v>
      </c>
      <c r="HR13" s="410">
        <f t="shared" si="25"/>
        <v>0</v>
      </c>
      <c r="HS13" s="60"/>
      <c r="HT13" s="408" t="s">
        <v>389</v>
      </c>
      <c r="HU13" s="409" t="s">
        <v>389</v>
      </c>
      <c r="HV13" s="409" t="s">
        <v>389</v>
      </c>
      <c r="HW13" s="409" t="s">
        <v>389</v>
      </c>
      <c r="HX13" s="409" t="s">
        <v>389</v>
      </c>
      <c r="HY13" s="409" t="s">
        <v>389</v>
      </c>
      <c r="HZ13" s="409" t="s">
        <v>389</v>
      </c>
      <c r="IA13" s="410">
        <f t="shared" si="26"/>
        <v>0</v>
      </c>
      <c r="IB13" s="60"/>
      <c r="IC13" s="408" t="s">
        <v>389</v>
      </c>
      <c r="ID13" s="409" t="s">
        <v>389</v>
      </c>
      <c r="IE13" s="409" t="s">
        <v>389</v>
      </c>
      <c r="IF13" s="409" t="s">
        <v>389</v>
      </c>
      <c r="IG13" s="409" t="s">
        <v>389</v>
      </c>
      <c r="IH13" s="409" t="s">
        <v>389</v>
      </c>
      <c r="II13" s="409" t="s">
        <v>389</v>
      </c>
      <c r="IJ13" s="410">
        <f t="shared" si="27"/>
        <v>0</v>
      </c>
      <c r="IK13" s="60"/>
      <c r="IL13" s="408" t="s">
        <v>389</v>
      </c>
      <c r="IM13" s="409" t="s">
        <v>389</v>
      </c>
      <c r="IN13" s="409" t="s">
        <v>389</v>
      </c>
      <c r="IO13" s="409" t="s">
        <v>389</v>
      </c>
      <c r="IP13" s="409" t="s">
        <v>389</v>
      </c>
      <c r="IQ13" s="409" t="s">
        <v>389</v>
      </c>
      <c r="IR13" s="409" t="s">
        <v>389</v>
      </c>
      <c r="IS13" s="410">
        <f t="shared" si="28"/>
        <v>0</v>
      </c>
      <c r="IT13" s="60"/>
      <c r="IU13" s="408" t="s">
        <v>389</v>
      </c>
      <c r="IV13" s="409" t="s">
        <v>389</v>
      </c>
      <c r="IW13" s="409" t="s">
        <v>389</v>
      </c>
      <c r="IX13" s="409" t="s">
        <v>389</v>
      </c>
      <c r="IY13" s="409" t="s">
        <v>389</v>
      </c>
      <c r="IZ13" s="409" t="s">
        <v>389</v>
      </c>
      <c r="JA13" s="409" t="s">
        <v>389</v>
      </c>
      <c r="JB13" s="410">
        <f t="shared" si="29"/>
        <v>0</v>
      </c>
      <c r="JC13" s="60"/>
      <c r="JD13" s="408" t="s">
        <v>389</v>
      </c>
      <c r="JE13" s="409" t="s">
        <v>389</v>
      </c>
      <c r="JF13" s="409" t="s">
        <v>389</v>
      </c>
      <c r="JG13" s="409" t="s">
        <v>389</v>
      </c>
      <c r="JH13" s="409" t="s">
        <v>389</v>
      </c>
      <c r="JI13" s="409" t="s">
        <v>389</v>
      </c>
      <c r="JJ13" s="409" t="s">
        <v>389</v>
      </c>
      <c r="JK13" s="410">
        <f t="shared" si="30"/>
        <v>0</v>
      </c>
      <c r="JL13" s="60"/>
      <c r="JM13" s="408" t="s">
        <v>389</v>
      </c>
      <c r="JN13" s="409" t="s">
        <v>389</v>
      </c>
      <c r="JO13" s="409" t="s">
        <v>389</v>
      </c>
      <c r="JP13" s="409" t="s">
        <v>389</v>
      </c>
      <c r="JQ13" s="409" t="s">
        <v>389</v>
      </c>
      <c r="JR13" s="409" t="s">
        <v>389</v>
      </c>
      <c r="JS13" s="409" t="s">
        <v>389</v>
      </c>
      <c r="JT13" s="410">
        <f t="shared" si="31"/>
        <v>0</v>
      </c>
      <c r="JU13" s="60"/>
      <c r="JV13" s="408" t="s">
        <v>389</v>
      </c>
      <c r="JW13" s="409" t="s">
        <v>389</v>
      </c>
      <c r="JX13" s="409" t="s">
        <v>389</v>
      </c>
      <c r="JY13" s="409" t="s">
        <v>389</v>
      </c>
      <c r="JZ13" s="409" t="s">
        <v>389</v>
      </c>
      <c r="KA13" s="409" t="s">
        <v>389</v>
      </c>
      <c r="KB13" s="409" t="s">
        <v>389</v>
      </c>
      <c r="KC13" s="410">
        <f t="shared" si="32"/>
        <v>0</v>
      </c>
      <c r="KD13" s="60"/>
      <c r="KE13" s="408" t="s">
        <v>389</v>
      </c>
      <c r="KF13" s="409" t="s">
        <v>389</v>
      </c>
      <c r="KG13" s="409" t="s">
        <v>389</v>
      </c>
      <c r="KH13" s="409" t="s">
        <v>389</v>
      </c>
      <c r="KI13" s="409" t="s">
        <v>389</v>
      </c>
      <c r="KJ13" s="409" t="s">
        <v>389</v>
      </c>
      <c r="KK13" s="409" t="s">
        <v>389</v>
      </c>
      <c r="KL13" s="410">
        <f t="shared" si="33"/>
        <v>0</v>
      </c>
      <c r="KM13" s="60"/>
      <c r="KN13" s="408" t="s">
        <v>389</v>
      </c>
      <c r="KO13" s="409" t="s">
        <v>389</v>
      </c>
      <c r="KP13" s="409" t="s">
        <v>389</v>
      </c>
      <c r="KQ13" s="409" t="s">
        <v>389</v>
      </c>
      <c r="KR13" s="409" t="s">
        <v>389</v>
      </c>
      <c r="KS13" s="409" t="s">
        <v>389</v>
      </c>
      <c r="KT13" s="409" t="s">
        <v>389</v>
      </c>
      <c r="KU13" s="410">
        <f t="shared" si="34"/>
        <v>0</v>
      </c>
      <c r="KV13" s="60"/>
      <c r="KW13" s="408" t="s">
        <v>389</v>
      </c>
      <c r="KX13" s="409" t="s">
        <v>389</v>
      </c>
      <c r="KY13" s="409" t="s">
        <v>389</v>
      </c>
      <c r="KZ13" s="409" t="s">
        <v>389</v>
      </c>
      <c r="LA13" s="409" t="s">
        <v>389</v>
      </c>
      <c r="LB13" s="409" t="s">
        <v>389</v>
      </c>
      <c r="LC13" s="409" t="s">
        <v>389</v>
      </c>
      <c r="LD13" s="410">
        <f t="shared" si="35"/>
        <v>0</v>
      </c>
      <c r="LE13" s="60"/>
      <c r="LF13" s="408" t="s">
        <v>389</v>
      </c>
      <c r="LG13" s="409" t="s">
        <v>389</v>
      </c>
      <c r="LH13" s="409" t="s">
        <v>389</v>
      </c>
      <c r="LI13" s="409" t="s">
        <v>389</v>
      </c>
      <c r="LJ13" s="409" t="s">
        <v>389</v>
      </c>
      <c r="LK13" s="409" t="s">
        <v>389</v>
      </c>
      <c r="LL13" s="409" t="s">
        <v>389</v>
      </c>
      <c r="LM13" s="410">
        <f t="shared" si="36"/>
        <v>0</v>
      </c>
      <c r="LN13" s="60"/>
      <c r="LO13" s="408" t="s">
        <v>389</v>
      </c>
      <c r="LP13" s="409" t="s">
        <v>389</v>
      </c>
      <c r="LQ13" s="409" t="s">
        <v>389</v>
      </c>
      <c r="LR13" s="409" t="s">
        <v>389</v>
      </c>
      <c r="LS13" s="409" t="s">
        <v>389</v>
      </c>
      <c r="LT13" s="409" t="s">
        <v>389</v>
      </c>
      <c r="LU13" s="409" t="s">
        <v>389</v>
      </c>
      <c r="LV13" s="410">
        <f t="shared" si="37"/>
        <v>0</v>
      </c>
      <c r="LW13" s="60"/>
      <c r="LX13" s="408" t="s">
        <v>389</v>
      </c>
      <c r="LY13" s="409" t="s">
        <v>389</v>
      </c>
      <c r="LZ13" s="409" t="s">
        <v>389</v>
      </c>
      <c r="MA13" s="409" t="s">
        <v>389</v>
      </c>
      <c r="MB13" s="409" t="s">
        <v>389</v>
      </c>
      <c r="MC13" s="409" t="s">
        <v>389</v>
      </c>
      <c r="MD13" s="409" t="s">
        <v>389</v>
      </c>
      <c r="ME13" s="410">
        <f t="shared" si="38"/>
        <v>0</v>
      </c>
      <c r="MF13" s="60"/>
      <c r="MG13" s="408" t="s">
        <v>389</v>
      </c>
      <c r="MH13" s="409" t="s">
        <v>389</v>
      </c>
      <c r="MI13" s="409" t="s">
        <v>389</v>
      </c>
      <c r="MJ13" s="409" t="s">
        <v>389</v>
      </c>
      <c r="MK13" s="409" t="s">
        <v>389</v>
      </c>
      <c r="ML13" s="409" t="s">
        <v>389</v>
      </c>
      <c r="MM13" s="409" t="s">
        <v>389</v>
      </c>
      <c r="MN13" s="410">
        <f t="shared" si="39"/>
        <v>0</v>
      </c>
      <c r="MO13" s="60"/>
      <c r="MP13" s="408" t="s">
        <v>389</v>
      </c>
      <c r="MQ13" s="409" t="s">
        <v>389</v>
      </c>
      <c r="MR13" s="409" t="s">
        <v>389</v>
      </c>
      <c r="MS13" s="409" t="s">
        <v>389</v>
      </c>
      <c r="MT13" s="409" t="s">
        <v>389</v>
      </c>
      <c r="MU13" s="409" t="s">
        <v>389</v>
      </c>
      <c r="MV13" s="409" t="s">
        <v>389</v>
      </c>
      <c r="MW13" s="410">
        <f t="shared" si="40"/>
        <v>0</v>
      </c>
      <c r="MX13" s="60"/>
      <c r="MY13" s="408" t="s">
        <v>389</v>
      </c>
      <c r="MZ13" s="409" t="s">
        <v>389</v>
      </c>
      <c r="NA13" s="409" t="s">
        <v>389</v>
      </c>
      <c r="NB13" s="409" t="s">
        <v>389</v>
      </c>
      <c r="NC13" s="409" t="s">
        <v>389</v>
      </c>
      <c r="ND13" s="409" t="s">
        <v>389</v>
      </c>
      <c r="NE13" s="409" t="s">
        <v>389</v>
      </c>
      <c r="NF13" s="410">
        <f t="shared" si="41"/>
        <v>0</v>
      </c>
      <c r="NG13" s="60"/>
      <c r="NH13" s="408" t="s">
        <v>389</v>
      </c>
      <c r="NI13" s="409" t="s">
        <v>389</v>
      </c>
      <c r="NJ13" s="409" t="s">
        <v>389</v>
      </c>
      <c r="NK13" s="409" t="s">
        <v>389</v>
      </c>
      <c r="NL13" s="409" t="s">
        <v>389</v>
      </c>
      <c r="NM13" s="409" t="s">
        <v>389</v>
      </c>
      <c r="NN13" s="409" t="s">
        <v>389</v>
      </c>
      <c r="NO13" s="410">
        <f t="shared" si="42"/>
        <v>0</v>
      </c>
      <c r="NP13" s="60"/>
      <c r="NQ13" s="408" t="s">
        <v>389</v>
      </c>
      <c r="NR13" s="409" t="s">
        <v>389</v>
      </c>
      <c r="NS13" s="409" t="s">
        <v>389</v>
      </c>
      <c r="NT13" s="409" t="s">
        <v>389</v>
      </c>
      <c r="NU13" s="409" t="s">
        <v>389</v>
      </c>
      <c r="NV13" s="409" t="s">
        <v>389</v>
      </c>
      <c r="NW13" s="409" t="s">
        <v>389</v>
      </c>
      <c r="NX13" s="410">
        <f t="shared" si="43"/>
        <v>0</v>
      </c>
      <c r="NY13" s="60"/>
      <c r="NZ13" s="408" t="s">
        <v>389</v>
      </c>
      <c r="OA13" s="409" t="s">
        <v>389</v>
      </c>
      <c r="OB13" s="409" t="s">
        <v>389</v>
      </c>
      <c r="OC13" s="409" t="s">
        <v>389</v>
      </c>
      <c r="OD13" s="409" t="s">
        <v>389</v>
      </c>
      <c r="OE13" s="409" t="s">
        <v>389</v>
      </c>
      <c r="OF13" s="409" t="s">
        <v>389</v>
      </c>
      <c r="OG13" s="410">
        <f t="shared" si="44"/>
        <v>0</v>
      </c>
      <c r="OH13" s="60"/>
      <c r="OI13" s="408" t="s">
        <v>389</v>
      </c>
      <c r="OJ13" s="409" t="s">
        <v>389</v>
      </c>
      <c r="OK13" s="409" t="s">
        <v>389</v>
      </c>
      <c r="OL13" s="409" t="s">
        <v>389</v>
      </c>
      <c r="OM13" s="409" t="s">
        <v>389</v>
      </c>
      <c r="ON13" s="409" t="s">
        <v>389</v>
      </c>
      <c r="OO13" s="409" t="s">
        <v>389</v>
      </c>
      <c r="OP13" s="410">
        <f t="shared" si="45"/>
        <v>0</v>
      </c>
      <c r="OQ13" s="60"/>
      <c r="OR13" s="408" t="s">
        <v>389</v>
      </c>
      <c r="OS13" s="409" t="s">
        <v>389</v>
      </c>
      <c r="OT13" s="409" t="s">
        <v>389</v>
      </c>
      <c r="OU13" s="409" t="s">
        <v>389</v>
      </c>
      <c r="OV13" s="409" t="s">
        <v>389</v>
      </c>
      <c r="OW13" s="409" t="s">
        <v>389</v>
      </c>
      <c r="OX13" s="409" t="s">
        <v>389</v>
      </c>
      <c r="OY13" s="410">
        <f t="shared" si="46"/>
        <v>0</v>
      </c>
      <c r="OZ13" s="60"/>
      <c r="PA13" s="408" t="s">
        <v>389</v>
      </c>
      <c r="PB13" s="409" t="s">
        <v>389</v>
      </c>
      <c r="PC13" s="409" t="s">
        <v>389</v>
      </c>
      <c r="PD13" s="409" t="s">
        <v>389</v>
      </c>
      <c r="PE13" s="409" t="s">
        <v>389</v>
      </c>
      <c r="PF13" s="409" t="s">
        <v>389</v>
      </c>
      <c r="PG13" s="409" t="s">
        <v>389</v>
      </c>
      <c r="PH13" s="410">
        <f t="shared" si="47"/>
        <v>0</v>
      </c>
      <c r="PI13" s="60"/>
      <c r="PJ13" s="408" t="s">
        <v>389</v>
      </c>
      <c r="PK13" s="409" t="s">
        <v>389</v>
      </c>
      <c r="PL13" s="409" t="s">
        <v>389</v>
      </c>
      <c r="PM13" s="409" t="s">
        <v>389</v>
      </c>
      <c r="PN13" s="409" t="s">
        <v>389</v>
      </c>
      <c r="PO13" s="409" t="s">
        <v>389</v>
      </c>
      <c r="PP13" s="409" t="s">
        <v>389</v>
      </c>
      <c r="PQ13" s="410">
        <f t="shared" si="48"/>
        <v>0</v>
      </c>
      <c r="PR13" s="60"/>
      <c r="PS13" s="408" t="s">
        <v>389</v>
      </c>
      <c r="PT13" s="409" t="s">
        <v>389</v>
      </c>
      <c r="PU13" s="409" t="s">
        <v>389</v>
      </c>
      <c r="PV13" s="409" t="s">
        <v>389</v>
      </c>
      <c r="PW13" s="409" t="s">
        <v>389</v>
      </c>
      <c r="PX13" s="409" t="s">
        <v>389</v>
      </c>
      <c r="PY13" s="409" t="s">
        <v>389</v>
      </c>
      <c r="PZ13" s="410">
        <f t="shared" si="49"/>
        <v>0</v>
      </c>
      <c r="QA13" s="60"/>
      <c r="QB13" s="408" t="s">
        <v>389</v>
      </c>
      <c r="QC13" s="409" t="s">
        <v>389</v>
      </c>
      <c r="QD13" s="409" t="s">
        <v>389</v>
      </c>
      <c r="QE13" s="409" t="s">
        <v>389</v>
      </c>
      <c r="QF13" s="409" t="s">
        <v>389</v>
      </c>
      <c r="QG13" s="409" t="s">
        <v>389</v>
      </c>
      <c r="QH13" s="409" t="s">
        <v>389</v>
      </c>
      <c r="QI13" s="410">
        <f t="shared" si="50"/>
        <v>0</v>
      </c>
      <c r="QJ13" s="60"/>
      <c r="QK13" s="408" t="s">
        <v>389</v>
      </c>
      <c r="QL13" s="409" t="s">
        <v>389</v>
      </c>
      <c r="QM13" s="409" t="s">
        <v>389</v>
      </c>
      <c r="QN13" s="409" t="s">
        <v>389</v>
      </c>
      <c r="QO13" s="409" t="s">
        <v>389</v>
      </c>
      <c r="QP13" s="409" t="s">
        <v>389</v>
      </c>
      <c r="QQ13" s="409" t="s">
        <v>389</v>
      </c>
      <c r="QR13" s="410">
        <f t="shared" si="51"/>
        <v>0</v>
      </c>
      <c r="QS13" s="60"/>
      <c r="QT13" s="408" t="s">
        <v>389</v>
      </c>
      <c r="QU13" s="409" t="s">
        <v>389</v>
      </c>
      <c r="QV13" s="409" t="s">
        <v>389</v>
      </c>
      <c r="QW13" s="409" t="s">
        <v>389</v>
      </c>
      <c r="QX13" s="409" t="s">
        <v>389</v>
      </c>
      <c r="QY13" s="409" t="s">
        <v>389</v>
      </c>
      <c r="QZ13" s="409" t="s">
        <v>389</v>
      </c>
      <c r="RA13" s="410">
        <f t="shared" si="52"/>
        <v>0</v>
      </c>
      <c r="RB13" s="30"/>
      <c r="RC13" s="57"/>
    </row>
    <row r="14" hidden="1">
      <c r="A14" s="32" t="s">
        <v>399</v>
      </c>
      <c r="B14" s="60"/>
      <c r="C14" s="408" t="s">
        <v>389</v>
      </c>
      <c r="D14" s="409" t="s">
        <v>389</v>
      </c>
      <c r="E14" s="409" t="s">
        <v>389</v>
      </c>
      <c r="F14" s="409" t="s">
        <v>389</v>
      </c>
      <c r="G14" s="409" t="s">
        <v>389</v>
      </c>
      <c r="H14" s="409" t="s">
        <v>389</v>
      </c>
      <c r="I14" s="409" t="s">
        <v>389</v>
      </c>
      <c r="J14" s="410">
        <f t="shared" si="1"/>
        <v>0</v>
      </c>
      <c r="K14" s="60"/>
      <c r="L14" s="408" t="s">
        <v>389</v>
      </c>
      <c r="M14" s="409" t="s">
        <v>389</v>
      </c>
      <c r="N14" s="409" t="s">
        <v>389</v>
      </c>
      <c r="O14" s="409" t="s">
        <v>389</v>
      </c>
      <c r="P14" s="409" t="s">
        <v>389</v>
      </c>
      <c r="Q14" s="409" t="s">
        <v>389</v>
      </c>
      <c r="R14" s="409" t="s">
        <v>389</v>
      </c>
      <c r="S14" s="410">
        <f t="shared" si="2"/>
        <v>0</v>
      </c>
      <c r="T14" s="60"/>
      <c r="U14" s="408" t="s">
        <v>389</v>
      </c>
      <c r="V14" s="409" t="s">
        <v>389</v>
      </c>
      <c r="W14" s="409" t="s">
        <v>389</v>
      </c>
      <c r="X14" s="409" t="s">
        <v>389</v>
      </c>
      <c r="Y14" s="409" t="s">
        <v>389</v>
      </c>
      <c r="Z14" s="409" t="s">
        <v>389</v>
      </c>
      <c r="AA14" s="409" t="s">
        <v>389</v>
      </c>
      <c r="AB14" s="410">
        <f t="shared" si="3"/>
        <v>0</v>
      </c>
      <c r="AC14" s="60"/>
      <c r="AD14" s="408" t="s">
        <v>389</v>
      </c>
      <c r="AE14" s="409" t="s">
        <v>389</v>
      </c>
      <c r="AF14" s="409" t="s">
        <v>389</v>
      </c>
      <c r="AG14" s="409" t="s">
        <v>389</v>
      </c>
      <c r="AH14" s="409" t="s">
        <v>389</v>
      </c>
      <c r="AI14" s="409" t="s">
        <v>389</v>
      </c>
      <c r="AJ14" s="409" t="s">
        <v>389</v>
      </c>
      <c r="AK14" s="410">
        <f t="shared" si="4"/>
        <v>0</v>
      </c>
      <c r="AL14" s="60"/>
      <c r="AM14" s="408" t="s">
        <v>389</v>
      </c>
      <c r="AN14" s="409" t="s">
        <v>389</v>
      </c>
      <c r="AO14" s="409" t="s">
        <v>389</v>
      </c>
      <c r="AP14" s="409" t="s">
        <v>389</v>
      </c>
      <c r="AQ14" s="409" t="s">
        <v>389</v>
      </c>
      <c r="AR14" s="409" t="s">
        <v>389</v>
      </c>
      <c r="AS14" s="409" t="s">
        <v>389</v>
      </c>
      <c r="AT14" s="410">
        <f t="shared" si="5"/>
        <v>0</v>
      </c>
      <c r="AU14" s="60"/>
      <c r="AV14" s="408" t="s">
        <v>389</v>
      </c>
      <c r="AW14" s="409" t="s">
        <v>389</v>
      </c>
      <c r="AX14" s="409" t="s">
        <v>389</v>
      </c>
      <c r="AY14" s="409" t="s">
        <v>389</v>
      </c>
      <c r="AZ14" s="409" t="s">
        <v>389</v>
      </c>
      <c r="BA14" s="409" t="s">
        <v>389</v>
      </c>
      <c r="BB14" s="409" t="s">
        <v>389</v>
      </c>
      <c r="BC14" s="410">
        <f t="shared" si="6"/>
        <v>0</v>
      </c>
      <c r="BD14" s="60"/>
      <c r="BE14" s="408" t="s">
        <v>389</v>
      </c>
      <c r="BF14" s="409" t="s">
        <v>389</v>
      </c>
      <c r="BG14" s="409" t="s">
        <v>389</v>
      </c>
      <c r="BH14" s="409" t="s">
        <v>389</v>
      </c>
      <c r="BI14" s="409" t="s">
        <v>389</v>
      </c>
      <c r="BJ14" s="409" t="s">
        <v>389</v>
      </c>
      <c r="BK14" s="409" t="s">
        <v>389</v>
      </c>
      <c r="BL14" s="410">
        <f t="shared" si="7"/>
        <v>0</v>
      </c>
      <c r="BM14" s="60"/>
      <c r="BN14" s="408" t="s">
        <v>389</v>
      </c>
      <c r="BO14" s="409" t="s">
        <v>389</v>
      </c>
      <c r="BP14" s="409" t="s">
        <v>389</v>
      </c>
      <c r="BQ14" s="409" t="s">
        <v>389</v>
      </c>
      <c r="BR14" s="409" t="s">
        <v>389</v>
      </c>
      <c r="BS14" s="409" t="s">
        <v>389</v>
      </c>
      <c r="BT14" s="409" t="s">
        <v>389</v>
      </c>
      <c r="BU14" s="410">
        <f t="shared" si="8"/>
        <v>0</v>
      </c>
      <c r="BV14" s="60"/>
      <c r="BW14" s="408" t="s">
        <v>389</v>
      </c>
      <c r="BX14" s="409" t="s">
        <v>389</v>
      </c>
      <c r="BY14" s="409" t="s">
        <v>389</v>
      </c>
      <c r="BZ14" s="409" t="s">
        <v>389</v>
      </c>
      <c r="CA14" s="409" t="s">
        <v>389</v>
      </c>
      <c r="CB14" s="409" t="s">
        <v>389</v>
      </c>
      <c r="CC14" s="409" t="s">
        <v>389</v>
      </c>
      <c r="CD14" s="410">
        <f t="shared" si="9"/>
        <v>0</v>
      </c>
      <c r="CE14" s="60"/>
      <c r="CF14" s="408" t="s">
        <v>389</v>
      </c>
      <c r="CG14" s="409" t="s">
        <v>389</v>
      </c>
      <c r="CH14" s="409" t="s">
        <v>389</v>
      </c>
      <c r="CI14" s="409" t="s">
        <v>389</v>
      </c>
      <c r="CJ14" s="409" t="s">
        <v>389</v>
      </c>
      <c r="CK14" s="409" t="s">
        <v>389</v>
      </c>
      <c r="CL14" s="409" t="s">
        <v>389</v>
      </c>
      <c r="CM14" s="410">
        <f t="shared" si="10"/>
        <v>0</v>
      </c>
      <c r="CN14" s="60"/>
      <c r="CO14" s="408" t="s">
        <v>389</v>
      </c>
      <c r="CP14" s="409" t="s">
        <v>389</v>
      </c>
      <c r="CQ14" s="409" t="s">
        <v>389</v>
      </c>
      <c r="CR14" s="409" t="s">
        <v>389</v>
      </c>
      <c r="CS14" s="409" t="s">
        <v>389</v>
      </c>
      <c r="CT14" s="409" t="s">
        <v>389</v>
      </c>
      <c r="CU14" s="409" t="s">
        <v>389</v>
      </c>
      <c r="CV14" s="410">
        <f t="shared" si="11"/>
        <v>0</v>
      </c>
      <c r="CW14" s="60"/>
      <c r="CX14" s="408" t="s">
        <v>389</v>
      </c>
      <c r="CY14" s="409" t="s">
        <v>389</v>
      </c>
      <c r="CZ14" s="409" t="s">
        <v>389</v>
      </c>
      <c r="DA14" s="409" t="s">
        <v>389</v>
      </c>
      <c r="DB14" s="409" t="s">
        <v>389</v>
      </c>
      <c r="DC14" s="409" t="s">
        <v>389</v>
      </c>
      <c r="DD14" s="409" t="s">
        <v>389</v>
      </c>
      <c r="DE14" s="410">
        <f t="shared" si="12"/>
        <v>0</v>
      </c>
      <c r="DF14" s="60"/>
      <c r="DG14" s="408" t="s">
        <v>389</v>
      </c>
      <c r="DH14" s="409" t="s">
        <v>389</v>
      </c>
      <c r="DI14" s="409" t="s">
        <v>389</v>
      </c>
      <c r="DJ14" s="409" t="s">
        <v>389</v>
      </c>
      <c r="DK14" s="409" t="s">
        <v>389</v>
      </c>
      <c r="DL14" s="409" t="s">
        <v>389</v>
      </c>
      <c r="DM14" s="409" t="s">
        <v>389</v>
      </c>
      <c r="DN14" s="410">
        <f t="shared" si="13"/>
        <v>0</v>
      </c>
      <c r="DO14" s="60"/>
      <c r="DP14" s="408" t="s">
        <v>389</v>
      </c>
      <c r="DQ14" s="409" t="s">
        <v>389</v>
      </c>
      <c r="DR14" s="409" t="s">
        <v>389</v>
      </c>
      <c r="DS14" s="409" t="s">
        <v>389</v>
      </c>
      <c r="DT14" s="409" t="s">
        <v>389</v>
      </c>
      <c r="DU14" s="409" t="s">
        <v>389</v>
      </c>
      <c r="DV14" s="409" t="s">
        <v>389</v>
      </c>
      <c r="DW14" s="410">
        <f t="shared" si="14"/>
        <v>0</v>
      </c>
      <c r="DX14" s="60"/>
      <c r="DY14" s="408" t="s">
        <v>389</v>
      </c>
      <c r="DZ14" s="409" t="s">
        <v>389</v>
      </c>
      <c r="EA14" s="409" t="s">
        <v>389</v>
      </c>
      <c r="EB14" s="409" t="s">
        <v>389</v>
      </c>
      <c r="EC14" s="409" t="s">
        <v>389</v>
      </c>
      <c r="ED14" s="409" t="s">
        <v>389</v>
      </c>
      <c r="EE14" s="409" t="s">
        <v>389</v>
      </c>
      <c r="EF14" s="410">
        <f t="shared" si="15"/>
        <v>0</v>
      </c>
      <c r="EG14" s="60"/>
      <c r="EH14" s="408" t="s">
        <v>389</v>
      </c>
      <c r="EI14" s="409" t="s">
        <v>389</v>
      </c>
      <c r="EJ14" s="409" t="s">
        <v>389</v>
      </c>
      <c r="EK14" s="409" t="s">
        <v>389</v>
      </c>
      <c r="EL14" s="409" t="s">
        <v>389</v>
      </c>
      <c r="EM14" s="409" t="s">
        <v>389</v>
      </c>
      <c r="EN14" s="409" t="s">
        <v>389</v>
      </c>
      <c r="EO14" s="410">
        <f t="shared" si="16"/>
        <v>0</v>
      </c>
      <c r="EP14" s="60"/>
      <c r="EQ14" s="408" t="s">
        <v>389</v>
      </c>
      <c r="ER14" s="409" t="s">
        <v>389</v>
      </c>
      <c r="ES14" s="409" t="s">
        <v>389</v>
      </c>
      <c r="ET14" s="409" t="s">
        <v>389</v>
      </c>
      <c r="EU14" s="409" t="s">
        <v>389</v>
      </c>
      <c r="EV14" s="409" t="s">
        <v>389</v>
      </c>
      <c r="EW14" s="409" t="s">
        <v>389</v>
      </c>
      <c r="EX14" s="410">
        <f t="shared" si="17"/>
        <v>0</v>
      </c>
      <c r="EY14" s="60"/>
      <c r="EZ14" s="408" t="s">
        <v>389</v>
      </c>
      <c r="FA14" s="409" t="s">
        <v>389</v>
      </c>
      <c r="FB14" s="409" t="s">
        <v>389</v>
      </c>
      <c r="FC14" s="409" t="s">
        <v>389</v>
      </c>
      <c r="FD14" s="409" t="s">
        <v>389</v>
      </c>
      <c r="FE14" s="409" t="s">
        <v>389</v>
      </c>
      <c r="FF14" s="409" t="s">
        <v>389</v>
      </c>
      <c r="FG14" s="410">
        <f t="shared" si="18"/>
        <v>0</v>
      </c>
      <c r="FH14" s="60"/>
      <c r="FI14" s="408" t="s">
        <v>389</v>
      </c>
      <c r="FJ14" s="409" t="s">
        <v>389</v>
      </c>
      <c r="FK14" s="409" t="s">
        <v>389</v>
      </c>
      <c r="FL14" s="409" t="s">
        <v>389</v>
      </c>
      <c r="FM14" s="409" t="s">
        <v>389</v>
      </c>
      <c r="FN14" s="409" t="s">
        <v>389</v>
      </c>
      <c r="FO14" s="409" t="s">
        <v>389</v>
      </c>
      <c r="FP14" s="410">
        <f t="shared" si="19"/>
        <v>0</v>
      </c>
      <c r="FQ14" s="60"/>
      <c r="FR14" s="408" t="s">
        <v>389</v>
      </c>
      <c r="FS14" s="409" t="s">
        <v>389</v>
      </c>
      <c r="FT14" s="409" t="s">
        <v>389</v>
      </c>
      <c r="FU14" s="409" t="s">
        <v>389</v>
      </c>
      <c r="FV14" s="409" t="s">
        <v>389</v>
      </c>
      <c r="FW14" s="409" t="s">
        <v>389</v>
      </c>
      <c r="FX14" s="409" t="s">
        <v>389</v>
      </c>
      <c r="FY14" s="410">
        <f t="shared" si="20"/>
        <v>0</v>
      </c>
      <c r="FZ14" s="60"/>
      <c r="GA14" s="408" t="s">
        <v>389</v>
      </c>
      <c r="GB14" s="409" t="s">
        <v>389</v>
      </c>
      <c r="GC14" s="409" t="s">
        <v>389</v>
      </c>
      <c r="GD14" s="409" t="s">
        <v>389</v>
      </c>
      <c r="GE14" s="409" t="s">
        <v>389</v>
      </c>
      <c r="GF14" s="409" t="s">
        <v>389</v>
      </c>
      <c r="GG14" s="409" t="s">
        <v>389</v>
      </c>
      <c r="GH14" s="410">
        <f t="shared" si="21"/>
        <v>0</v>
      </c>
      <c r="GI14" s="60"/>
      <c r="GJ14" s="408" t="s">
        <v>389</v>
      </c>
      <c r="GK14" s="409" t="s">
        <v>389</v>
      </c>
      <c r="GL14" s="409" t="s">
        <v>389</v>
      </c>
      <c r="GM14" s="409" t="s">
        <v>389</v>
      </c>
      <c r="GN14" s="409" t="s">
        <v>389</v>
      </c>
      <c r="GO14" s="409" t="s">
        <v>389</v>
      </c>
      <c r="GP14" s="409" t="s">
        <v>389</v>
      </c>
      <c r="GQ14" s="410">
        <f t="shared" si="22"/>
        <v>0</v>
      </c>
      <c r="GR14" s="60"/>
      <c r="GS14" s="408" t="s">
        <v>389</v>
      </c>
      <c r="GT14" s="409" t="s">
        <v>389</v>
      </c>
      <c r="GU14" s="409" t="s">
        <v>389</v>
      </c>
      <c r="GV14" s="409" t="s">
        <v>389</v>
      </c>
      <c r="GW14" s="409" t="s">
        <v>389</v>
      </c>
      <c r="GX14" s="409" t="s">
        <v>389</v>
      </c>
      <c r="GY14" s="409" t="s">
        <v>389</v>
      </c>
      <c r="GZ14" s="410">
        <f t="shared" si="23"/>
        <v>0</v>
      </c>
      <c r="HA14" s="60"/>
      <c r="HB14" s="408" t="s">
        <v>389</v>
      </c>
      <c r="HC14" s="409" t="s">
        <v>389</v>
      </c>
      <c r="HD14" s="409" t="s">
        <v>389</v>
      </c>
      <c r="HE14" s="409" t="s">
        <v>389</v>
      </c>
      <c r="HF14" s="409" t="s">
        <v>389</v>
      </c>
      <c r="HG14" s="409" t="s">
        <v>389</v>
      </c>
      <c r="HH14" s="409" t="s">
        <v>389</v>
      </c>
      <c r="HI14" s="410">
        <f t="shared" si="24"/>
        <v>0</v>
      </c>
      <c r="HJ14" s="60"/>
      <c r="HK14" s="408" t="s">
        <v>389</v>
      </c>
      <c r="HL14" s="409" t="s">
        <v>389</v>
      </c>
      <c r="HM14" s="409" t="s">
        <v>389</v>
      </c>
      <c r="HN14" s="409" t="s">
        <v>389</v>
      </c>
      <c r="HO14" s="409" t="s">
        <v>389</v>
      </c>
      <c r="HP14" s="409" t="s">
        <v>389</v>
      </c>
      <c r="HQ14" s="409" t="s">
        <v>389</v>
      </c>
      <c r="HR14" s="410">
        <f t="shared" si="25"/>
        <v>0</v>
      </c>
      <c r="HS14" s="60"/>
      <c r="HT14" s="408" t="s">
        <v>389</v>
      </c>
      <c r="HU14" s="409" t="s">
        <v>389</v>
      </c>
      <c r="HV14" s="409" t="s">
        <v>389</v>
      </c>
      <c r="HW14" s="409" t="s">
        <v>389</v>
      </c>
      <c r="HX14" s="409" t="s">
        <v>389</v>
      </c>
      <c r="HY14" s="409" t="s">
        <v>389</v>
      </c>
      <c r="HZ14" s="409" t="s">
        <v>389</v>
      </c>
      <c r="IA14" s="410">
        <f t="shared" si="26"/>
        <v>0</v>
      </c>
      <c r="IB14" s="60"/>
      <c r="IC14" s="408" t="s">
        <v>389</v>
      </c>
      <c r="ID14" s="409" t="s">
        <v>389</v>
      </c>
      <c r="IE14" s="409" t="s">
        <v>389</v>
      </c>
      <c r="IF14" s="409" t="s">
        <v>389</v>
      </c>
      <c r="IG14" s="409" t="s">
        <v>389</v>
      </c>
      <c r="IH14" s="409" t="s">
        <v>389</v>
      </c>
      <c r="II14" s="409" t="s">
        <v>389</v>
      </c>
      <c r="IJ14" s="410">
        <f t="shared" si="27"/>
        <v>0</v>
      </c>
      <c r="IK14" s="60"/>
      <c r="IL14" s="408" t="s">
        <v>389</v>
      </c>
      <c r="IM14" s="409" t="s">
        <v>389</v>
      </c>
      <c r="IN14" s="409" t="s">
        <v>389</v>
      </c>
      <c r="IO14" s="409" t="s">
        <v>389</v>
      </c>
      <c r="IP14" s="409" t="s">
        <v>389</v>
      </c>
      <c r="IQ14" s="409" t="s">
        <v>389</v>
      </c>
      <c r="IR14" s="409" t="s">
        <v>389</v>
      </c>
      <c r="IS14" s="410">
        <f t="shared" si="28"/>
        <v>0</v>
      </c>
      <c r="IT14" s="60"/>
      <c r="IU14" s="408" t="s">
        <v>389</v>
      </c>
      <c r="IV14" s="409" t="s">
        <v>389</v>
      </c>
      <c r="IW14" s="409" t="s">
        <v>389</v>
      </c>
      <c r="IX14" s="409" t="s">
        <v>389</v>
      </c>
      <c r="IY14" s="409" t="s">
        <v>389</v>
      </c>
      <c r="IZ14" s="409" t="s">
        <v>389</v>
      </c>
      <c r="JA14" s="409" t="s">
        <v>389</v>
      </c>
      <c r="JB14" s="410">
        <f t="shared" si="29"/>
        <v>0</v>
      </c>
      <c r="JC14" s="60"/>
      <c r="JD14" s="408" t="s">
        <v>389</v>
      </c>
      <c r="JE14" s="409" t="s">
        <v>389</v>
      </c>
      <c r="JF14" s="409" t="s">
        <v>389</v>
      </c>
      <c r="JG14" s="409" t="s">
        <v>389</v>
      </c>
      <c r="JH14" s="409" t="s">
        <v>389</v>
      </c>
      <c r="JI14" s="409" t="s">
        <v>389</v>
      </c>
      <c r="JJ14" s="409" t="s">
        <v>389</v>
      </c>
      <c r="JK14" s="410">
        <f t="shared" si="30"/>
        <v>0</v>
      </c>
      <c r="JL14" s="60"/>
      <c r="JM14" s="408" t="s">
        <v>389</v>
      </c>
      <c r="JN14" s="409" t="s">
        <v>389</v>
      </c>
      <c r="JO14" s="409" t="s">
        <v>389</v>
      </c>
      <c r="JP14" s="409" t="s">
        <v>389</v>
      </c>
      <c r="JQ14" s="409" t="s">
        <v>389</v>
      </c>
      <c r="JR14" s="409" t="s">
        <v>389</v>
      </c>
      <c r="JS14" s="409" t="s">
        <v>389</v>
      </c>
      <c r="JT14" s="410">
        <f t="shared" si="31"/>
        <v>0</v>
      </c>
      <c r="JU14" s="60"/>
      <c r="JV14" s="408" t="s">
        <v>389</v>
      </c>
      <c r="JW14" s="409" t="s">
        <v>389</v>
      </c>
      <c r="JX14" s="409" t="s">
        <v>389</v>
      </c>
      <c r="JY14" s="409" t="s">
        <v>389</v>
      </c>
      <c r="JZ14" s="409" t="s">
        <v>389</v>
      </c>
      <c r="KA14" s="409" t="s">
        <v>389</v>
      </c>
      <c r="KB14" s="409" t="s">
        <v>389</v>
      </c>
      <c r="KC14" s="410">
        <f t="shared" si="32"/>
        <v>0</v>
      </c>
      <c r="KD14" s="60"/>
      <c r="KE14" s="408" t="s">
        <v>389</v>
      </c>
      <c r="KF14" s="409" t="s">
        <v>389</v>
      </c>
      <c r="KG14" s="409" t="s">
        <v>389</v>
      </c>
      <c r="KH14" s="409" t="s">
        <v>389</v>
      </c>
      <c r="KI14" s="409" t="s">
        <v>389</v>
      </c>
      <c r="KJ14" s="409" t="s">
        <v>389</v>
      </c>
      <c r="KK14" s="409" t="s">
        <v>389</v>
      </c>
      <c r="KL14" s="410">
        <f t="shared" si="33"/>
        <v>0</v>
      </c>
      <c r="KM14" s="60"/>
      <c r="KN14" s="408" t="s">
        <v>389</v>
      </c>
      <c r="KO14" s="409" t="s">
        <v>389</v>
      </c>
      <c r="KP14" s="409" t="s">
        <v>389</v>
      </c>
      <c r="KQ14" s="409" t="s">
        <v>389</v>
      </c>
      <c r="KR14" s="409" t="s">
        <v>389</v>
      </c>
      <c r="KS14" s="409" t="s">
        <v>389</v>
      </c>
      <c r="KT14" s="409" t="s">
        <v>389</v>
      </c>
      <c r="KU14" s="410">
        <f t="shared" si="34"/>
        <v>0</v>
      </c>
      <c r="KV14" s="60"/>
      <c r="KW14" s="408" t="s">
        <v>389</v>
      </c>
      <c r="KX14" s="409" t="s">
        <v>389</v>
      </c>
      <c r="KY14" s="409" t="s">
        <v>389</v>
      </c>
      <c r="KZ14" s="409" t="s">
        <v>389</v>
      </c>
      <c r="LA14" s="409" t="s">
        <v>389</v>
      </c>
      <c r="LB14" s="409" t="s">
        <v>389</v>
      </c>
      <c r="LC14" s="409" t="s">
        <v>389</v>
      </c>
      <c r="LD14" s="410">
        <f t="shared" si="35"/>
        <v>0</v>
      </c>
      <c r="LE14" s="60"/>
      <c r="LF14" s="408" t="s">
        <v>389</v>
      </c>
      <c r="LG14" s="409" t="s">
        <v>389</v>
      </c>
      <c r="LH14" s="409" t="s">
        <v>389</v>
      </c>
      <c r="LI14" s="409" t="s">
        <v>389</v>
      </c>
      <c r="LJ14" s="409" t="s">
        <v>389</v>
      </c>
      <c r="LK14" s="409" t="s">
        <v>389</v>
      </c>
      <c r="LL14" s="409" t="s">
        <v>389</v>
      </c>
      <c r="LM14" s="410">
        <f t="shared" si="36"/>
        <v>0</v>
      </c>
      <c r="LN14" s="60"/>
      <c r="LO14" s="408" t="s">
        <v>389</v>
      </c>
      <c r="LP14" s="409" t="s">
        <v>389</v>
      </c>
      <c r="LQ14" s="409" t="s">
        <v>389</v>
      </c>
      <c r="LR14" s="409" t="s">
        <v>389</v>
      </c>
      <c r="LS14" s="409" t="s">
        <v>389</v>
      </c>
      <c r="LT14" s="409" t="s">
        <v>389</v>
      </c>
      <c r="LU14" s="409" t="s">
        <v>389</v>
      </c>
      <c r="LV14" s="410">
        <f t="shared" si="37"/>
        <v>0</v>
      </c>
      <c r="LW14" s="60"/>
      <c r="LX14" s="408" t="s">
        <v>389</v>
      </c>
      <c r="LY14" s="409" t="s">
        <v>389</v>
      </c>
      <c r="LZ14" s="409" t="s">
        <v>389</v>
      </c>
      <c r="MA14" s="409" t="s">
        <v>389</v>
      </c>
      <c r="MB14" s="409" t="s">
        <v>389</v>
      </c>
      <c r="MC14" s="409" t="s">
        <v>389</v>
      </c>
      <c r="MD14" s="409" t="s">
        <v>389</v>
      </c>
      <c r="ME14" s="410">
        <f t="shared" si="38"/>
        <v>0</v>
      </c>
      <c r="MF14" s="60"/>
      <c r="MG14" s="408" t="s">
        <v>389</v>
      </c>
      <c r="MH14" s="409" t="s">
        <v>389</v>
      </c>
      <c r="MI14" s="409" t="s">
        <v>389</v>
      </c>
      <c r="MJ14" s="409" t="s">
        <v>389</v>
      </c>
      <c r="MK14" s="409" t="s">
        <v>389</v>
      </c>
      <c r="ML14" s="409" t="s">
        <v>389</v>
      </c>
      <c r="MM14" s="409" t="s">
        <v>389</v>
      </c>
      <c r="MN14" s="410">
        <f t="shared" si="39"/>
        <v>0</v>
      </c>
      <c r="MO14" s="60"/>
      <c r="MP14" s="408" t="s">
        <v>389</v>
      </c>
      <c r="MQ14" s="409" t="s">
        <v>389</v>
      </c>
      <c r="MR14" s="409" t="s">
        <v>389</v>
      </c>
      <c r="MS14" s="409" t="s">
        <v>389</v>
      </c>
      <c r="MT14" s="409" t="s">
        <v>389</v>
      </c>
      <c r="MU14" s="409" t="s">
        <v>389</v>
      </c>
      <c r="MV14" s="409" t="s">
        <v>389</v>
      </c>
      <c r="MW14" s="410">
        <f t="shared" si="40"/>
        <v>0</v>
      </c>
      <c r="MX14" s="60"/>
      <c r="MY14" s="408" t="s">
        <v>389</v>
      </c>
      <c r="MZ14" s="409" t="s">
        <v>389</v>
      </c>
      <c r="NA14" s="409" t="s">
        <v>389</v>
      </c>
      <c r="NB14" s="409" t="s">
        <v>389</v>
      </c>
      <c r="NC14" s="409" t="s">
        <v>389</v>
      </c>
      <c r="ND14" s="409" t="s">
        <v>389</v>
      </c>
      <c r="NE14" s="409" t="s">
        <v>389</v>
      </c>
      <c r="NF14" s="410">
        <f t="shared" si="41"/>
        <v>0</v>
      </c>
      <c r="NG14" s="60"/>
      <c r="NH14" s="408" t="s">
        <v>389</v>
      </c>
      <c r="NI14" s="409" t="s">
        <v>389</v>
      </c>
      <c r="NJ14" s="409" t="s">
        <v>389</v>
      </c>
      <c r="NK14" s="409" t="s">
        <v>389</v>
      </c>
      <c r="NL14" s="409" t="s">
        <v>389</v>
      </c>
      <c r="NM14" s="409" t="s">
        <v>389</v>
      </c>
      <c r="NN14" s="409" t="s">
        <v>389</v>
      </c>
      <c r="NO14" s="410">
        <f t="shared" si="42"/>
        <v>0</v>
      </c>
      <c r="NP14" s="60"/>
      <c r="NQ14" s="408" t="s">
        <v>389</v>
      </c>
      <c r="NR14" s="409" t="s">
        <v>389</v>
      </c>
      <c r="NS14" s="409" t="s">
        <v>389</v>
      </c>
      <c r="NT14" s="409" t="s">
        <v>389</v>
      </c>
      <c r="NU14" s="409" t="s">
        <v>389</v>
      </c>
      <c r="NV14" s="409" t="s">
        <v>389</v>
      </c>
      <c r="NW14" s="409" t="s">
        <v>389</v>
      </c>
      <c r="NX14" s="410">
        <f t="shared" si="43"/>
        <v>0</v>
      </c>
      <c r="NY14" s="60"/>
      <c r="NZ14" s="408" t="s">
        <v>389</v>
      </c>
      <c r="OA14" s="409" t="s">
        <v>389</v>
      </c>
      <c r="OB14" s="409" t="s">
        <v>389</v>
      </c>
      <c r="OC14" s="409" t="s">
        <v>389</v>
      </c>
      <c r="OD14" s="409" t="s">
        <v>389</v>
      </c>
      <c r="OE14" s="409" t="s">
        <v>389</v>
      </c>
      <c r="OF14" s="409" t="s">
        <v>389</v>
      </c>
      <c r="OG14" s="410">
        <f t="shared" si="44"/>
        <v>0</v>
      </c>
      <c r="OH14" s="60"/>
      <c r="OI14" s="408" t="s">
        <v>389</v>
      </c>
      <c r="OJ14" s="409" t="s">
        <v>389</v>
      </c>
      <c r="OK14" s="409" t="s">
        <v>389</v>
      </c>
      <c r="OL14" s="409" t="s">
        <v>389</v>
      </c>
      <c r="OM14" s="409" t="s">
        <v>389</v>
      </c>
      <c r="ON14" s="409" t="s">
        <v>389</v>
      </c>
      <c r="OO14" s="409" t="s">
        <v>389</v>
      </c>
      <c r="OP14" s="410">
        <f t="shared" si="45"/>
        <v>0</v>
      </c>
      <c r="OQ14" s="60"/>
      <c r="OR14" s="408" t="s">
        <v>389</v>
      </c>
      <c r="OS14" s="409" t="s">
        <v>389</v>
      </c>
      <c r="OT14" s="409" t="s">
        <v>389</v>
      </c>
      <c r="OU14" s="409" t="s">
        <v>389</v>
      </c>
      <c r="OV14" s="409" t="s">
        <v>389</v>
      </c>
      <c r="OW14" s="409" t="s">
        <v>389</v>
      </c>
      <c r="OX14" s="409" t="s">
        <v>389</v>
      </c>
      <c r="OY14" s="410">
        <f t="shared" si="46"/>
        <v>0</v>
      </c>
      <c r="OZ14" s="60"/>
      <c r="PA14" s="408" t="s">
        <v>389</v>
      </c>
      <c r="PB14" s="409" t="s">
        <v>389</v>
      </c>
      <c r="PC14" s="409" t="s">
        <v>389</v>
      </c>
      <c r="PD14" s="409" t="s">
        <v>389</v>
      </c>
      <c r="PE14" s="409" t="s">
        <v>389</v>
      </c>
      <c r="PF14" s="409" t="s">
        <v>389</v>
      </c>
      <c r="PG14" s="409" t="s">
        <v>389</v>
      </c>
      <c r="PH14" s="410">
        <f t="shared" si="47"/>
        <v>0</v>
      </c>
      <c r="PI14" s="60"/>
      <c r="PJ14" s="408" t="s">
        <v>389</v>
      </c>
      <c r="PK14" s="409" t="s">
        <v>389</v>
      </c>
      <c r="PL14" s="409" t="s">
        <v>389</v>
      </c>
      <c r="PM14" s="409" t="s">
        <v>389</v>
      </c>
      <c r="PN14" s="409" t="s">
        <v>389</v>
      </c>
      <c r="PO14" s="409" t="s">
        <v>389</v>
      </c>
      <c r="PP14" s="409" t="s">
        <v>389</v>
      </c>
      <c r="PQ14" s="410">
        <f t="shared" si="48"/>
        <v>0</v>
      </c>
      <c r="PR14" s="60"/>
      <c r="PS14" s="408" t="s">
        <v>389</v>
      </c>
      <c r="PT14" s="409" t="s">
        <v>389</v>
      </c>
      <c r="PU14" s="409" t="s">
        <v>389</v>
      </c>
      <c r="PV14" s="409" t="s">
        <v>389</v>
      </c>
      <c r="PW14" s="409" t="s">
        <v>389</v>
      </c>
      <c r="PX14" s="409" t="s">
        <v>389</v>
      </c>
      <c r="PY14" s="409" t="s">
        <v>389</v>
      </c>
      <c r="PZ14" s="410">
        <f t="shared" si="49"/>
        <v>0</v>
      </c>
      <c r="QA14" s="60"/>
      <c r="QB14" s="408" t="s">
        <v>389</v>
      </c>
      <c r="QC14" s="409" t="s">
        <v>389</v>
      </c>
      <c r="QD14" s="409" t="s">
        <v>389</v>
      </c>
      <c r="QE14" s="409" t="s">
        <v>389</v>
      </c>
      <c r="QF14" s="409" t="s">
        <v>389</v>
      </c>
      <c r="QG14" s="409" t="s">
        <v>389</v>
      </c>
      <c r="QH14" s="409" t="s">
        <v>389</v>
      </c>
      <c r="QI14" s="410">
        <f t="shared" si="50"/>
        <v>0</v>
      </c>
      <c r="QJ14" s="60"/>
      <c r="QK14" s="408" t="s">
        <v>389</v>
      </c>
      <c r="QL14" s="409" t="s">
        <v>389</v>
      </c>
      <c r="QM14" s="409" t="s">
        <v>389</v>
      </c>
      <c r="QN14" s="409" t="s">
        <v>389</v>
      </c>
      <c r="QO14" s="409" t="s">
        <v>389</v>
      </c>
      <c r="QP14" s="409" t="s">
        <v>389</v>
      </c>
      <c r="QQ14" s="409" t="s">
        <v>389</v>
      </c>
      <c r="QR14" s="410">
        <f t="shared" si="51"/>
        <v>0</v>
      </c>
      <c r="QS14" s="60"/>
      <c r="QT14" s="408" t="s">
        <v>389</v>
      </c>
      <c r="QU14" s="409" t="s">
        <v>389</v>
      </c>
      <c r="QV14" s="409" t="s">
        <v>389</v>
      </c>
      <c r="QW14" s="409" t="s">
        <v>389</v>
      </c>
      <c r="QX14" s="409" t="s">
        <v>389</v>
      </c>
      <c r="QY14" s="409" t="s">
        <v>389</v>
      </c>
      <c r="QZ14" s="409" t="s">
        <v>389</v>
      </c>
      <c r="RA14" s="410">
        <f t="shared" si="52"/>
        <v>0</v>
      </c>
      <c r="RB14" s="30"/>
      <c r="RC14" s="57"/>
    </row>
    <row r="15" hidden="1">
      <c r="A15" s="32" t="s">
        <v>400</v>
      </c>
      <c r="B15" s="60"/>
      <c r="C15" s="408" t="s">
        <v>389</v>
      </c>
      <c r="D15" s="409" t="s">
        <v>389</v>
      </c>
      <c r="E15" s="409" t="s">
        <v>389</v>
      </c>
      <c r="F15" s="409" t="s">
        <v>389</v>
      </c>
      <c r="G15" s="409" t="s">
        <v>389</v>
      </c>
      <c r="H15" s="409" t="s">
        <v>389</v>
      </c>
      <c r="I15" s="409" t="s">
        <v>389</v>
      </c>
      <c r="J15" s="410">
        <f t="shared" si="1"/>
        <v>0</v>
      </c>
      <c r="K15" s="60"/>
      <c r="L15" s="408" t="s">
        <v>389</v>
      </c>
      <c r="M15" s="409" t="s">
        <v>389</v>
      </c>
      <c r="N15" s="409" t="s">
        <v>389</v>
      </c>
      <c r="O15" s="409" t="s">
        <v>389</v>
      </c>
      <c r="P15" s="409" t="s">
        <v>389</v>
      </c>
      <c r="Q15" s="409" t="s">
        <v>389</v>
      </c>
      <c r="R15" s="409" t="s">
        <v>389</v>
      </c>
      <c r="S15" s="410">
        <f t="shared" si="2"/>
        <v>0</v>
      </c>
      <c r="T15" s="60"/>
      <c r="U15" s="408" t="s">
        <v>389</v>
      </c>
      <c r="V15" s="409" t="s">
        <v>389</v>
      </c>
      <c r="W15" s="409" t="s">
        <v>389</v>
      </c>
      <c r="X15" s="409" t="s">
        <v>389</v>
      </c>
      <c r="Y15" s="409" t="s">
        <v>389</v>
      </c>
      <c r="Z15" s="409" t="s">
        <v>389</v>
      </c>
      <c r="AA15" s="409" t="s">
        <v>389</v>
      </c>
      <c r="AB15" s="410">
        <f t="shared" si="3"/>
        <v>0</v>
      </c>
      <c r="AC15" s="60"/>
      <c r="AD15" s="408" t="s">
        <v>389</v>
      </c>
      <c r="AE15" s="409" t="s">
        <v>389</v>
      </c>
      <c r="AF15" s="409" t="s">
        <v>389</v>
      </c>
      <c r="AG15" s="409" t="s">
        <v>389</v>
      </c>
      <c r="AH15" s="409" t="s">
        <v>389</v>
      </c>
      <c r="AI15" s="409" t="s">
        <v>389</v>
      </c>
      <c r="AJ15" s="409" t="s">
        <v>389</v>
      </c>
      <c r="AK15" s="410">
        <f t="shared" si="4"/>
        <v>0</v>
      </c>
      <c r="AL15" s="60"/>
      <c r="AM15" s="408" t="s">
        <v>389</v>
      </c>
      <c r="AN15" s="409" t="s">
        <v>389</v>
      </c>
      <c r="AO15" s="409" t="s">
        <v>389</v>
      </c>
      <c r="AP15" s="409" t="s">
        <v>389</v>
      </c>
      <c r="AQ15" s="409" t="s">
        <v>389</v>
      </c>
      <c r="AR15" s="409" t="s">
        <v>389</v>
      </c>
      <c r="AS15" s="409" t="s">
        <v>389</v>
      </c>
      <c r="AT15" s="410">
        <f t="shared" si="5"/>
        <v>0</v>
      </c>
      <c r="AU15" s="60"/>
      <c r="AV15" s="408" t="s">
        <v>389</v>
      </c>
      <c r="AW15" s="409" t="s">
        <v>389</v>
      </c>
      <c r="AX15" s="409" t="s">
        <v>389</v>
      </c>
      <c r="AY15" s="409" t="s">
        <v>389</v>
      </c>
      <c r="AZ15" s="409" t="s">
        <v>389</v>
      </c>
      <c r="BA15" s="409" t="s">
        <v>389</v>
      </c>
      <c r="BB15" s="409" t="s">
        <v>389</v>
      </c>
      <c r="BC15" s="410">
        <f t="shared" si="6"/>
        <v>0</v>
      </c>
      <c r="BD15" s="60"/>
      <c r="BE15" s="408" t="s">
        <v>389</v>
      </c>
      <c r="BF15" s="409" t="s">
        <v>389</v>
      </c>
      <c r="BG15" s="409" t="s">
        <v>389</v>
      </c>
      <c r="BH15" s="409" t="s">
        <v>389</v>
      </c>
      <c r="BI15" s="409" t="s">
        <v>389</v>
      </c>
      <c r="BJ15" s="409" t="s">
        <v>389</v>
      </c>
      <c r="BK15" s="409" t="s">
        <v>389</v>
      </c>
      <c r="BL15" s="410">
        <f t="shared" si="7"/>
        <v>0</v>
      </c>
      <c r="BM15" s="60"/>
      <c r="BN15" s="408" t="s">
        <v>389</v>
      </c>
      <c r="BO15" s="409" t="s">
        <v>389</v>
      </c>
      <c r="BP15" s="409" t="s">
        <v>389</v>
      </c>
      <c r="BQ15" s="409" t="s">
        <v>389</v>
      </c>
      <c r="BR15" s="409" t="s">
        <v>389</v>
      </c>
      <c r="BS15" s="409" t="s">
        <v>389</v>
      </c>
      <c r="BT15" s="409" t="s">
        <v>389</v>
      </c>
      <c r="BU15" s="410">
        <f t="shared" si="8"/>
        <v>0</v>
      </c>
      <c r="BV15" s="60"/>
      <c r="BW15" s="408" t="s">
        <v>389</v>
      </c>
      <c r="BX15" s="409" t="s">
        <v>389</v>
      </c>
      <c r="BY15" s="409" t="s">
        <v>389</v>
      </c>
      <c r="BZ15" s="409" t="s">
        <v>389</v>
      </c>
      <c r="CA15" s="409" t="s">
        <v>389</v>
      </c>
      <c r="CB15" s="409" t="s">
        <v>389</v>
      </c>
      <c r="CC15" s="409" t="s">
        <v>389</v>
      </c>
      <c r="CD15" s="410">
        <f t="shared" si="9"/>
        <v>0</v>
      </c>
      <c r="CE15" s="60"/>
      <c r="CF15" s="408" t="s">
        <v>389</v>
      </c>
      <c r="CG15" s="409" t="s">
        <v>389</v>
      </c>
      <c r="CH15" s="409" t="s">
        <v>389</v>
      </c>
      <c r="CI15" s="409" t="s">
        <v>389</v>
      </c>
      <c r="CJ15" s="409" t="s">
        <v>389</v>
      </c>
      <c r="CK15" s="409" t="s">
        <v>389</v>
      </c>
      <c r="CL15" s="409" t="s">
        <v>389</v>
      </c>
      <c r="CM15" s="410">
        <f t="shared" si="10"/>
        <v>0</v>
      </c>
      <c r="CN15" s="60"/>
      <c r="CO15" s="408" t="s">
        <v>389</v>
      </c>
      <c r="CP15" s="409" t="s">
        <v>389</v>
      </c>
      <c r="CQ15" s="409" t="s">
        <v>389</v>
      </c>
      <c r="CR15" s="409" t="s">
        <v>389</v>
      </c>
      <c r="CS15" s="409" t="s">
        <v>389</v>
      </c>
      <c r="CT15" s="409" t="s">
        <v>389</v>
      </c>
      <c r="CU15" s="409" t="s">
        <v>389</v>
      </c>
      <c r="CV15" s="410">
        <f t="shared" si="11"/>
        <v>0</v>
      </c>
      <c r="CW15" s="60"/>
      <c r="CX15" s="408" t="s">
        <v>389</v>
      </c>
      <c r="CY15" s="409" t="s">
        <v>389</v>
      </c>
      <c r="CZ15" s="409" t="s">
        <v>389</v>
      </c>
      <c r="DA15" s="409" t="s">
        <v>389</v>
      </c>
      <c r="DB15" s="409" t="s">
        <v>389</v>
      </c>
      <c r="DC15" s="409" t="s">
        <v>389</v>
      </c>
      <c r="DD15" s="409" t="s">
        <v>389</v>
      </c>
      <c r="DE15" s="410">
        <f t="shared" si="12"/>
        <v>0</v>
      </c>
      <c r="DF15" s="60"/>
      <c r="DG15" s="408" t="s">
        <v>389</v>
      </c>
      <c r="DH15" s="409" t="s">
        <v>389</v>
      </c>
      <c r="DI15" s="409" t="s">
        <v>389</v>
      </c>
      <c r="DJ15" s="409" t="s">
        <v>389</v>
      </c>
      <c r="DK15" s="409" t="s">
        <v>389</v>
      </c>
      <c r="DL15" s="409" t="s">
        <v>389</v>
      </c>
      <c r="DM15" s="409" t="s">
        <v>389</v>
      </c>
      <c r="DN15" s="410">
        <f t="shared" si="13"/>
        <v>0</v>
      </c>
      <c r="DO15" s="60"/>
      <c r="DP15" s="408" t="s">
        <v>389</v>
      </c>
      <c r="DQ15" s="409" t="s">
        <v>389</v>
      </c>
      <c r="DR15" s="409" t="s">
        <v>389</v>
      </c>
      <c r="DS15" s="409" t="s">
        <v>389</v>
      </c>
      <c r="DT15" s="409" t="s">
        <v>389</v>
      </c>
      <c r="DU15" s="409" t="s">
        <v>389</v>
      </c>
      <c r="DV15" s="409" t="s">
        <v>389</v>
      </c>
      <c r="DW15" s="410">
        <f t="shared" si="14"/>
        <v>0</v>
      </c>
      <c r="DX15" s="60"/>
      <c r="DY15" s="408" t="s">
        <v>389</v>
      </c>
      <c r="DZ15" s="409" t="s">
        <v>389</v>
      </c>
      <c r="EA15" s="409" t="s">
        <v>389</v>
      </c>
      <c r="EB15" s="409" t="s">
        <v>389</v>
      </c>
      <c r="EC15" s="409" t="s">
        <v>389</v>
      </c>
      <c r="ED15" s="409" t="s">
        <v>389</v>
      </c>
      <c r="EE15" s="409" t="s">
        <v>389</v>
      </c>
      <c r="EF15" s="410">
        <f t="shared" si="15"/>
        <v>0</v>
      </c>
      <c r="EG15" s="60"/>
      <c r="EH15" s="408" t="s">
        <v>389</v>
      </c>
      <c r="EI15" s="409" t="s">
        <v>389</v>
      </c>
      <c r="EJ15" s="409" t="s">
        <v>389</v>
      </c>
      <c r="EK15" s="409" t="s">
        <v>389</v>
      </c>
      <c r="EL15" s="409" t="s">
        <v>389</v>
      </c>
      <c r="EM15" s="409" t="s">
        <v>389</v>
      </c>
      <c r="EN15" s="409" t="s">
        <v>389</v>
      </c>
      <c r="EO15" s="410">
        <f t="shared" si="16"/>
        <v>0</v>
      </c>
      <c r="EP15" s="60"/>
      <c r="EQ15" s="408" t="s">
        <v>389</v>
      </c>
      <c r="ER15" s="409" t="s">
        <v>389</v>
      </c>
      <c r="ES15" s="409" t="s">
        <v>389</v>
      </c>
      <c r="ET15" s="409" t="s">
        <v>389</v>
      </c>
      <c r="EU15" s="409" t="s">
        <v>389</v>
      </c>
      <c r="EV15" s="409" t="s">
        <v>389</v>
      </c>
      <c r="EW15" s="409" t="s">
        <v>389</v>
      </c>
      <c r="EX15" s="410">
        <f t="shared" si="17"/>
        <v>0</v>
      </c>
      <c r="EY15" s="60"/>
      <c r="EZ15" s="408" t="s">
        <v>389</v>
      </c>
      <c r="FA15" s="409" t="s">
        <v>389</v>
      </c>
      <c r="FB15" s="409" t="s">
        <v>389</v>
      </c>
      <c r="FC15" s="409" t="s">
        <v>389</v>
      </c>
      <c r="FD15" s="409" t="s">
        <v>389</v>
      </c>
      <c r="FE15" s="409" t="s">
        <v>389</v>
      </c>
      <c r="FF15" s="409" t="s">
        <v>389</v>
      </c>
      <c r="FG15" s="410">
        <f t="shared" si="18"/>
        <v>0</v>
      </c>
      <c r="FH15" s="60"/>
      <c r="FI15" s="408" t="s">
        <v>389</v>
      </c>
      <c r="FJ15" s="409" t="s">
        <v>389</v>
      </c>
      <c r="FK15" s="409" t="s">
        <v>389</v>
      </c>
      <c r="FL15" s="409" t="s">
        <v>389</v>
      </c>
      <c r="FM15" s="409" t="s">
        <v>389</v>
      </c>
      <c r="FN15" s="409" t="s">
        <v>389</v>
      </c>
      <c r="FO15" s="409" t="s">
        <v>389</v>
      </c>
      <c r="FP15" s="410">
        <f t="shared" si="19"/>
        <v>0</v>
      </c>
      <c r="FQ15" s="60"/>
      <c r="FR15" s="408" t="s">
        <v>389</v>
      </c>
      <c r="FS15" s="409" t="s">
        <v>389</v>
      </c>
      <c r="FT15" s="409" t="s">
        <v>389</v>
      </c>
      <c r="FU15" s="409" t="s">
        <v>389</v>
      </c>
      <c r="FV15" s="409" t="s">
        <v>389</v>
      </c>
      <c r="FW15" s="409" t="s">
        <v>389</v>
      </c>
      <c r="FX15" s="409" t="s">
        <v>389</v>
      </c>
      <c r="FY15" s="410">
        <f t="shared" si="20"/>
        <v>0</v>
      </c>
      <c r="FZ15" s="60"/>
      <c r="GA15" s="408" t="s">
        <v>389</v>
      </c>
      <c r="GB15" s="409" t="s">
        <v>389</v>
      </c>
      <c r="GC15" s="409" t="s">
        <v>389</v>
      </c>
      <c r="GD15" s="409" t="s">
        <v>389</v>
      </c>
      <c r="GE15" s="409" t="s">
        <v>389</v>
      </c>
      <c r="GF15" s="409" t="s">
        <v>389</v>
      </c>
      <c r="GG15" s="409" t="s">
        <v>389</v>
      </c>
      <c r="GH15" s="410">
        <f t="shared" si="21"/>
        <v>0</v>
      </c>
      <c r="GI15" s="60"/>
      <c r="GJ15" s="408" t="s">
        <v>389</v>
      </c>
      <c r="GK15" s="409" t="s">
        <v>389</v>
      </c>
      <c r="GL15" s="409" t="s">
        <v>389</v>
      </c>
      <c r="GM15" s="409" t="s">
        <v>389</v>
      </c>
      <c r="GN15" s="409" t="s">
        <v>389</v>
      </c>
      <c r="GO15" s="409" t="s">
        <v>389</v>
      </c>
      <c r="GP15" s="409" t="s">
        <v>389</v>
      </c>
      <c r="GQ15" s="410">
        <f t="shared" si="22"/>
        <v>0</v>
      </c>
      <c r="GR15" s="60"/>
      <c r="GS15" s="408" t="s">
        <v>389</v>
      </c>
      <c r="GT15" s="409" t="s">
        <v>389</v>
      </c>
      <c r="GU15" s="409" t="s">
        <v>389</v>
      </c>
      <c r="GV15" s="409" t="s">
        <v>389</v>
      </c>
      <c r="GW15" s="409" t="s">
        <v>389</v>
      </c>
      <c r="GX15" s="409" t="s">
        <v>389</v>
      </c>
      <c r="GY15" s="409" t="s">
        <v>389</v>
      </c>
      <c r="GZ15" s="410">
        <f t="shared" si="23"/>
        <v>0</v>
      </c>
      <c r="HA15" s="60"/>
      <c r="HB15" s="408" t="s">
        <v>389</v>
      </c>
      <c r="HC15" s="409" t="s">
        <v>389</v>
      </c>
      <c r="HD15" s="409" t="s">
        <v>389</v>
      </c>
      <c r="HE15" s="409" t="s">
        <v>389</v>
      </c>
      <c r="HF15" s="409" t="s">
        <v>389</v>
      </c>
      <c r="HG15" s="409" t="s">
        <v>389</v>
      </c>
      <c r="HH15" s="409" t="s">
        <v>389</v>
      </c>
      <c r="HI15" s="410">
        <f t="shared" si="24"/>
        <v>0</v>
      </c>
      <c r="HJ15" s="60"/>
      <c r="HK15" s="408" t="s">
        <v>389</v>
      </c>
      <c r="HL15" s="409" t="s">
        <v>389</v>
      </c>
      <c r="HM15" s="409" t="s">
        <v>389</v>
      </c>
      <c r="HN15" s="409" t="s">
        <v>389</v>
      </c>
      <c r="HO15" s="409" t="s">
        <v>389</v>
      </c>
      <c r="HP15" s="409" t="s">
        <v>389</v>
      </c>
      <c r="HQ15" s="409" t="s">
        <v>389</v>
      </c>
      <c r="HR15" s="410">
        <f t="shared" si="25"/>
        <v>0</v>
      </c>
      <c r="HS15" s="60"/>
      <c r="HT15" s="408" t="s">
        <v>389</v>
      </c>
      <c r="HU15" s="409" t="s">
        <v>389</v>
      </c>
      <c r="HV15" s="409" t="s">
        <v>389</v>
      </c>
      <c r="HW15" s="409" t="s">
        <v>389</v>
      </c>
      <c r="HX15" s="409" t="s">
        <v>389</v>
      </c>
      <c r="HY15" s="409" t="s">
        <v>389</v>
      </c>
      <c r="HZ15" s="409" t="s">
        <v>389</v>
      </c>
      <c r="IA15" s="410">
        <f t="shared" si="26"/>
        <v>0</v>
      </c>
      <c r="IB15" s="60"/>
      <c r="IC15" s="408" t="s">
        <v>389</v>
      </c>
      <c r="ID15" s="409" t="s">
        <v>389</v>
      </c>
      <c r="IE15" s="409" t="s">
        <v>389</v>
      </c>
      <c r="IF15" s="409" t="s">
        <v>389</v>
      </c>
      <c r="IG15" s="409" t="s">
        <v>389</v>
      </c>
      <c r="IH15" s="409" t="s">
        <v>389</v>
      </c>
      <c r="II15" s="409" t="s">
        <v>389</v>
      </c>
      <c r="IJ15" s="410">
        <f t="shared" si="27"/>
        <v>0</v>
      </c>
      <c r="IK15" s="60"/>
      <c r="IL15" s="408" t="s">
        <v>389</v>
      </c>
      <c r="IM15" s="409" t="s">
        <v>389</v>
      </c>
      <c r="IN15" s="409" t="s">
        <v>389</v>
      </c>
      <c r="IO15" s="409" t="s">
        <v>389</v>
      </c>
      <c r="IP15" s="409" t="s">
        <v>389</v>
      </c>
      <c r="IQ15" s="409" t="s">
        <v>389</v>
      </c>
      <c r="IR15" s="409" t="s">
        <v>389</v>
      </c>
      <c r="IS15" s="410">
        <f t="shared" si="28"/>
        <v>0</v>
      </c>
      <c r="IT15" s="60"/>
      <c r="IU15" s="408" t="s">
        <v>389</v>
      </c>
      <c r="IV15" s="409" t="s">
        <v>389</v>
      </c>
      <c r="IW15" s="409" t="s">
        <v>389</v>
      </c>
      <c r="IX15" s="409" t="s">
        <v>389</v>
      </c>
      <c r="IY15" s="409" t="s">
        <v>389</v>
      </c>
      <c r="IZ15" s="409" t="s">
        <v>389</v>
      </c>
      <c r="JA15" s="409" t="s">
        <v>389</v>
      </c>
      <c r="JB15" s="410">
        <f t="shared" si="29"/>
        <v>0</v>
      </c>
      <c r="JC15" s="60"/>
      <c r="JD15" s="408" t="s">
        <v>389</v>
      </c>
      <c r="JE15" s="409" t="s">
        <v>389</v>
      </c>
      <c r="JF15" s="409" t="s">
        <v>389</v>
      </c>
      <c r="JG15" s="409" t="s">
        <v>389</v>
      </c>
      <c r="JH15" s="409" t="s">
        <v>389</v>
      </c>
      <c r="JI15" s="409" t="s">
        <v>389</v>
      </c>
      <c r="JJ15" s="409" t="s">
        <v>389</v>
      </c>
      <c r="JK15" s="410">
        <f t="shared" si="30"/>
        <v>0</v>
      </c>
      <c r="JL15" s="60"/>
      <c r="JM15" s="408" t="s">
        <v>389</v>
      </c>
      <c r="JN15" s="409" t="s">
        <v>389</v>
      </c>
      <c r="JO15" s="409" t="s">
        <v>389</v>
      </c>
      <c r="JP15" s="409" t="s">
        <v>389</v>
      </c>
      <c r="JQ15" s="409" t="s">
        <v>389</v>
      </c>
      <c r="JR15" s="409" t="s">
        <v>389</v>
      </c>
      <c r="JS15" s="409" t="s">
        <v>389</v>
      </c>
      <c r="JT15" s="410">
        <f t="shared" si="31"/>
        <v>0</v>
      </c>
      <c r="JU15" s="60"/>
      <c r="JV15" s="408" t="s">
        <v>389</v>
      </c>
      <c r="JW15" s="409" t="s">
        <v>389</v>
      </c>
      <c r="JX15" s="409" t="s">
        <v>389</v>
      </c>
      <c r="JY15" s="409" t="s">
        <v>389</v>
      </c>
      <c r="JZ15" s="409" t="s">
        <v>389</v>
      </c>
      <c r="KA15" s="409" t="s">
        <v>389</v>
      </c>
      <c r="KB15" s="409" t="s">
        <v>389</v>
      </c>
      <c r="KC15" s="410">
        <f t="shared" si="32"/>
        <v>0</v>
      </c>
      <c r="KD15" s="60"/>
      <c r="KE15" s="408" t="s">
        <v>389</v>
      </c>
      <c r="KF15" s="409" t="s">
        <v>389</v>
      </c>
      <c r="KG15" s="409" t="s">
        <v>389</v>
      </c>
      <c r="KH15" s="409" t="s">
        <v>389</v>
      </c>
      <c r="KI15" s="409" t="s">
        <v>389</v>
      </c>
      <c r="KJ15" s="409" t="s">
        <v>389</v>
      </c>
      <c r="KK15" s="409" t="s">
        <v>389</v>
      </c>
      <c r="KL15" s="410">
        <f t="shared" si="33"/>
        <v>0</v>
      </c>
      <c r="KM15" s="60"/>
      <c r="KN15" s="408" t="s">
        <v>389</v>
      </c>
      <c r="KO15" s="409" t="s">
        <v>389</v>
      </c>
      <c r="KP15" s="409" t="s">
        <v>389</v>
      </c>
      <c r="KQ15" s="409" t="s">
        <v>389</v>
      </c>
      <c r="KR15" s="409" t="s">
        <v>389</v>
      </c>
      <c r="KS15" s="409" t="s">
        <v>389</v>
      </c>
      <c r="KT15" s="409" t="s">
        <v>389</v>
      </c>
      <c r="KU15" s="410">
        <f t="shared" si="34"/>
        <v>0</v>
      </c>
      <c r="KV15" s="60"/>
      <c r="KW15" s="408" t="s">
        <v>389</v>
      </c>
      <c r="KX15" s="409" t="s">
        <v>389</v>
      </c>
      <c r="KY15" s="409" t="s">
        <v>389</v>
      </c>
      <c r="KZ15" s="409" t="s">
        <v>389</v>
      </c>
      <c r="LA15" s="409" t="s">
        <v>389</v>
      </c>
      <c r="LB15" s="409" t="s">
        <v>389</v>
      </c>
      <c r="LC15" s="409" t="s">
        <v>389</v>
      </c>
      <c r="LD15" s="410">
        <f t="shared" si="35"/>
        <v>0</v>
      </c>
      <c r="LE15" s="60"/>
      <c r="LF15" s="408" t="s">
        <v>389</v>
      </c>
      <c r="LG15" s="409" t="s">
        <v>389</v>
      </c>
      <c r="LH15" s="409" t="s">
        <v>389</v>
      </c>
      <c r="LI15" s="409" t="s">
        <v>389</v>
      </c>
      <c r="LJ15" s="409" t="s">
        <v>389</v>
      </c>
      <c r="LK15" s="409" t="s">
        <v>389</v>
      </c>
      <c r="LL15" s="409" t="s">
        <v>389</v>
      </c>
      <c r="LM15" s="410">
        <f t="shared" si="36"/>
        <v>0</v>
      </c>
      <c r="LN15" s="60"/>
      <c r="LO15" s="408" t="s">
        <v>389</v>
      </c>
      <c r="LP15" s="409" t="s">
        <v>389</v>
      </c>
      <c r="LQ15" s="409" t="s">
        <v>389</v>
      </c>
      <c r="LR15" s="409" t="s">
        <v>389</v>
      </c>
      <c r="LS15" s="409" t="s">
        <v>389</v>
      </c>
      <c r="LT15" s="409" t="s">
        <v>389</v>
      </c>
      <c r="LU15" s="409" t="s">
        <v>389</v>
      </c>
      <c r="LV15" s="410">
        <f t="shared" si="37"/>
        <v>0</v>
      </c>
      <c r="LW15" s="60"/>
      <c r="LX15" s="408" t="s">
        <v>389</v>
      </c>
      <c r="LY15" s="409" t="s">
        <v>389</v>
      </c>
      <c r="LZ15" s="409" t="s">
        <v>389</v>
      </c>
      <c r="MA15" s="409" t="s">
        <v>389</v>
      </c>
      <c r="MB15" s="409" t="s">
        <v>389</v>
      </c>
      <c r="MC15" s="409" t="s">
        <v>389</v>
      </c>
      <c r="MD15" s="409" t="s">
        <v>389</v>
      </c>
      <c r="ME15" s="410">
        <f t="shared" si="38"/>
        <v>0</v>
      </c>
      <c r="MF15" s="60"/>
      <c r="MG15" s="408" t="s">
        <v>389</v>
      </c>
      <c r="MH15" s="409" t="s">
        <v>389</v>
      </c>
      <c r="MI15" s="409" t="s">
        <v>389</v>
      </c>
      <c r="MJ15" s="409" t="s">
        <v>389</v>
      </c>
      <c r="MK15" s="409" t="s">
        <v>389</v>
      </c>
      <c r="ML15" s="409" t="s">
        <v>389</v>
      </c>
      <c r="MM15" s="409" t="s">
        <v>389</v>
      </c>
      <c r="MN15" s="410">
        <f t="shared" si="39"/>
        <v>0</v>
      </c>
      <c r="MO15" s="60"/>
      <c r="MP15" s="408" t="s">
        <v>389</v>
      </c>
      <c r="MQ15" s="409" t="s">
        <v>389</v>
      </c>
      <c r="MR15" s="409" t="s">
        <v>389</v>
      </c>
      <c r="MS15" s="409" t="s">
        <v>389</v>
      </c>
      <c r="MT15" s="409" t="s">
        <v>389</v>
      </c>
      <c r="MU15" s="409" t="s">
        <v>389</v>
      </c>
      <c r="MV15" s="409" t="s">
        <v>389</v>
      </c>
      <c r="MW15" s="410">
        <f t="shared" si="40"/>
        <v>0</v>
      </c>
      <c r="MX15" s="60"/>
      <c r="MY15" s="408" t="s">
        <v>389</v>
      </c>
      <c r="MZ15" s="409" t="s">
        <v>389</v>
      </c>
      <c r="NA15" s="409" t="s">
        <v>389</v>
      </c>
      <c r="NB15" s="409" t="s">
        <v>389</v>
      </c>
      <c r="NC15" s="409" t="s">
        <v>389</v>
      </c>
      <c r="ND15" s="409" t="s">
        <v>389</v>
      </c>
      <c r="NE15" s="409" t="s">
        <v>389</v>
      </c>
      <c r="NF15" s="410">
        <f t="shared" si="41"/>
        <v>0</v>
      </c>
      <c r="NG15" s="60"/>
      <c r="NH15" s="408" t="s">
        <v>389</v>
      </c>
      <c r="NI15" s="409" t="s">
        <v>389</v>
      </c>
      <c r="NJ15" s="409" t="s">
        <v>389</v>
      </c>
      <c r="NK15" s="409" t="s">
        <v>389</v>
      </c>
      <c r="NL15" s="409" t="s">
        <v>389</v>
      </c>
      <c r="NM15" s="409" t="s">
        <v>389</v>
      </c>
      <c r="NN15" s="409" t="s">
        <v>389</v>
      </c>
      <c r="NO15" s="410">
        <f t="shared" si="42"/>
        <v>0</v>
      </c>
      <c r="NP15" s="60"/>
      <c r="NQ15" s="408" t="s">
        <v>389</v>
      </c>
      <c r="NR15" s="409" t="s">
        <v>389</v>
      </c>
      <c r="NS15" s="409" t="s">
        <v>389</v>
      </c>
      <c r="NT15" s="409" t="s">
        <v>389</v>
      </c>
      <c r="NU15" s="409" t="s">
        <v>389</v>
      </c>
      <c r="NV15" s="409" t="s">
        <v>389</v>
      </c>
      <c r="NW15" s="409" t="s">
        <v>389</v>
      </c>
      <c r="NX15" s="410">
        <f t="shared" si="43"/>
        <v>0</v>
      </c>
      <c r="NY15" s="60"/>
      <c r="NZ15" s="408" t="s">
        <v>389</v>
      </c>
      <c r="OA15" s="409" t="s">
        <v>389</v>
      </c>
      <c r="OB15" s="409" t="s">
        <v>389</v>
      </c>
      <c r="OC15" s="409" t="s">
        <v>389</v>
      </c>
      <c r="OD15" s="409" t="s">
        <v>389</v>
      </c>
      <c r="OE15" s="409" t="s">
        <v>389</v>
      </c>
      <c r="OF15" s="409" t="s">
        <v>389</v>
      </c>
      <c r="OG15" s="410">
        <f t="shared" si="44"/>
        <v>0</v>
      </c>
      <c r="OH15" s="60"/>
      <c r="OI15" s="408" t="s">
        <v>389</v>
      </c>
      <c r="OJ15" s="409" t="s">
        <v>389</v>
      </c>
      <c r="OK15" s="409" t="s">
        <v>389</v>
      </c>
      <c r="OL15" s="409" t="s">
        <v>389</v>
      </c>
      <c r="OM15" s="409" t="s">
        <v>389</v>
      </c>
      <c r="ON15" s="409" t="s">
        <v>389</v>
      </c>
      <c r="OO15" s="409" t="s">
        <v>389</v>
      </c>
      <c r="OP15" s="410">
        <f t="shared" si="45"/>
        <v>0</v>
      </c>
      <c r="OQ15" s="60"/>
      <c r="OR15" s="408" t="s">
        <v>389</v>
      </c>
      <c r="OS15" s="409" t="s">
        <v>389</v>
      </c>
      <c r="OT15" s="409" t="s">
        <v>389</v>
      </c>
      <c r="OU15" s="409" t="s">
        <v>389</v>
      </c>
      <c r="OV15" s="409" t="s">
        <v>389</v>
      </c>
      <c r="OW15" s="409" t="s">
        <v>389</v>
      </c>
      <c r="OX15" s="409" t="s">
        <v>389</v>
      </c>
      <c r="OY15" s="410">
        <f t="shared" si="46"/>
        <v>0</v>
      </c>
      <c r="OZ15" s="60"/>
      <c r="PA15" s="408" t="s">
        <v>389</v>
      </c>
      <c r="PB15" s="409" t="s">
        <v>389</v>
      </c>
      <c r="PC15" s="409" t="s">
        <v>389</v>
      </c>
      <c r="PD15" s="409" t="s">
        <v>389</v>
      </c>
      <c r="PE15" s="409" t="s">
        <v>389</v>
      </c>
      <c r="PF15" s="409" t="s">
        <v>389</v>
      </c>
      <c r="PG15" s="409" t="s">
        <v>389</v>
      </c>
      <c r="PH15" s="410">
        <f t="shared" si="47"/>
        <v>0</v>
      </c>
      <c r="PI15" s="60"/>
      <c r="PJ15" s="408" t="s">
        <v>389</v>
      </c>
      <c r="PK15" s="409" t="s">
        <v>389</v>
      </c>
      <c r="PL15" s="409" t="s">
        <v>389</v>
      </c>
      <c r="PM15" s="409" t="s">
        <v>389</v>
      </c>
      <c r="PN15" s="409" t="s">
        <v>389</v>
      </c>
      <c r="PO15" s="409" t="s">
        <v>389</v>
      </c>
      <c r="PP15" s="409" t="s">
        <v>389</v>
      </c>
      <c r="PQ15" s="410">
        <f t="shared" si="48"/>
        <v>0</v>
      </c>
      <c r="PR15" s="60"/>
      <c r="PS15" s="408" t="s">
        <v>389</v>
      </c>
      <c r="PT15" s="409" t="s">
        <v>389</v>
      </c>
      <c r="PU15" s="409" t="s">
        <v>389</v>
      </c>
      <c r="PV15" s="409" t="s">
        <v>389</v>
      </c>
      <c r="PW15" s="409" t="s">
        <v>389</v>
      </c>
      <c r="PX15" s="409" t="s">
        <v>389</v>
      </c>
      <c r="PY15" s="409" t="s">
        <v>389</v>
      </c>
      <c r="PZ15" s="410">
        <f t="shared" si="49"/>
        <v>0</v>
      </c>
      <c r="QA15" s="60"/>
      <c r="QB15" s="408" t="s">
        <v>389</v>
      </c>
      <c r="QC15" s="409" t="s">
        <v>389</v>
      </c>
      <c r="QD15" s="409" t="s">
        <v>389</v>
      </c>
      <c r="QE15" s="409" t="s">
        <v>389</v>
      </c>
      <c r="QF15" s="409" t="s">
        <v>389</v>
      </c>
      <c r="QG15" s="409" t="s">
        <v>389</v>
      </c>
      <c r="QH15" s="409" t="s">
        <v>389</v>
      </c>
      <c r="QI15" s="410">
        <f t="shared" si="50"/>
        <v>0</v>
      </c>
      <c r="QJ15" s="60"/>
      <c r="QK15" s="408" t="s">
        <v>389</v>
      </c>
      <c r="QL15" s="409" t="s">
        <v>389</v>
      </c>
      <c r="QM15" s="409" t="s">
        <v>389</v>
      </c>
      <c r="QN15" s="409" t="s">
        <v>389</v>
      </c>
      <c r="QO15" s="409" t="s">
        <v>389</v>
      </c>
      <c r="QP15" s="409" t="s">
        <v>389</v>
      </c>
      <c r="QQ15" s="409" t="s">
        <v>389</v>
      </c>
      <c r="QR15" s="410">
        <f t="shared" si="51"/>
        <v>0</v>
      </c>
      <c r="QS15" s="60"/>
      <c r="QT15" s="408" t="s">
        <v>389</v>
      </c>
      <c r="QU15" s="409" t="s">
        <v>389</v>
      </c>
      <c r="QV15" s="409" t="s">
        <v>389</v>
      </c>
      <c r="QW15" s="409" t="s">
        <v>389</v>
      </c>
      <c r="QX15" s="409" t="s">
        <v>389</v>
      </c>
      <c r="QY15" s="409" t="s">
        <v>389</v>
      </c>
      <c r="QZ15" s="409" t="s">
        <v>389</v>
      </c>
      <c r="RA15" s="410">
        <f t="shared" si="52"/>
        <v>0</v>
      </c>
      <c r="RB15" s="30"/>
      <c r="RC15" s="57"/>
    </row>
    <row r="16">
      <c r="A16" s="32"/>
      <c r="B16" s="60"/>
      <c r="C16" s="411"/>
      <c r="D16" s="409"/>
      <c r="E16" s="409"/>
      <c r="F16" s="409"/>
      <c r="G16" s="409"/>
      <c r="H16" s="409"/>
      <c r="I16" s="409"/>
      <c r="J16" s="410"/>
      <c r="K16" s="60"/>
      <c r="L16" s="411"/>
      <c r="M16" s="409"/>
      <c r="N16" s="409"/>
      <c r="O16" s="409"/>
      <c r="P16" s="409"/>
      <c r="Q16" s="409"/>
      <c r="R16" s="409"/>
      <c r="S16" s="410"/>
      <c r="T16" s="60"/>
      <c r="U16" s="411"/>
      <c r="V16" s="409"/>
      <c r="W16" s="409"/>
      <c r="X16" s="409"/>
      <c r="Y16" s="409"/>
      <c r="Z16" s="409"/>
      <c r="AA16" s="409"/>
      <c r="AB16" s="410"/>
      <c r="AC16" s="60"/>
      <c r="AD16" s="411"/>
      <c r="AE16" s="409"/>
      <c r="AF16" s="409"/>
      <c r="AG16" s="409"/>
      <c r="AH16" s="409"/>
      <c r="AI16" s="409"/>
      <c r="AJ16" s="409"/>
      <c r="AK16" s="410"/>
      <c r="AL16" s="60"/>
      <c r="AM16" s="411"/>
      <c r="AN16" s="409"/>
      <c r="AO16" s="409"/>
      <c r="AP16" s="409"/>
      <c r="AQ16" s="409"/>
      <c r="AR16" s="409"/>
      <c r="AS16" s="409"/>
      <c r="AT16" s="410"/>
      <c r="AU16" s="60"/>
      <c r="AV16" s="411"/>
      <c r="AW16" s="409"/>
      <c r="AX16" s="409"/>
      <c r="AY16" s="409"/>
      <c r="AZ16" s="409"/>
      <c r="BA16" s="409"/>
      <c r="BB16" s="409"/>
      <c r="BC16" s="410"/>
      <c r="BD16" s="60"/>
      <c r="BE16" s="411"/>
      <c r="BF16" s="409"/>
      <c r="BG16" s="409"/>
      <c r="BH16" s="409"/>
      <c r="BI16" s="409"/>
      <c r="BJ16" s="409"/>
      <c r="BK16" s="409"/>
      <c r="BL16" s="410"/>
      <c r="BM16" s="60"/>
      <c r="BN16" s="411"/>
      <c r="BO16" s="409"/>
      <c r="BP16" s="409"/>
      <c r="BQ16" s="409"/>
      <c r="BR16" s="409"/>
      <c r="BS16" s="409"/>
      <c r="BT16" s="409"/>
      <c r="BU16" s="410"/>
      <c r="BV16" s="60"/>
      <c r="BW16" s="411"/>
      <c r="BX16" s="409"/>
      <c r="BY16" s="409"/>
      <c r="BZ16" s="409"/>
      <c r="CA16" s="409"/>
      <c r="CB16" s="409"/>
      <c r="CC16" s="409"/>
      <c r="CD16" s="410"/>
      <c r="CE16" s="60"/>
      <c r="CF16" s="411"/>
      <c r="CG16" s="409"/>
      <c r="CH16" s="409"/>
      <c r="CI16" s="409"/>
      <c r="CJ16" s="409"/>
      <c r="CK16" s="409"/>
      <c r="CL16" s="409"/>
      <c r="CM16" s="410"/>
      <c r="CN16" s="60"/>
      <c r="CO16" s="411"/>
      <c r="CP16" s="409"/>
      <c r="CQ16" s="409"/>
      <c r="CR16" s="409"/>
      <c r="CS16" s="409"/>
      <c r="CT16" s="409"/>
      <c r="CU16" s="409"/>
      <c r="CV16" s="410"/>
      <c r="CW16" s="60"/>
      <c r="CX16" s="411"/>
      <c r="CY16" s="409"/>
      <c r="CZ16" s="409"/>
      <c r="DA16" s="409"/>
      <c r="DB16" s="409"/>
      <c r="DC16" s="409"/>
      <c r="DD16" s="409"/>
      <c r="DE16" s="410"/>
      <c r="DF16" s="60"/>
      <c r="DG16" s="411"/>
      <c r="DH16" s="409"/>
      <c r="DI16" s="409"/>
      <c r="DJ16" s="409"/>
      <c r="DK16" s="409"/>
      <c r="DL16" s="409"/>
      <c r="DM16" s="409"/>
      <c r="DN16" s="410"/>
      <c r="DO16" s="60"/>
      <c r="DP16" s="411"/>
      <c r="DQ16" s="409"/>
      <c r="DR16" s="409"/>
      <c r="DS16" s="409"/>
      <c r="DT16" s="409"/>
      <c r="DU16" s="409"/>
      <c r="DV16" s="409"/>
      <c r="DW16" s="410"/>
      <c r="DX16" s="60"/>
      <c r="DY16" s="411"/>
      <c r="DZ16" s="409"/>
      <c r="EA16" s="409"/>
      <c r="EB16" s="409"/>
      <c r="EC16" s="409"/>
      <c r="ED16" s="409"/>
      <c r="EE16" s="409"/>
      <c r="EF16" s="410"/>
      <c r="EG16" s="60"/>
      <c r="EH16" s="411"/>
      <c r="EI16" s="409"/>
      <c r="EJ16" s="409"/>
      <c r="EK16" s="409"/>
      <c r="EL16" s="409"/>
      <c r="EM16" s="409"/>
      <c r="EN16" s="409"/>
      <c r="EO16" s="410"/>
      <c r="EP16" s="60"/>
      <c r="EQ16" s="411"/>
      <c r="ER16" s="409"/>
      <c r="ES16" s="409"/>
      <c r="ET16" s="409"/>
      <c r="EU16" s="409"/>
      <c r="EV16" s="409"/>
      <c r="EW16" s="409"/>
      <c r="EX16" s="410"/>
      <c r="EY16" s="60"/>
      <c r="EZ16" s="411"/>
      <c r="FA16" s="409"/>
      <c r="FB16" s="409"/>
      <c r="FC16" s="409"/>
      <c r="FD16" s="409"/>
      <c r="FE16" s="409"/>
      <c r="FF16" s="409"/>
      <c r="FG16" s="410"/>
      <c r="FH16" s="60"/>
      <c r="FI16" s="411"/>
      <c r="FJ16" s="409"/>
      <c r="FK16" s="409"/>
      <c r="FL16" s="409"/>
      <c r="FM16" s="409"/>
      <c r="FN16" s="409"/>
      <c r="FO16" s="409"/>
      <c r="FP16" s="410"/>
      <c r="FQ16" s="60"/>
      <c r="FR16" s="411"/>
      <c r="FS16" s="409"/>
      <c r="FT16" s="409"/>
      <c r="FU16" s="409"/>
      <c r="FV16" s="409"/>
      <c r="FW16" s="409"/>
      <c r="FX16" s="409"/>
      <c r="FY16" s="410"/>
      <c r="FZ16" s="60"/>
      <c r="GA16" s="411"/>
      <c r="GB16" s="409"/>
      <c r="GC16" s="409"/>
      <c r="GD16" s="409"/>
      <c r="GE16" s="409"/>
      <c r="GF16" s="409"/>
      <c r="GG16" s="409"/>
      <c r="GH16" s="410"/>
      <c r="GI16" s="60"/>
      <c r="GJ16" s="411"/>
      <c r="GK16" s="409"/>
      <c r="GL16" s="409"/>
      <c r="GM16" s="409"/>
      <c r="GN16" s="409"/>
      <c r="GO16" s="409"/>
      <c r="GP16" s="409"/>
      <c r="GQ16" s="410"/>
      <c r="GR16" s="60"/>
      <c r="GS16" s="411"/>
      <c r="GT16" s="409"/>
      <c r="GU16" s="409"/>
      <c r="GV16" s="409"/>
      <c r="GW16" s="409"/>
      <c r="GX16" s="409"/>
      <c r="GY16" s="409"/>
      <c r="GZ16" s="410"/>
      <c r="HA16" s="60"/>
      <c r="HB16" s="411"/>
      <c r="HC16" s="409"/>
      <c r="HD16" s="409"/>
      <c r="HE16" s="409"/>
      <c r="HF16" s="409"/>
      <c r="HG16" s="409"/>
      <c r="HH16" s="409"/>
      <c r="HI16" s="410"/>
      <c r="HJ16" s="60"/>
      <c r="HK16" s="411"/>
      <c r="HL16" s="409"/>
      <c r="HM16" s="409"/>
      <c r="HN16" s="409"/>
      <c r="HO16" s="409"/>
      <c r="HP16" s="409"/>
      <c r="HQ16" s="409"/>
      <c r="HR16" s="410"/>
      <c r="HS16" s="60"/>
      <c r="HT16" s="411"/>
      <c r="HU16" s="409"/>
      <c r="HV16" s="409"/>
      <c r="HW16" s="409"/>
      <c r="HX16" s="409"/>
      <c r="HY16" s="409"/>
      <c r="HZ16" s="409"/>
      <c r="IA16" s="410"/>
      <c r="IB16" s="60"/>
      <c r="IC16" s="411"/>
      <c r="ID16" s="409"/>
      <c r="IE16" s="409"/>
      <c r="IF16" s="409"/>
      <c r="IG16" s="409"/>
      <c r="IH16" s="409"/>
      <c r="II16" s="409"/>
      <c r="IJ16" s="410"/>
      <c r="IK16" s="60"/>
      <c r="IL16" s="411"/>
      <c r="IM16" s="409"/>
      <c r="IN16" s="409"/>
      <c r="IO16" s="409"/>
      <c r="IP16" s="409"/>
      <c r="IQ16" s="409"/>
      <c r="IR16" s="409"/>
      <c r="IS16" s="410"/>
      <c r="IT16" s="60"/>
      <c r="IU16" s="411"/>
      <c r="IV16" s="409"/>
      <c r="IW16" s="409"/>
      <c r="IX16" s="409"/>
      <c r="IY16" s="409"/>
      <c r="IZ16" s="409"/>
      <c r="JA16" s="409"/>
      <c r="JB16" s="410"/>
      <c r="JC16" s="60"/>
      <c r="JD16" s="411"/>
      <c r="JE16" s="409"/>
      <c r="JF16" s="409"/>
      <c r="JG16" s="409"/>
      <c r="JH16" s="409"/>
      <c r="JI16" s="409"/>
      <c r="JJ16" s="409"/>
      <c r="JK16" s="410"/>
      <c r="JL16" s="60"/>
      <c r="JM16" s="411"/>
      <c r="JN16" s="409"/>
      <c r="JO16" s="409"/>
      <c r="JP16" s="409"/>
      <c r="JQ16" s="409"/>
      <c r="JR16" s="409"/>
      <c r="JS16" s="409"/>
      <c r="JT16" s="410"/>
      <c r="JU16" s="60"/>
      <c r="JV16" s="411"/>
      <c r="JW16" s="409"/>
      <c r="JX16" s="409"/>
      <c r="JY16" s="409"/>
      <c r="JZ16" s="409"/>
      <c r="KA16" s="409"/>
      <c r="KB16" s="409"/>
      <c r="KC16" s="410"/>
      <c r="KD16" s="60"/>
      <c r="KE16" s="411"/>
      <c r="KF16" s="409"/>
      <c r="KG16" s="409"/>
      <c r="KH16" s="409"/>
      <c r="KI16" s="409"/>
      <c r="KJ16" s="409"/>
      <c r="KK16" s="409"/>
      <c r="KL16" s="410"/>
      <c r="KM16" s="60"/>
      <c r="KN16" s="411"/>
      <c r="KO16" s="409"/>
      <c r="KP16" s="409"/>
      <c r="KQ16" s="409"/>
      <c r="KR16" s="409"/>
      <c r="KS16" s="409"/>
      <c r="KT16" s="409"/>
      <c r="KU16" s="410"/>
      <c r="KV16" s="60"/>
      <c r="KW16" s="411"/>
      <c r="KX16" s="409"/>
      <c r="KY16" s="409"/>
      <c r="KZ16" s="409"/>
      <c r="LA16" s="409"/>
      <c r="LB16" s="409"/>
      <c r="LC16" s="409"/>
      <c r="LD16" s="410"/>
      <c r="LE16" s="60"/>
      <c r="LF16" s="411"/>
      <c r="LG16" s="409"/>
      <c r="LH16" s="409"/>
      <c r="LI16" s="409"/>
      <c r="LJ16" s="409"/>
      <c r="LK16" s="409"/>
      <c r="LL16" s="409"/>
      <c r="LM16" s="410"/>
      <c r="LN16" s="60"/>
      <c r="LO16" s="411"/>
      <c r="LP16" s="409"/>
      <c r="LQ16" s="409"/>
      <c r="LR16" s="409"/>
      <c r="LS16" s="409"/>
      <c r="LT16" s="409"/>
      <c r="LU16" s="409"/>
      <c r="LV16" s="410"/>
      <c r="LW16" s="60"/>
      <c r="LX16" s="411"/>
      <c r="LY16" s="409"/>
      <c r="LZ16" s="409"/>
      <c r="MA16" s="409"/>
      <c r="MB16" s="409"/>
      <c r="MC16" s="409"/>
      <c r="MD16" s="409"/>
      <c r="ME16" s="410"/>
      <c r="MF16" s="60"/>
      <c r="MG16" s="411"/>
      <c r="MH16" s="409"/>
      <c r="MI16" s="409"/>
      <c r="MJ16" s="409"/>
      <c r="MK16" s="409"/>
      <c r="ML16" s="409"/>
      <c r="MM16" s="409"/>
      <c r="MN16" s="410"/>
      <c r="MO16" s="60"/>
      <c r="MP16" s="411"/>
      <c r="MQ16" s="409"/>
      <c r="MR16" s="409"/>
      <c r="MS16" s="409"/>
      <c r="MT16" s="409"/>
      <c r="MU16" s="409"/>
      <c r="MV16" s="409"/>
      <c r="MW16" s="410"/>
      <c r="MX16" s="60"/>
      <c r="MY16" s="411"/>
      <c r="MZ16" s="409"/>
      <c r="NA16" s="409"/>
      <c r="NB16" s="409"/>
      <c r="NC16" s="409"/>
      <c r="ND16" s="409"/>
      <c r="NE16" s="409"/>
      <c r="NF16" s="410"/>
      <c r="NG16" s="60"/>
      <c r="NH16" s="411"/>
      <c r="NI16" s="409"/>
      <c r="NJ16" s="409"/>
      <c r="NK16" s="409"/>
      <c r="NL16" s="409"/>
      <c r="NM16" s="409"/>
      <c r="NN16" s="409"/>
      <c r="NO16" s="410"/>
      <c r="NP16" s="60"/>
      <c r="NQ16" s="411"/>
      <c r="NR16" s="409"/>
      <c r="NS16" s="409"/>
      <c r="NT16" s="409"/>
      <c r="NU16" s="409"/>
      <c r="NV16" s="409"/>
      <c r="NW16" s="409"/>
      <c r="NX16" s="410"/>
      <c r="NY16" s="60"/>
      <c r="NZ16" s="411"/>
      <c r="OA16" s="409"/>
      <c r="OB16" s="409"/>
      <c r="OC16" s="409"/>
      <c r="OD16" s="409"/>
      <c r="OE16" s="409"/>
      <c r="OF16" s="409"/>
      <c r="OG16" s="410"/>
      <c r="OH16" s="60"/>
      <c r="OI16" s="411"/>
      <c r="OJ16" s="409"/>
      <c r="OK16" s="409"/>
      <c r="OL16" s="409"/>
      <c r="OM16" s="409"/>
      <c r="ON16" s="409"/>
      <c r="OO16" s="409"/>
      <c r="OP16" s="410"/>
      <c r="OQ16" s="60"/>
      <c r="OR16" s="411"/>
      <c r="OS16" s="409"/>
      <c r="OT16" s="409"/>
      <c r="OU16" s="409"/>
      <c r="OV16" s="409"/>
      <c r="OW16" s="409"/>
      <c r="OX16" s="409"/>
      <c r="OY16" s="410"/>
      <c r="OZ16" s="60"/>
      <c r="PA16" s="411"/>
      <c r="PB16" s="409"/>
      <c r="PC16" s="409"/>
      <c r="PD16" s="409"/>
      <c r="PE16" s="409"/>
      <c r="PF16" s="409"/>
      <c r="PG16" s="409"/>
      <c r="PH16" s="410"/>
      <c r="PI16" s="60"/>
      <c r="PJ16" s="411"/>
      <c r="PK16" s="409"/>
      <c r="PL16" s="409"/>
      <c r="PM16" s="409"/>
      <c r="PN16" s="409"/>
      <c r="PO16" s="409"/>
      <c r="PP16" s="409"/>
      <c r="PQ16" s="410"/>
      <c r="PR16" s="60"/>
      <c r="PS16" s="411"/>
      <c r="PT16" s="409"/>
      <c r="PU16" s="409"/>
      <c r="PV16" s="409"/>
      <c r="PW16" s="409"/>
      <c r="PX16" s="409"/>
      <c r="PY16" s="409"/>
      <c r="PZ16" s="410"/>
      <c r="QA16" s="60"/>
      <c r="QB16" s="411"/>
      <c r="QC16" s="409"/>
      <c r="QD16" s="409"/>
      <c r="QE16" s="409"/>
      <c r="QF16" s="409"/>
      <c r="QG16" s="409"/>
      <c r="QH16" s="409"/>
      <c r="QI16" s="410"/>
      <c r="QJ16" s="60"/>
      <c r="QK16" s="411"/>
      <c r="QL16" s="409"/>
      <c r="QM16" s="409"/>
      <c r="QN16" s="409"/>
      <c r="QO16" s="409"/>
      <c r="QP16" s="409"/>
      <c r="QQ16" s="409"/>
      <c r="QR16" s="410"/>
      <c r="QS16" s="60"/>
      <c r="QT16" s="411"/>
      <c r="QU16" s="409"/>
      <c r="QV16" s="409"/>
      <c r="QW16" s="409"/>
      <c r="QX16" s="409"/>
      <c r="QY16" s="409"/>
      <c r="QZ16" s="409"/>
      <c r="RA16" s="410"/>
      <c r="RB16" s="30"/>
      <c r="RC16" s="31"/>
    </row>
    <row r="17">
      <c r="A17" s="32"/>
      <c r="B17" s="60"/>
      <c r="C17" s="411"/>
      <c r="D17" s="409"/>
      <c r="E17" s="409"/>
      <c r="F17" s="409"/>
      <c r="G17" s="409"/>
      <c r="H17" s="409"/>
      <c r="I17" s="409"/>
      <c r="J17" s="410"/>
      <c r="K17" s="60"/>
      <c r="L17" s="411"/>
      <c r="M17" s="409"/>
      <c r="N17" s="409"/>
      <c r="O17" s="409"/>
      <c r="P17" s="409"/>
      <c r="Q17" s="409"/>
      <c r="R17" s="409"/>
      <c r="S17" s="410"/>
      <c r="T17" s="60"/>
      <c r="U17" s="411"/>
      <c r="V17" s="409"/>
      <c r="W17" s="409"/>
      <c r="X17" s="409"/>
      <c r="Y17" s="409"/>
      <c r="Z17" s="409"/>
      <c r="AA17" s="409"/>
      <c r="AB17" s="410"/>
      <c r="AC17" s="60"/>
      <c r="AD17" s="411"/>
      <c r="AE17" s="409"/>
      <c r="AF17" s="409"/>
      <c r="AG17" s="409"/>
      <c r="AH17" s="409"/>
      <c r="AI17" s="409"/>
      <c r="AJ17" s="409"/>
      <c r="AK17" s="410"/>
      <c r="AL17" s="60"/>
      <c r="AM17" s="411"/>
      <c r="AN17" s="409"/>
      <c r="AO17" s="409"/>
      <c r="AP17" s="409"/>
      <c r="AQ17" s="409"/>
      <c r="AR17" s="409"/>
      <c r="AS17" s="409"/>
      <c r="AT17" s="410"/>
      <c r="AU17" s="60"/>
      <c r="AV17" s="411"/>
      <c r="AW17" s="409"/>
      <c r="AX17" s="409"/>
      <c r="AY17" s="409"/>
      <c r="AZ17" s="409"/>
      <c r="BA17" s="409"/>
      <c r="BB17" s="409"/>
      <c r="BC17" s="410"/>
      <c r="BD17" s="60"/>
      <c r="BE17" s="411"/>
      <c r="BF17" s="409"/>
      <c r="BG17" s="409"/>
      <c r="BH17" s="409"/>
      <c r="BI17" s="409"/>
      <c r="BJ17" s="409"/>
      <c r="BK17" s="409"/>
      <c r="BL17" s="410"/>
      <c r="BM17" s="60"/>
      <c r="BN17" s="411"/>
      <c r="BO17" s="409"/>
      <c r="BP17" s="409"/>
      <c r="BQ17" s="409"/>
      <c r="BR17" s="409"/>
      <c r="BS17" s="409"/>
      <c r="BT17" s="409"/>
      <c r="BU17" s="410"/>
      <c r="BV17" s="60"/>
      <c r="BW17" s="411"/>
      <c r="BX17" s="409"/>
      <c r="BY17" s="409"/>
      <c r="BZ17" s="409"/>
      <c r="CA17" s="409"/>
      <c r="CB17" s="409"/>
      <c r="CC17" s="409"/>
      <c r="CD17" s="410"/>
      <c r="CE17" s="60"/>
      <c r="CF17" s="411"/>
      <c r="CG17" s="409"/>
      <c r="CH17" s="409"/>
      <c r="CI17" s="409"/>
      <c r="CJ17" s="409"/>
      <c r="CK17" s="409"/>
      <c r="CL17" s="409"/>
      <c r="CM17" s="410"/>
      <c r="CN17" s="60"/>
      <c r="CO17" s="411"/>
      <c r="CP17" s="409"/>
      <c r="CQ17" s="409"/>
      <c r="CR17" s="409"/>
      <c r="CS17" s="409"/>
      <c r="CT17" s="409"/>
      <c r="CU17" s="409"/>
      <c r="CV17" s="410"/>
      <c r="CW17" s="60"/>
      <c r="CX17" s="411"/>
      <c r="CY17" s="409"/>
      <c r="CZ17" s="409"/>
      <c r="DA17" s="409"/>
      <c r="DB17" s="409"/>
      <c r="DC17" s="409"/>
      <c r="DD17" s="409"/>
      <c r="DE17" s="410"/>
      <c r="DF17" s="60"/>
      <c r="DG17" s="411"/>
      <c r="DH17" s="409"/>
      <c r="DI17" s="409"/>
      <c r="DJ17" s="409"/>
      <c r="DK17" s="409"/>
      <c r="DL17" s="409"/>
      <c r="DM17" s="409"/>
      <c r="DN17" s="410"/>
      <c r="DO17" s="60"/>
      <c r="DP17" s="411"/>
      <c r="DQ17" s="409"/>
      <c r="DR17" s="409"/>
      <c r="DS17" s="409"/>
      <c r="DT17" s="409"/>
      <c r="DU17" s="409"/>
      <c r="DV17" s="409"/>
      <c r="DW17" s="410"/>
      <c r="DX17" s="60"/>
      <c r="DY17" s="411"/>
      <c r="DZ17" s="409"/>
      <c r="EA17" s="409"/>
      <c r="EB17" s="409"/>
      <c r="EC17" s="409"/>
      <c r="ED17" s="409"/>
      <c r="EE17" s="409"/>
      <c r="EF17" s="410"/>
      <c r="EG17" s="60"/>
      <c r="EH17" s="411"/>
      <c r="EI17" s="409"/>
      <c r="EJ17" s="409"/>
      <c r="EK17" s="409"/>
      <c r="EL17" s="409"/>
      <c r="EM17" s="409"/>
      <c r="EN17" s="409"/>
      <c r="EO17" s="410"/>
      <c r="EP17" s="60"/>
      <c r="EQ17" s="411"/>
      <c r="ER17" s="409"/>
      <c r="ES17" s="409"/>
      <c r="ET17" s="409"/>
      <c r="EU17" s="409"/>
      <c r="EV17" s="409"/>
      <c r="EW17" s="409"/>
      <c r="EX17" s="410"/>
      <c r="EY17" s="60"/>
      <c r="EZ17" s="411"/>
      <c r="FA17" s="409"/>
      <c r="FB17" s="409"/>
      <c r="FC17" s="409"/>
      <c r="FD17" s="409"/>
      <c r="FE17" s="409"/>
      <c r="FF17" s="409"/>
      <c r="FG17" s="410"/>
      <c r="FH17" s="60"/>
      <c r="FI17" s="411"/>
      <c r="FJ17" s="409"/>
      <c r="FK17" s="409"/>
      <c r="FL17" s="409"/>
      <c r="FM17" s="409"/>
      <c r="FN17" s="409"/>
      <c r="FO17" s="409"/>
      <c r="FP17" s="410"/>
      <c r="FQ17" s="60"/>
      <c r="FR17" s="411"/>
      <c r="FS17" s="409"/>
      <c r="FT17" s="409"/>
      <c r="FU17" s="409"/>
      <c r="FV17" s="409"/>
      <c r="FW17" s="409"/>
      <c r="FX17" s="409"/>
      <c r="FY17" s="410"/>
      <c r="FZ17" s="60"/>
      <c r="GA17" s="411"/>
      <c r="GB17" s="409"/>
      <c r="GC17" s="409"/>
      <c r="GD17" s="409"/>
      <c r="GE17" s="409"/>
      <c r="GF17" s="409"/>
      <c r="GG17" s="409"/>
      <c r="GH17" s="410"/>
      <c r="GI17" s="60"/>
      <c r="GJ17" s="411"/>
      <c r="GK17" s="409"/>
      <c r="GL17" s="409"/>
      <c r="GM17" s="409"/>
      <c r="GN17" s="409"/>
      <c r="GO17" s="409"/>
      <c r="GP17" s="409"/>
      <c r="GQ17" s="410"/>
      <c r="GR17" s="60"/>
      <c r="GS17" s="411"/>
      <c r="GT17" s="409"/>
      <c r="GU17" s="409"/>
      <c r="GV17" s="409"/>
      <c r="GW17" s="409"/>
      <c r="GX17" s="409"/>
      <c r="GY17" s="409"/>
      <c r="GZ17" s="410"/>
      <c r="HA17" s="60"/>
      <c r="HB17" s="411"/>
      <c r="HC17" s="409"/>
      <c r="HD17" s="409"/>
      <c r="HE17" s="409"/>
      <c r="HF17" s="409"/>
      <c r="HG17" s="409"/>
      <c r="HH17" s="409"/>
      <c r="HI17" s="410"/>
      <c r="HJ17" s="60"/>
      <c r="HK17" s="411"/>
      <c r="HL17" s="409"/>
      <c r="HM17" s="409"/>
      <c r="HN17" s="409"/>
      <c r="HO17" s="409"/>
      <c r="HP17" s="409"/>
      <c r="HQ17" s="409"/>
      <c r="HR17" s="410"/>
      <c r="HS17" s="60"/>
      <c r="HT17" s="411"/>
      <c r="HU17" s="409"/>
      <c r="HV17" s="409"/>
      <c r="HW17" s="409"/>
      <c r="HX17" s="409"/>
      <c r="HY17" s="409"/>
      <c r="HZ17" s="409"/>
      <c r="IA17" s="410"/>
      <c r="IB17" s="60"/>
      <c r="IC17" s="411"/>
      <c r="ID17" s="409"/>
      <c r="IE17" s="409"/>
      <c r="IF17" s="409"/>
      <c r="IG17" s="409"/>
      <c r="IH17" s="409"/>
      <c r="II17" s="409"/>
      <c r="IJ17" s="410"/>
      <c r="IK17" s="60"/>
      <c r="IL17" s="411"/>
      <c r="IM17" s="409"/>
      <c r="IN17" s="409"/>
      <c r="IO17" s="409"/>
      <c r="IP17" s="409"/>
      <c r="IQ17" s="409"/>
      <c r="IR17" s="409"/>
      <c r="IS17" s="410"/>
      <c r="IT17" s="60"/>
      <c r="IU17" s="411"/>
      <c r="IV17" s="409"/>
      <c r="IW17" s="409"/>
      <c r="IX17" s="409"/>
      <c r="IY17" s="409"/>
      <c r="IZ17" s="409"/>
      <c r="JA17" s="409"/>
      <c r="JB17" s="410"/>
      <c r="JC17" s="60"/>
      <c r="JD17" s="411"/>
      <c r="JE17" s="409"/>
      <c r="JF17" s="409"/>
      <c r="JG17" s="409"/>
      <c r="JH17" s="409"/>
      <c r="JI17" s="409"/>
      <c r="JJ17" s="409"/>
      <c r="JK17" s="410"/>
      <c r="JL17" s="60"/>
      <c r="JM17" s="411"/>
      <c r="JN17" s="409"/>
      <c r="JO17" s="409"/>
      <c r="JP17" s="409"/>
      <c r="JQ17" s="409"/>
      <c r="JR17" s="409"/>
      <c r="JS17" s="409"/>
      <c r="JT17" s="410"/>
      <c r="JU17" s="60"/>
      <c r="JV17" s="411"/>
      <c r="JW17" s="409"/>
      <c r="JX17" s="409"/>
      <c r="JY17" s="409"/>
      <c r="JZ17" s="409"/>
      <c r="KA17" s="409"/>
      <c r="KB17" s="409"/>
      <c r="KC17" s="410"/>
      <c r="KD17" s="60"/>
      <c r="KE17" s="411"/>
      <c r="KF17" s="409"/>
      <c r="KG17" s="409"/>
      <c r="KH17" s="409"/>
      <c r="KI17" s="409"/>
      <c r="KJ17" s="409"/>
      <c r="KK17" s="409"/>
      <c r="KL17" s="410"/>
      <c r="KM17" s="60"/>
      <c r="KN17" s="411"/>
      <c r="KO17" s="409"/>
      <c r="KP17" s="409"/>
      <c r="KQ17" s="409"/>
      <c r="KR17" s="409"/>
      <c r="KS17" s="409"/>
      <c r="KT17" s="409"/>
      <c r="KU17" s="410"/>
      <c r="KV17" s="60"/>
      <c r="KW17" s="411"/>
      <c r="KX17" s="409"/>
      <c r="KY17" s="409"/>
      <c r="KZ17" s="409"/>
      <c r="LA17" s="409"/>
      <c r="LB17" s="409"/>
      <c r="LC17" s="409"/>
      <c r="LD17" s="410"/>
      <c r="LE17" s="60"/>
      <c r="LF17" s="411"/>
      <c r="LG17" s="409"/>
      <c r="LH17" s="409"/>
      <c r="LI17" s="409"/>
      <c r="LJ17" s="409"/>
      <c r="LK17" s="409"/>
      <c r="LL17" s="409"/>
      <c r="LM17" s="410"/>
      <c r="LN17" s="60"/>
      <c r="LO17" s="411"/>
      <c r="LP17" s="409"/>
      <c r="LQ17" s="409"/>
      <c r="LR17" s="409"/>
      <c r="LS17" s="409"/>
      <c r="LT17" s="409"/>
      <c r="LU17" s="409"/>
      <c r="LV17" s="410"/>
      <c r="LW17" s="60"/>
      <c r="LX17" s="411"/>
      <c r="LY17" s="409"/>
      <c r="LZ17" s="409"/>
      <c r="MA17" s="409"/>
      <c r="MB17" s="409"/>
      <c r="MC17" s="409"/>
      <c r="MD17" s="409"/>
      <c r="ME17" s="410"/>
      <c r="MF17" s="60"/>
      <c r="MG17" s="411"/>
      <c r="MH17" s="409"/>
      <c r="MI17" s="409"/>
      <c r="MJ17" s="409"/>
      <c r="MK17" s="409"/>
      <c r="ML17" s="409"/>
      <c r="MM17" s="409"/>
      <c r="MN17" s="410"/>
      <c r="MO17" s="60"/>
      <c r="MP17" s="411"/>
      <c r="MQ17" s="409"/>
      <c r="MR17" s="409"/>
      <c r="MS17" s="409"/>
      <c r="MT17" s="409"/>
      <c r="MU17" s="409"/>
      <c r="MV17" s="409"/>
      <c r="MW17" s="410"/>
      <c r="MX17" s="60"/>
      <c r="MY17" s="411"/>
      <c r="MZ17" s="409"/>
      <c r="NA17" s="409"/>
      <c r="NB17" s="409"/>
      <c r="NC17" s="409"/>
      <c r="ND17" s="409"/>
      <c r="NE17" s="409"/>
      <c r="NF17" s="410"/>
      <c r="NG17" s="60"/>
      <c r="NH17" s="411"/>
      <c r="NI17" s="409"/>
      <c r="NJ17" s="409"/>
      <c r="NK17" s="409"/>
      <c r="NL17" s="409"/>
      <c r="NM17" s="409"/>
      <c r="NN17" s="409"/>
      <c r="NO17" s="410"/>
      <c r="NP17" s="60"/>
      <c r="NQ17" s="411"/>
      <c r="NR17" s="409"/>
      <c r="NS17" s="409"/>
      <c r="NT17" s="409"/>
      <c r="NU17" s="409"/>
      <c r="NV17" s="409"/>
      <c r="NW17" s="409"/>
      <c r="NX17" s="410"/>
      <c r="NY17" s="60"/>
      <c r="NZ17" s="411"/>
      <c r="OA17" s="409"/>
      <c r="OB17" s="409"/>
      <c r="OC17" s="409"/>
      <c r="OD17" s="409"/>
      <c r="OE17" s="409"/>
      <c r="OF17" s="409"/>
      <c r="OG17" s="410"/>
      <c r="OH17" s="60"/>
      <c r="OI17" s="411"/>
      <c r="OJ17" s="409"/>
      <c r="OK17" s="409"/>
      <c r="OL17" s="409"/>
      <c r="OM17" s="409"/>
      <c r="ON17" s="409"/>
      <c r="OO17" s="409"/>
      <c r="OP17" s="410"/>
      <c r="OQ17" s="60"/>
      <c r="OR17" s="411"/>
      <c r="OS17" s="409"/>
      <c r="OT17" s="409"/>
      <c r="OU17" s="409"/>
      <c r="OV17" s="409"/>
      <c r="OW17" s="409"/>
      <c r="OX17" s="409"/>
      <c r="OY17" s="410"/>
      <c r="OZ17" s="60"/>
      <c r="PA17" s="411"/>
      <c r="PB17" s="409"/>
      <c r="PC17" s="409"/>
      <c r="PD17" s="409"/>
      <c r="PE17" s="409"/>
      <c r="PF17" s="409"/>
      <c r="PG17" s="409"/>
      <c r="PH17" s="410"/>
      <c r="PI17" s="60"/>
      <c r="PJ17" s="411"/>
      <c r="PK17" s="409"/>
      <c r="PL17" s="409"/>
      <c r="PM17" s="409"/>
      <c r="PN17" s="409"/>
      <c r="PO17" s="409"/>
      <c r="PP17" s="409"/>
      <c r="PQ17" s="410"/>
      <c r="PR17" s="60"/>
      <c r="PS17" s="411"/>
      <c r="PT17" s="409"/>
      <c r="PU17" s="409"/>
      <c r="PV17" s="409"/>
      <c r="PW17" s="409"/>
      <c r="PX17" s="409"/>
      <c r="PY17" s="409"/>
      <c r="PZ17" s="410"/>
      <c r="QA17" s="60"/>
      <c r="QB17" s="411"/>
      <c r="QC17" s="409"/>
      <c r="QD17" s="409"/>
      <c r="QE17" s="409"/>
      <c r="QF17" s="409"/>
      <c r="QG17" s="409"/>
      <c r="QH17" s="409"/>
      <c r="QI17" s="410"/>
      <c r="QJ17" s="60"/>
      <c r="QK17" s="411"/>
      <c r="QL17" s="409"/>
      <c r="QM17" s="409"/>
      <c r="QN17" s="409"/>
      <c r="QO17" s="409"/>
      <c r="QP17" s="409"/>
      <c r="QQ17" s="409"/>
      <c r="QR17" s="410"/>
      <c r="QS17" s="60"/>
      <c r="QT17" s="411"/>
      <c r="QU17" s="409"/>
      <c r="QV17" s="409"/>
      <c r="QW17" s="409"/>
      <c r="QX17" s="409"/>
      <c r="QY17" s="409"/>
      <c r="QZ17" s="409"/>
      <c r="RA17" s="410"/>
      <c r="RB17" s="30"/>
      <c r="RC17" s="31"/>
    </row>
    <row r="18">
      <c r="A18" s="32"/>
      <c r="B18" s="71"/>
      <c r="C18" s="411"/>
      <c r="D18" s="409"/>
      <c r="E18" s="409"/>
      <c r="F18" s="409"/>
      <c r="G18" s="409"/>
      <c r="H18" s="409"/>
      <c r="I18" s="409"/>
      <c r="J18" s="410"/>
      <c r="K18" s="71"/>
      <c r="L18" s="411"/>
      <c r="M18" s="409"/>
      <c r="N18" s="409"/>
      <c r="O18" s="409"/>
      <c r="P18" s="409"/>
      <c r="Q18" s="409"/>
      <c r="R18" s="409"/>
      <c r="S18" s="410"/>
      <c r="T18" s="71"/>
      <c r="U18" s="411"/>
      <c r="V18" s="409"/>
      <c r="W18" s="409"/>
      <c r="X18" s="409"/>
      <c r="Y18" s="409"/>
      <c r="Z18" s="409"/>
      <c r="AA18" s="409"/>
      <c r="AB18" s="410"/>
      <c r="AC18" s="71"/>
      <c r="AD18" s="411"/>
      <c r="AE18" s="409"/>
      <c r="AF18" s="409"/>
      <c r="AG18" s="409"/>
      <c r="AH18" s="409"/>
      <c r="AI18" s="409"/>
      <c r="AJ18" s="409"/>
      <c r="AK18" s="410"/>
      <c r="AL18" s="71"/>
      <c r="AM18" s="411"/>
      <c r="AN18" s="409"/>
      <c r="AO18" s="409"/>
      <c r="AP18" s="409"/>
      <c r="AQ18" s="409"/>
      <c r="AR18" s="409"/>
      <c r="AS18" s="409"/>
      <c r="AT18" s="410"/>
      <c r="AU18" s="71"/>
      <c r="AV18" s="411"/>
      <c r="AW18" s="409"/>
      <c r="AX18" s="409"/>
      <c r="AY18" s="409"/>
      <c r="AZ18" s="409"/>
      <c r="BA18" s="409"/>
      <c r="BB18" s="409"/>
      <c r="BC18" s="410"/>
      <c r="BD18" s="71"/>
      <c r="BE18" s="411"/>
      <c r="BF18" s="409"/>
      <c r="BG18" s="409"/>
      <c r="BH18" s="409"/>
      <c r="BI18" s="409"/>
      <c r="BJ18" s="409"/>
      <c r="BK18" s="409"/>
      <c r="BL18" s="410"/>
      <c r="BM18" s="71"/>
      <c r="BN18" s="411"/>
      <c r="BO18" s="409"/>
      <c r="BP18" s="409"/>
      <c r="BQ18" s="409"/>
      <c r="BR18" s="409"/>
      <c r="BS18" s="409"/>
      <c r="BT18" s="409"/>
      <c r="BU18" s="410"/>
      <c r="BV18" s="71"/>
      <c r="BW18" s="411"/>
      <c r="BX18" s="409"/>
      <c r="BY18" s="409"/>
      <c r="BZ18" s="409"/>
      <c r="CA18" s="409"/>
      <c r="CB18" s="409"/>
      <c r="CC18" s="409"/>
      <c r="CD18" s="410"/>
      <c r="CE18" s="71"/>
      <c r="CF18" s="411"/>
      <c r="CG18" s="409"/>
      <c r="CH18" s="409"/>
      <c r="CI18" s="409"/>
      <c r="CJ18" s="409"/>
      <c r="CK18" s="409"/>
      <c r="CL18" s="409"/>
      <c r="CM18" s="410"/>
      <c r="CN18" s="71"/>
      <c r="CO18" s="411"/>
      <c r="CP18" s="409"/>
      <c r="CQ18" s="409"/>
      <c r="CR18" s="409"/>
      <c r="CS18" s="409"/>
      <c r="CT18" s="409"/>
      <c r="CU18" s="409"/>
      <c r="CV18" s="410"/>
      <c r="CW18" s="71"/>
      <c r="CX18" s="411"/>
      <c r="CY18" s="409"/>
      <c r="CZ18" s="409"/>
      <c r="DA18" s="409"/>
      <c r="DB18" s="409"/>
      <c r="DC18" s="409"/>
      <c r="DD18" s="409"/>
      <c r="DE18" s="410"/>
      <c r="DF18" s="71"/>
      <c r="DG18" s="411"/>
      <c r="DH18" s="409"/>
      <c r="DI18" s="409"/>
      <c r="DJ18" s="409"/>
      <c r="DK18" s="409"/>
      <c r="DL18" s="409"/>
      <c r="DM18" s="409"/>
      <c r="DN18" s="410"/>
      <c r="DO18" s="71"/>
      <c r="DP18" s="411"/>
      <c r="DQ18" s="409"/>
      <c r="DR18" s="409"/>
      <c r="DS18" s="409"/>
      <c r="DT18" s="409"/>
      <c r="DU18" s="409"/>
      <c r="DV18" s="409"/>
      <c r="DW18" s="410"/>
      <c r="DX18" s="71"/>
      <c r="DY18" s="411"/>
      <c r="DZ18" s="409"/>
      <c r="EA18" s="409"/>
      <c r="EB18" s="409"/>
      <c r="EC18" s="409"/>
      <c r="ED18" s="409"/>
      <c r="EE18" s="409"/>
      <c r="EF18" s="410"/>
      <c r="EG18" s="71"/>
      <c r="EH18" s="411"/>
      <c r="EI18" s="409"/>
      <c r="EJ18" s="409"/>
      <c r="EK18" s="409"/>
      <c r="EL18" s="409"/>
      <c r="EM18" s="409"/>
      <c r="EN18" s="409"/>
      <c r="EO18" s="410"/>
      <c r="EP18" s="71"/>
      <c r="EQ18" s="411"/>
      <c r="ER18" s="409"/>
      <c r="ES18" s="409"/>
      <c r="ET18" s="409"/>
      <c r="EU18" s="409"/>
      <c r="EV18" s="409"/>
      <c r="EW18" s="409"/>
      <c r="EX18" s="410"/>
      <c r="EY18" s="71"/>
      <c r="EZ18" s="411"/>
      <c r="FA18" s="409"/>
      <c r="FB18" s="409"/>
      <c r="FC18" s="409"/>
      <c r="FD18" s="409"/>
      <c r="FE18" s="409"/>
      <c r="FF18" s="409"/>
      <c r="FG18" s="410"/>
      <c r="FH18" s="71"/>
      <c r="FI18" s="411"/>
      <c r="FJ18" s="409"/>
      <c r="FK18" s="409"/>
      <c r="FL18" s="409"/>
      <c r="FM18" s="409"/>
      <c r="FN18" s="409"/>
      <c r="FO18" s="409"/>
      <c r="FP18" s="410"/>
      <c r="FQ18" s="71"/>
      <c r="FR18" s="411"/>
      <c r="FS18" s="409"/>
      <c r="FT18" s="409"/>
      <c r="FU18" s="409"/>
      <c r="FV18" s="409"/>
      <c r="FW18" s="409"/>
      <c r="FX18" s="409"/>
      <c r="FY18" s="410"/>
      <c r="FZ18" s="71"/>
      <c r="GA18" s="411"/>
      <c r="GB18" s="409"/>
      <c r="GC18" s="409"/>
      <c r="GD18" s="409"/>
      <c r="GE18" s="409"/>
      <c r="GF18" s="409"/>
      <c r="GG18" s="409"/>
      <c r="GH18" s="410"/>
      <c r="GI18" s="71"/>
      <c r="GJ18" s="411"/>
      <c r="GK18" s="409"/>
      <c r="GL18" s="409"/>
      <c r="GM18" s="409"/>
      <c r="GN18" s="409"/>
      <c r="GO18" s="409"/>
      <c r="GP18" s="409"/>
      <c r="GQ18" s="410"/>
      <c r="GR18" s="71"/>
      <c r="GS18" s="411"/>
      <c r="GT18" s="409"/>
      <c r="GU18" s="409"/>
      <c r="GV18" s="409"/>
      <c r="GW18" s="409"/>
      <c r="GX18" s="409"/>
      <c r="GY18" s="409"/>
      <c r="GZ18" s="410"/>
      <c r="HA18" s="71"/>
      <c r="HB18" s="411"/>
      <c r="HC18" s="409"/>
      <c r="HD18" s="409"/>
      <c r="HE18" s="409"/>
      <c r="HF18" s="409"/>
      <c r="HG18" s="409"/>
      <c r="HH18" s="409"/>
      <c r="HI18" s="410"/>
      <c r="HJ18" s="71"/>
      <c r="HK18" s="411"/>
      <c r="HL18" s="409"/>
      <c r="HM18" s="409"/>
      <c r="HN18" s="409"/>
      <c r="HO18" s="409"/>
      <c r="HP18" s="409"/>
      <c r="HQ18" s="409"/>
      <c r="HR18" s="410"/>
      <c r="HS18" s="71"/>
      <c r="HT18" s="411"/>
      <c r="HU18" s="409"/>
      <c r="HV18" s="409"/>
      <c r="HW18" s="409"/>
      <c r="HX18" s="409"/>
      <c r="HY18" s="409"/>
      <c r="HZ18" s="409"/>
      <c r="IA18" s="410"/>
      <c r="IB18" s="71"/>
      <c r="IC18" s="411"/>
      <c r="ID18" s="409"/>
      <c r="IE18" s="409"/>
      <c r="IF18" s="409"/>
      <c r="IG18" s="409"/>
      <c r="IH18" s="409"/>
      <c r="II18" s="409"/>
      <c r="IJ18" s="410"/>
      <c r="IK18" s="71"/>
      <c r="IL18" s="411"/>
      <c r="IM18" s="409"/>
      <c r="IN18" s="409"/>
      <c r="IO18" s="409"/>
      <c r="IP18" s="409"/>
      <c r="IQ18" s="409"/>
      <c r="IR18" s="409"/>
      <c r="IS18" s="410"/>
      <c r="IT18" s="71"/>
      <c r="IU18" s="411"/>
      <c r="IV18" s="409"/>
      <c r="IW18" s="409"/>
      <c r="IX18" s="409"/>
      <c r="IY18" s="409"/>
      <c r="IZ18" s="409"/>
      <c r="JA18" s="409"/>
      <c r="JB18" s="410"/>
      <c r="JC18" s="71"/>
      <c r="JD18" s="411"/>
      <c r="JE18" s="409"/>
      <c r="JF18" s="409"/>
      <c r="JG18" s="409"/>
      <c r="JH18" s="409"/>
      <c r="JI18" s="409"/>
      <c r="JJ18" s="409"/>
      <c r="JK18" s="410"/>
      <c r="JL18" s="71"/>
      <c r="JM18" s="411"/>
      <c r="JN18" s="409"/>
      <c r="JO18" s="409"/>
      <c r="JP18" s="409"/>
      <c r="JQ18" s="409"/>
      <c r="JR18" s="409"/>
      <c r="JS18" s="409"/>
      <c r="JT18" s="410"/>
      <c r="JU18" s="71"/>
      <c r="JV18" s="411"/>
      <c r="JW18" s="409"/>
      <c r="JX18" s="409"/>
      <c r="JY18" s="409"/>
      <c r="JZ18" s="409"/>
      <c r="KA18" s="409"/>
      <c r="KB18" s="409"/>
      <c r="KC18" s="410"/>
      <c r="KD18" s="71"/>
      <c r="KE18" s="411"/>
      <c r="KF18" s="409"/>
      <c r="KG18" s="409"/>
      <c r="KH18" s="409"/>
      <c r="KI18" s="409"/>
      <c r="KJ18" s="409"/>
      <c r="KK18" s="409"/>
      <c r="KL18" s="410"/>
      <c r="KM18" s="71"/>
      <c r="KN18" s="411"/>
      <c r="KO18" s="409"/>
      <c r="KP18" s="409"/>
      <c r="KQ18" s="409"/>
      <c r="KR18" s="409"/>
      <c r="KS18" s="409"/>
      <c r="KT18" s="409"/>
      <c r="KU18" s="410"/>
      <c r="KV18" s="71"/>
      <c r="KW18" s="411"/>
      <c r="KX18" s="409"/>
      <c r="KY18" s="409"/>
      <c r="KZ18" s="409"/>
      <c r="LA18" s="409"/>
      <c r="LB18" s="409"/>
      <c r="LC18" s="409"/>
      <c r="LD18" s="410"/>
      <c r="LE18" s="71"/>
      <c r="LF18" s="411"/>
      <c r="LG18" s="409"/>
      <c r="LH18" s="409"/>
      <c r="LI18" s="409"/>
      <c r="LJ18" s="409"/>
      <c r="LK18" s="409"/>
      <c r="LL18" s="409"/>
      <c r="LM18" s="410"/>
      <c r="LN18" s="71"/>
      <c r="LO18" s="411"/>
      <c r="LP18" s="409"/>
      <c r="LQ18" s="409"/>
      <c r="LR18" s="409"/>
      <c r="LS18" s="409"/>
      <c r="LT18" s="409"/>
      <c r="LU18" s="409"/>
      <c r="LV18" s="410"/>
      <c r="LW18" s="71"/>
      <c r="LX18" s="411"/>
      <c r="LY18" s="409"/>
      <c r="LZ18" s="409"/>
      <c r="MA18" s="409"/>
      <c r="MB18" s="409"/>
      <c r="MC18" s="409"/>
      <c r="MD18" s="409"/>
      <c r="ME18" s="410"/>
      <c r="MF18" s="71"/>
      <c r="MG18" s="411"/>
      <c r="MH18" s="409"/>
      <c r="MI18" s="409"/>
      <c r="MJ18" s="409"/>
      <c r="MK18" s="409"/>
      <c r="ML18" s="409"/>
      <c r="MM18" s="409"/>
      <c r="MN18" s="410"/>
      <c r="MO18" s="71"/>
      <c r="MP18" s="411"/>
      <c r="MQ18" s="409"/>
      <c r="MR18" s="409"/>
      <c r="MS18" s="409"/>
      <c r="MT18" s="409"/>
      <c r="MU18" s="409"/>
      <c r="MV18" s="409"/>
      <c r="MW18" s="410"/>
      <c r="MX18" s="71"/>
      <c r="MY18" s="411"/>
      <c r="MZ18" s="409"/>
      <c r="NA18" s="409"/>
      <c r="NB18" s="409"/>
      <c r="NC18" s="409"/>
      <c r="ND18" s="409"/>
      <c r="NE18" s="409"/>
      <c r="NF18" s="410"/>
      <c r="NG18" s="71"/>
      <c r="NH18" s="411"/>
      <c r="NI18" s="409"/>
      <c r="NJ18" s="409"/>
      <c r="NK18" s="409"/>
      <c r="NL18" s="409"/>
      <c r="NM18" s="409"/>
      <c r="NN18" s="409"/>
      <c r="NO18" s="410"/>
      <c r="NP18" s="71"/>
      <c r="NQ18" s="411"/>
      <c r="NR18" s="409"/>
      <c r="NS18" s="409"/>
      <c r="NT18" s="409"/>
      <c r="NU18" s="409"/>
      <c r="NV18" s="409"/>
      <c r="NW18" s="409"/>
      <c r="NX18" s="410"/>
      <c r="NY18" s="71"/>
      <c r="NZ18" s="411"/>
      <c r="OA18" s="409"/>
      <c r="OB18" s="409"/>
      <c r="OC18" s="409"/>
      <c r="OD18" s="409"/>
      <c r="OE18" s="409"/>
      <c r="OF18" s="409"/>
      <c r="OG18" s="410"/>
      <c r="OH18" s="71"/>
      <c r="OI18" s="411"/>
      <c r="OJ18" s="409"/>
      <c r="OK18" s="409"/>
      <c r="OL18" s="409"/>
      <c r="OM18" s="409"/>
      <c r="ON18" s="409"/>
      <c r="OO18" s="409"/>
      <c r="OP18" s="410"/>
      <c r="OQ18" s="71"/>
      <c r="OR18" s="411"/>
      <c r="OS18" s="409"/>
      <c r="OT18" s="409"/>
      <c r="OU18" s="409"/>
      <c r="OV18" s="409"/>
      <c r="OW18" s="409"/>
      <c r="OX18" s="409"/>
      <c r="OY18" s="410"/>
      <c r="OZ18" s="71"/>
      <c r="PA18" s="411"/>
      <c r="PB18" s="409"/>
      <c r="PC18" s="409"/>
      <c r="PD18" s="409"/>
      <c r="PE18" s="409"/>
      <c r="PF18" s="409"/>
      <c r="PG18" s="409"/>
      <c r="PH18" s="410"/>
      <c r="PI18" s="71"/>
      <c r="PJ18" s="411"/>
      <c r="PK18" s="409"/>
      <c r="PL18" s="409"/>
      <c r="PM18" s="409"/>
      <c r="PN18" s="409"/>
      <c r="PO18" s="409"/>
      <c r="PP18" s="409"/>
      <c r="PQ18" s="410"/>
      <c r="PR18" s="71"/>
      <c r="PS18" s="411"/>
      <c r="PT18" s="409"/>
      <c r="PU18" s="409"/>
      <c r="PV18" s="409"/>
      <c r="PW18" s="409"/>
      <c r="PX18" s="409"/>
      <c r="PY18" s="409"/>
      <c r="PZ18" s="410"/>
      <c r="QA18" s="71"/>
      <c r="QB18" s="411"/>
      <c r="QC18" s="409"/>
      <c r="QD18" s="409"/>
      <c r="QE18" s="409"/>
      <c r="QF18" s="409"/>
      <c r="QG18" s="409"/>
      <c r="QH18" s="409"/>
      <c r="QI18" s="410"/>
      <c r="QJ18" s="71"/>
      <c r="QK18" s="411"/>
      <c r="QL18" s="409"/>
      <c r="QM18" s="409"/>
      <c r="QN18" s="409"/>
      <c r="QO18" s="409"/>
      <c r="QP18" s="409"/>
      <c r="QQ18" s="409"/>
      <c r="QR18" s="410"/>
      <c r="QS18" s="71"/>
      <c r="QT18" s="411"/>
      <c r="QU18" s="409"/>
      <c r="QV18" s="409"/>
      <c r="QW18" s="409"/>
      <c r="QX18" s="409"/>
      <c r="QY18" s="409"/>
      <c r="QZ18" s="409"/>
      <c r="RA18" s="410"/>
      <c r="RB18" s="30"/>
      <c r="RC18" s="31"/>
    </row>
    <row r="19">
      <c r="A19" s="402"/>
      <c r="B19" s="403"/>
      <c r="C19" s="404"/>
      <c r="D19" s="404"/>
      <c r="E19" s="404"/>
      <c r="F19" s="404"/>
      <c r="G19" s="405"/>
      <c r="H19" s="405"/>
      <c r="I19" s="405"/>
      <c r="J19" s="405"/>
      <c r="K19" s="403"/>
      <c r="L19" s="404"/>
      <c r="M19" s="404"/>
      <c r="N19" s="404"/>
      <c r="O19" s="404"/>
      <c r="P19" s="405"/>
      <c r="Q19" s="405"/>
      <c r="R19" s="405"/>
      <c r="S19" s="405"/>
      <c r="T19" s="403"/>
      <c r="U19" s="404"/>
      <c r="V19" s="404"/>
      <c r="W19" s="404"/>
      <c r="X19" s="404"/>
      <c r="Y19" s="405"/>
      <c r="Z19" s="405"/>
      <c r="AA19" s="405"/>
      <c r="AB19" s="405"/>
      <c r="AC19" s="403"/>
      <c r="AD19" s="404"/>
      <c r="AE19" s="404"/>
      <c r="AF19" s="404"/>
      <c r="AG19" s="404"/>
      <c r="AH19" s="405"/>
      <c r="AI19" s="405"/>
      <c r="AJ19" s="405"/>
      <c r="AK19" s="405"/>
      <c r="AL19" s="403"/>
      <c r="AM19" s="404"/>
      <c r="AN19" s="404"/>
      <c r="AO19" s="404"/>
      <c r="AP19" s="404"/>
      <c r="AQ19" s="405"/>
      <c r="AR19" s="405"/>
      <c r="AS19" s="405"/>
      <c r="AT19" s="405"/>
      <c r="AU19" s="403"/>
      <c r="AV19" s="404"/>
      <c r="AW19" s="404"/>
      <c r="AX19" s="404"/>
      <c r="AY19" s="404"/>
      <c r="AZ19" s="405"/>
      <c r="BA19" s="405"/>
      <c r="BB19" s="405"/>
      <c r="BC19" s="405"/>
      <c r="BD19" s="403"/>
      <c r="BE19" s="404"/>
      <c r="BF19" s="404"/>
      <c r="BG19" s="404"/>
      <c r="BH19" s="404"/>
      <c r="BI19" s="405"/>
      <c r="BJ19" s="405"/>
      <c r="BK19" s="405"/>
      <c r="BL19" s="405"/>
      <c r="BM19" s="403"/>
      <c r="BN19" s="404"/>
      <c r="BO19" s="404"/>
      <c r="BP19" s="404"/>
      <c r="BQ19" s="404"/>
      <c r="BR19" s="405"/>
      <c r="BS19" s="405"/>
      <c r="BT19" s="405"/>
      <c r="BU19" s="405"/>
      <c r="BV19" s="403"/>
      <c r="BW19" s="404"/>
      <c r="BX19" s="404"/>
      <c r="BY19" s="404"/>
      <c r="BZ19" s="404"/>
      <c r="CA19" s="405"/>
      <c r="CB19" s="405"/>
      <c r="CC19" s="405"/>
      <c r="CD19" s="405"/>
      <c r="CE19" s="403"/>
      <c r="CF19" s="404"/>
      <c r="CG19" s="404"/>
      <c r="CH19" s="404"/>
      <c r="CI19" s="404"/>
      <c r="CJ19" s="405"/>
      <c r="CK19" s="405"/>
      <c r="CL19" s="405"/>
      <c r="CM19" s="405"/>
      <c r="CN19" s="403"/>
      <c r="CO19" s="404"/>
      <c r="CP19" s="404"/>
      <c r="CQ19" s="404"/>
      <c r="CR19" s="404"/>
      <c r="CS19" s="405"/>
      <c r="CT19" s="405"/>
      <c r="CU19" s="405"/>
      <c r="CV19" s="405"/>
      <c r="CW19" s="403"/>
      <c r="CX19" s="404"/>
      <c r="CY19" s="404"/>
      <c r="CZ19" s="404"/>
      <c r="DA19" s="404"/>
      <c r="DB19" s="405"/>
      <c r="DC19" s="405"/>
      <c r="DD19" s="405"/>
      <c r="DE19" s="405"/>
      <c r="DF19" s="403"/>
      <c r="DG19" s="404"/>
      <c r="DH19" s="404"/>
      <c r="DI19" s="404"/>
      <c r="DJ19" s="404"/>
      <c r="DK19" s="405"/>
      <c r="DL19" s="405"/>
      <c r="DM19" s="405"/>
      <c r="DN19" s="405"/>
      <c r="DO19" s="403"/>
      <c r="DP19" s="404"/>
      <c r="DQ19" s="404"/>
      <c r="DR19" s="404"/>
      <c r="DS19" s="404"/>
      <c r="DT19" s="405"/>
      <c r="DU19" s="405"/>
      <c r="DV19" s="405"/>
      <c r="DW19" s="405"/>
      <c r="DX19" s="403"/>
      <c r="DY19" s="404"/>
      <c r="DZ19" s="404"/>
      <c r="EA19" s="404"/>
      <c r="EB19" s="404"/>
      <c r="EC19" s="405"/>
      <c r="ED19" s="405"/>
      <c r="EE19" s="405"/>
      <c r="EF19" s="405"/>
      <c r="EG19" s="403"/>
      <c r="EH19" s="404"/>
      <c r="EI19" s="404"/>
      <c r="EJ19" s="404"/>
      <c r="EK19" s="404"/>
      <c r="EL19" s="405"/>
      <c r="EM19" s="405"/>
      <c r="EN19" s="405"/>
      <c r="EO19" s="405"/>
      <c r="EP19" s="403"/>
      <c r="EQ19" s="404"/>
      <c r="ER19" s="404"/>
      <c r="ES19" s="404"/>
      <c r="ET19" s="404"/>
      <c r="EU19" s="405"/>
      <c r="EV19" s="405"/>
      <c r="EW19" s="405"/>
      <c r="EX19" s="405"/>
      <c r="EY19" s="403"/>
      <c r="EZ19" s="404"/>
      <c r="FA19" s="404"/>
      <c r="FB19" s="404"/>
      <c r="FC19" s="404"/>
      <c r="FD19" s="405"/>
      <c r="FE19" s="405"/>
      <c r="FF19" s="405"/>
      <c r="FG19" s="405"/>
      <c r="FH19" s="403"/>
      <c r="FI19" s="404"/>
      <c r="FJ19" s="404"/>
      <c r="FK19" s="404"/>
      <c r="FL19" s="404"/>
      <c r="FM19" s="405"/>
      <c r="FN19" s="405"/>
      <c r="FO19" s="405"/>
      <c r="FP19" s="405"/>
      <c r="FQ19" s="403"/>
      <c r="FR19" s="404"/>
      <c r="FS19" s="404"/>
      <c r="FT19" s="404"/>
      <c r="FU19" s="404"/>
      <c r="FV19" s="405"/>
      <c r="FW19" s="405"/>
      <c r="FX19" s="405"/>
      <c r="FY19" s="405"/>
      <c r="FZ19" s="403"/>
      <c r="GA19" s="404"/>
      <c r="GB19" s="404"/>
      <c r="GC19" s="404"/>
      <c r="GD19" s="404"/>
      <c r="GE19" s="405"/>
      <c r="GF19" s="405"/>
      <c r="GG19" s="405"/>
      <c r="GH19" s="405"/>
      <c r="GI19" s="403"/>
      <c r="GJ19" s="404"/>
      <c r="GK19" s="404"/>
      <c r="GL19" s="404"/>
      <c r="GM19" s="404"/>
      <c r="GN19" s="405"/>
      <c r="GO19" s="405"/>
      <c r="GP19" s="405"/>
      <c r="GQ19" s="405"/>
      <c r="GR19" s="403"/>
      <c r="GS19" s="404"/>
      <c r="GT19" s="404"/>
      <c r="GU19" s="404"/>
      <c r="GV19" s="404"/>
      <c r="GW19" s="405"/>
      <c r="GX19" s="405"/>
      <c r="GY19" s="405"/>
      <c r="GZ19" s="405"/>
      <c r="HA19" s="403"/>
      <c r="HB19" s="404"/>
      <c r="HC19" s="404"/>
      <c r="HD19" s="404"/>
      <c r="HE19" s="404"/>
      <c r="HF19" s="405"/>
      <c r="HG19" s="405"/>
      <c r="HH19" s="405"/>
      <c r="HI19" s="405"/>
      <c r="HJ19" s="403"/>
      <c r="HK19" s="404"/>
      <c r="HL19" s="404"/>
      <c r="HM19" s="404"/>
      <c r="HN19" s="404"/>
      <c r="HO19" s="405"/>
      <c r="HP19" s="405"/>
      <c r="HQ19" s="405"/>
      <c r="HR19" s="405"/>
      <c r="HS19" s="403"/>
      <c r="HT19" s="404"/>
      <c r="HU19" s="404"/>
      <c r="HV19" s="404"/>
      <c r="HW19" s="404"/>
      <c r="HX19" s="405"/>
      <c r="HY19" s="405"/>
      <c r="HZ19" s="405"/>
      <c r="IA19" s="405"/>
      <c r="IB19" s="403"/>
      <c r="IC19" s="404"/>
      <c r="ID19" s="404"/>
      <c r="IE19" s="404"/>
      <c r="IF19" s="404"/>
      <c r="IG19" s="405"/>
      <c r="IH19" s="405"/>
      <c r="II19" s="405"/>
      <c r="IJ19" s="405"/>
      <c r="IK19" s="403"/>
      <c r="IL19" s="404"/>
      <c r="IM19" s="404"/>
      <c r="IN19" s="404"/>
      <c r="IO19" s="404"/>
      <c r="IP19" s="405"/>
      <c r="IQ19" s="405"/>
      <c r="IR19" s="405"/>
      <c r="IS19" s="405"/>
      <c r="IT19" s="403"/>
      <c r="IU19" s="404"/>
      <c r="IV19" s="404"/>
      <c r="IW19" s="404"/>
      <c r="IX19" s="404"/>
      <c r="IY19" s="405"/>
      <c r="IZ19" s="405"/>
      <c r="JA19" s="405"/>
      <c r="JB19" s="405"/>
      <c r="JC19" s="403"/>
      <c r="JD19" s="404"/>
      <c r="JE19" s="404"/>
      <c r="JF19" s="404"/>
      <c r="JG19" s="404"/>
      <c r="JH19" s="405"/>
      <c r="JI19" s="405"/>
      <c r="JJ19" s="405"/>
      <c r="JK19" s="405"/>
      <c r="JL19" s="403"/>
      <c r="JM19" s="404"/>
      <c r="JN19" s="404"/>
      <c r="JO19" s="404"/>
      <c r="JP19" s="404"/>
      <c r="JQ19" s="405"/>
      <c r="JR19" s="405"/>
      <c r="JS19" s="405"/>
      <c r="JT19" s="405"/>
      <c r="JU19" s="403"/>
      <c r="JV19" s="404"/>
      <c r="JW19" s="404"/>
      <c r="JX19" s="404"/>
      <c r="JY19" s="404"/>
      <c r="JZ19" s="405"/>
      <c r="KA19" s="405"/>
      <c r="KB19" s="405"/>
      <c r="KC19" s="405"/>
      <c r="KD19" s="403"/>
      <c r="KE19" s="404"/>
      <c r="KF19" s="404"/>
      <c r="KG19" s="404"/>
      <c r="KH19" s="404"/>
      <c r="KI19" s="405"/>
      <c r="KJ19" s="405"/>
      <c r="KK19" s="405"/>
      <c r="KL19" s="405"/>
      <c r="KM19" s="403"/>
      <c r="KN19" s="404"/>
      <c r="KO19" s="404"/>
      <c r="KP19" s="404"/>
      <c r="KQ19" s="404"/>
      <c r="KR19" s="405"/>
      <c r="KS19" s="405"/>
      <c r="KT19" s="405"/>
      <c r="KU19" s="405"/>
      <c r="KV19" s="403"/>
      <c r="KW19" s="404"/>
      <c r="KX19" s="404"/>
      <c r="KY19" s="404"/>
      <c r="KZ19" s="404"/>
      <c r="LA19" s="405"/>
      <c r="LB19" s="405"/>
      <c r="LC19" s="405"/>
      <c r="LD19" s="405"/>
      <c r="LE19" s="403"/>
      <c r="LF19" s="404"/>
      <c r="LG19" s="404"/>
      <c r="LH19" s="404"/>
      <c r="LI19" s="404"/>
      <c r="LJ19" s="405"/>
      <c r="LK19" s="405"/>
      <c r="LL19" s="405"/>
      <c r="LM19" s="405"/>
      <c r="LN19" s="403"/>
      <c r="LO19" s="404"/>
      <c r="LP19" s="404"/>
      <c r="LQ19" s="404"/>
      <c r="LR19" s="404"/>
      <c r="LS19" s="405"/>
      <c r="LT19" s="405"/>
      <c r="LU19" s="405"/>
      <c r="LV19" s="405"/>
      <c r="LW19" s="403"/>
      <c r="LX19" s="404"/>
      <c r="LY19" s="404"/>
      <c r="LZ19" s="404"/>
      <c r="MA19" s="404"/>
      <c r="MB19" s="405"/>
      <c r="MC19" s="405"/>
      <c r="MD19" s="405"/>
      <c r="ME19" s="405"/>
      <c r="MF19" s="403"/>
      <c r="MG19" s="404"/>
      <c r="MH19" s="404"/>
      <c r="MI19" s="404"/>
      <c r="MJ19" s="404"/>
      <c r="MK19" s="405"/>
      <c r="ML19" s="405"/>
      <c r="MM19" s="405"/>
      <c r="MN19" s="405"/>
      <c r="MO19" s="403"/>
      <c r="MP19" s="404"/>
      <c r="MQ19" s="404"/>
      <c r="MR19" s="404"/>
      <c r="MS19" s="404"/>
      <c r="MT19" s="405"/>
      <c r="MU19" s="405"/>
      <c r="MV19" s="405"/>
      <c r="MW19" s="405"/>
      <c r="MX19" s="403"/>
      <c r="MY19" s="404"/>
      <c r="MZ19" s="404"/>
      <c r="NA19" s="404"/>
      <c r="NB19" s="404"/>
      <c r="NC19" s="405"/>
      <c r="ND19" s="405"/>
      <c r="NE19" s="405"/>
      <c r="NF19" s="405"/>
      <c r="NG19" s="403"/>
      <c r="NH19" s="404"/>
      <c r="NI19" s="404"/>
      <c r="NJ19" s="404"/>
      <c r="NK19" s="404"/>
      <c r="NL19" s="405"/>
      <c r="NM19" s="405"/>
      <c r="NN19" s="405"/>
      <c r="NO19" s="405"/>
      <c r="NP19" s="403"/>
      <c r="NQ19" s="404"/>
      <c r="NR19" s="404"/>
      <c r="NS19" s="404"/>
      <c r="NT19" s="404"/>
      <c r="NU19" s="405"/>
      <c r="NV19" s="405"/>
      <c r="NW19" s="405"/>
      <c r="NX19" s="405"/>
      <c r="NY19" s="403"/>
      <c r="NZ19" s="404"/>
      <c r="OA19" s="404"/>
      <c r="OB19" s="404"/>
      <c r="OC19" s="404"/>
      <c r="OD19" s="405"/>
      <c r="OE19" s="405"/>
      <c r="OF19" s="405"/>
      <c r="OG19" s="405"/>
      <c r="OH19" s="403"/>
      <c r="OI19" s="404"/>
      <c r="OJ19" s="404"/>
      <c r="OK19" s="404"/>
      <c r="OL19" s="404"/>
      <c r="OM19" s="405"/>
      <c r="ON19" s="405"/>
      <c r="OO19" s="405"/>
      <c r="OP19" s="405"/>
      <c r="OQ19" s="403"/>
      <c r="OR19" s="404"/>
      <c r="OS19" s="404"/>
      <c r="OT19" s="404"/>
      <c r="OU19" s="404"/>
      <c r="OV19" s="405"/>
      <c r="OW19" s="405"/>
      <c r="OX19" s="405"/>
      <c r="OY19" s="405"/>
      <c r="OZ19" s="403"/>
      <c r="PA19" s="404"/>
      <c r="PB19" s="404"/>
      <c r="PC19" s="404"/>
      <c r="PD19" s="404"/>
      <c r="PE19" s="405"/>
      <c r="PF19" s="405"/>
      <c r="PG19" s="405"/>
      <c r="PH19" s="405"/>
      <c r="PI19" s="403"/>
      <c r="PJ19" s="404"/>
      <c r="PK19" s="404"/>
      <c r="PL19" s="404"/>
      <c r="PM19" s="404"/>
      <c r="PN19" s="405"/>
      <c r="PO19" s="405"/>
      <c r="PP19" s="405"/>
      <c r="PQ19" s="405"/>
      <c r="PR19" s="403"/>
      <c r="PS19" s="404"/>
      <c r="PT19" s="404"/>
      <c r="PU19" s="404"/>
      <c r="PV19" s="404"/>
      <c r="PW19" s="405"/>
      <c r="PX19" s="405"/>
      <c r="PY19" s="405"/>
      <c r="PZ19" s="405"/>
      <c r="QA19" s="403"/>
      <c r="QB19" s="404"/>
      <c r="QC19" s="404"/>
      <c r="QD19" s="404"/>
      <c r="QE19" s="404"/>
      <c r="QF19" s="405"/>
      <c r="QG19" s="405"/>
      <c r="QH19" s="405"/>
      <c r="QI19" s="405"/>
      <c r="QJ19" s="403"/>
      <c r="QK19" s="404"/>
      <c r="QL19" s="404"/>
      <c r="QM19" s="404"/>
      <c r="QN19" s="404"/>
      <c r="QO19" s="405"/>
      <c r="QP19" s="405"/>
      <c r="QQ19" s="405"/>
      <c r="QR19" s="405"/>
      <c r="QS19" s="403"/>
      <c r="QT19" s="404"/>
      <c r="QU19" s="404"/>
      <c r="QV19" s="404"/>
      <c r="QW19" s="404"/>
      <c r="QX19" s="405"/>
      <c r="QY19" s="405"/>
      <c r="QZ19" s="405"/>
      <c r="RA19" s="405"/>
      <c r="RB19" s="12"/>
      <c r="RC19" s="406"/>
    </row>
    <row r="20" ht="3.75" customHeight="1">
      <c r="A20" s="12"/>
      <c r="B20" s="412"/>
      <c r="C20" s="12"/>
      <c r="D20" s="12"/>
      <c r="E20" s="12"/>
      <c r="F20" s="12"/>
      <c r="G20" s="12"/>
      <c r="H20" s="12"/>
      <c r="I20" s="12"/>
      <c r="J20" s="12"/>
      <c r="K20" s="412"/>
      <c r="L20" s="12"/>
      <c r="M20" s="12"/>
      <c r="N20" s="12"/>
      <c r="O20" s="12"/>
      <c r="P20" s="12"/>
      <c r="Q20" s="12"/>
      <c r="R20" s="12"/>
      <c r="S20" s="12"/>
      <c r="T20" s="412"/>
      <c r="U20" s="12"/>
      <c r="V20" s="12"/>
      <c r="W20" s="12"/>
      <c r="X20" s="12"/>
      <c r="Y20" s="12"/>
      <c r="Z20" s="12"/>
      <c r="AA20" s="12"/>
      <c r="AB20" s="12"/>
      <c r="AC20" s="412"/>
      <c r="AD20" s="12"/>
      <c r="AE20" s="12"/>
      <c r="AF20" s="12"/>
      <c r="AG20" s="12"/>
      <c r="AH20" s="12"/>
      <c r="AI20" s="12"/>
      <c r="AJ20" s="12"/>
      <c r="AK20" s="12"/>
      <c r="AL20" s="412"/>
      <c r="AM20" s="12"/>
      <c r="AN20" s="12"/>
      <c r="AO20" s="12"/>
      <c r="AP20" s="12"/>
      <c r="AQ20" s="12"/>
      <c r="AR20" s="12"/>
      <c r="AS20" s="12"/>
      <c r="AT20" s="12"/>
      <c r="AU20" s="412"/>
      <c r="AV20" s="12"/>
      <c r="AW20" s="12"/>
      <c r="AX20" s="12"/>
      <c r="AY20" s="12"/>
      <c r="AZ20" s="12"/>
      <c r="BA20" s="12"/>
      <c r="BB20" s="12"/>
      <c r="BC20" s="12"/>
      <c r="BD20" s="412"/>
      <c r="BE20" s="12"/>
      <c r="BF20" s="12"/>
      <c r="BG20" s="12"/>
      <c r="BH20" s="12"/>
      <c r="BI20" s="12"/>
      <c r="BJ20" s="12"/>
      <c r="BK20" s="12"/>
      <c r="BL20" s="12"/>
      <c r="BM20" s="412"/>
      <c r="BN20" s="12"/>
      <c r="BO20" s="12"/>
      <c r="BP20" s="12"/>
      <c r="BQ20" s="12"/>
      <c r="BR20" s="12"/>
      <c r="BS20" s="12"/>
      <c r="BT20" s="12"/>
      <c r="BU20" s="12"/>
      <c r="BV20" s="412"/>
      <c r="BW20" s="12"/>
      <c r="BX20" s="12"/>
      <c r="BY20" s="12"/>
      <c r="BZ20" s="12"/>
      <c r="CA20" s="12"/>
      <c r="CB20" s="12"/>
      <c r="CC20" s="12"/>
      <c r="CD20" s="12"/>
      <c r="CE20" s="412"/>
      <c r="CF20" s="12"/>
      <c r="CG20" s="12"/>
      <c r="CH20" s="12"/>
      <c r="CI20" s="12"/>
      <c r="CJ20" s="12"/>
      <c r="CK20" s="12"/>
      <c r="CL20" s="12"/>
      <c r="CM20" s="12"/>
      <c r="CN20" s="412"/>
      <c r="CO20" s="12"/>
      <c r="CP20" s="12"/>
      <c r="CQ20" s="12"/>
      <c r="CR20" s="12"/>
      <c r="CS20" s="12"/>
      <c r="CT20" s="12"/>
      <c r="CU20" s="12"/>
      <c r="CV20" s="12"/>
      <c r="CW20" s="412"/>
      <c r="CX20" s="12"/>
      <c r="CY20" s="12"/>
      <c r="CZ20" s="12"/>
      <c r="DA20" s="12"/>
      <c r="DB20" s="12"/>
      <c r="DC20" s="12"/>
      <c r="DD20" s="12"/>
      <c r="DE20" s="12"/>
      <c r="DF20" s="412"/>
      <c r="DG20" s="12"/>
      <c r="DH20" s="12"/>
      <c r="DI20" s="12"/>
      <c r="DJ20" s="12"/>
      <c r="DK20" s="12"/>
      <c r="DL20" s="12"/>
      <c r="DM20" s="12"/>
      <c r="DN20" s="12"/>
      <c r="DO20" s="412"/>
      <c r="DP20" s="12"/>
      <c r="DQ20" s="12"/>
      <c r="DR20" s="12"/>
      <c r="DS20" s="12"/>
      <c r="DT20" s="12"/>
      <c r="DU20" s="12"/>
      <c r="DV20" s="12"/>
      <c r="DW20" s="12"/>
      <c r="DX20" s="412"/>
      <c r="DY20" s="12"/>
      <c r="DZ20" s="12"/>
      <c r="EA20" s="12"/>
      <c r="EB20" s="12"/>
      <c r="EC20" s="12"/>
      <c r="ED20" s="12"/>
      <c r="EE20" s="12"/>
      <c r="EF20" s="12"/>
      <c r="EG20" s="412"/>
      <c r="EH20" s="12"/>
      <c r="EI20" s="12"/>
      <c r="EJ20" s="12"/>
      <c r="EK20" s="12"/>
      <c r="EL20" s="12"/>
      <c r="EM20" s="12"/>
      <c r="EN20" s="12"/>
      <c r="EO20" s="12"/>
      <c r="EP20" s="412"/>
      <c r="EQ20" s="12"/>
      <c r="ER20" s="12"/>
      <c r="ES20" s="12"/>
      <c r="ET20" s="12"/>
      <c r="EU20" s="12"/>
      <c r="EV20" s="12"/>
      <c r="EW20" s="12"/>
      <c r="EX20" s="12"/>
      <c r="EY20" s="412"/>
      <c r="EZ20" s="12"/>
      <c r="FA20" s="12"/>
      <c r="FB20" s="12"/>
      <c r="FC20" s="12"/>
      <c r="FD20" s="12"/>
      <c r="FE20" s="12"/>
      <c r="FF20" s="12"/>
      <c r="FG20" s="12"/>
      <c r="FH20" s="412"/>
      <c r="FI20" s="12"/>
      <c r="FJ20" s="12"/>
      <c r="FK20" s="12"/>
      <c r="FL20" s="12"/>
      <c r="FM20" s="12"/>
      <c r="FN20" s="12"/>
      <c r="FO20" s="12"/>
      <c r="FP20" s="12"/>
      <c r="FQ20" s="412"/>
      <c r="FR20" s="12"/>
      <c r="FS20" s="12"/>
      <c r="FT20" s="12"/>
      <c r="FU20" s="12"/>
      <c r="FV20" s="12"/>
      <c r="FW20" s="12"/>
      <c r="FX20" s="12"/>
      <c r="FY20" s="12"/>
      <c r="FZ20" s="412"/>
      <c r="GA20" s="12"/>
      <c r="GB20" s="12"/>
      <c r="GC20" s="12"/>
      <c r="GD20" s="12"/>
      <c r="GE20" s="12"/>
      <c r="GF20" s="12"/>
      <c r="GG20" s="12"/>
      <c r="GH20" s="12"/>
      <c r="GI20" s="412"/>
      <c r="GJ20" s="12"/>
      <c r="GK20" s="12"/>
      <c r="GL20" s="12"/>
      <c r="GM20" s="12"/>
      <c r="GN20" s="12"/>
      <c r="GO20" s="12"/>
      <c r="GP20" s="12"/>
      <c r="GQ20" s="12"/>
      <c r="GR20" s="412"/>
      <c r="GS20" s="12"/>
      <c r="GT20" s="12"/>
      <c r="GU20" s="12"/>
      <c r="GV20" s="12"/>
      <c r="GW20" s="12"/>
      <c r="GX20" s="12"/>
      <c r="GY20" s="12"/>
      <c r="GZ20" s="12"/>
      <c r="HA20" s="412"/>
      <c r="HB20" s="12"/>
      <c r="HC20" s="12"/>
      <c r="HD20" s="12"/>
      <c r="HE20" s="12"/>
      <c r="HF20" s="12"/>
      <c r="HG20" s="12"/>
      <c r="HH20" s="12"/>
      <c r="HI20" s="12"/>
      <c r="HJ20" s="412"/>
      <c r="HK20" s="12"/>
      <c r="HL20" s="12"/>
      <c r="HM20" s="12"/>
      <c r="HN20" s="12"/>
      <c r="HO20" s="12"/>
      <c r="HP20" s="12"/>
      <c r="HQ20" s="12"/>
      <c r="HR20" s="12"/>
      <c r="HS20" s="412"/>
      <c r="HT20" s="12"/>
      <c r="HU20" s="12"/>
      <c r="HV20" s="12"/>
      <c r="HW20" s="12"/>
      <c r="HX20" s="12"/>
      <c r="HY20" s="12"/>
      <c r="HZ20" s="12"/>
      <c r="IA20" s="12"/>
      <c r="IB20" s="412"/>
      <c r="IC20" s="12"/>
      <c r="ID20" s="12"/>
      <c r="IE20" s="12"/>
      <c r="IF20" s="12"/>
      <c r="IG20" s="12"/>
      <c r="IH20" s="12"/>
      <c r="II20" s="12"/>
      <c r="IJ20" s="12"/>
      <c r="IK20" s="412"/>
      <c r="IL20" s="12"/>
      <c r="IM20" s="12"/>
      <c r="IN20" s="12"/>
      <c r="IO20" s="12"/>
      <c r="IP20" s="12"/>
      <c r="IQ20" s="12"/>
      <c r="IR20" s="12"/>
      <c r="IS20" s="12"/>
      <c r="IT20" s="412"/>
      <c r="IU20" s="12"/>
      <c r="IV20" s="12"/>
      <c r="IW20" s="12"/>
      <c r="IX20" s="12"/>
      <c r="IY20" s="12"/>
      <c r="IZ20" s="12"/>
      <c r="JA20" s="12"/>
      <c r="JB20" s="12"/>
      <c r="JC20" s="412"/>
      <c r="JD20" s="12"/>
      <c r="JE20" s="12"/>
      <c r="JF20" s="12"/>
      <c r="JG20" s="12"/>
      <c r="JH20" s="12"/>
      <c r="JI20" s="12"/>
      <c r="JJ20" s="12"/>
      <c r="JK20" s="12"/>
      <c r="JL20" s="412"/>
      <c r="JM20" s="12"/>
      <c r="JN20" s="12"/>
      <c r="JO20" s="12"/>
      <c r="JP20" s="12"/>
      <c r="JQ20" s="12"/>
      <c r="JR20" s="12"/>
      <c r="JS20" s="12"/>
      <c r="JT20" s="12"/>
      <c r="JU20" s="412"/>
      <c r="JV20" s="12"/>
      <c r="JW20" s="12"/>
      <c r="JX20" s="12"/>
      <c r="JY20" s="12"/>
      <c r="JZ20" s="12"/>
      <c r="KA20" s="12"/>
      <c r="KB20" s="12"/>
      <c r="KC20" s="12"/>
      <c r="KD20" s="412"/>
      <c r="KE20" s="12"/>
      <c r="KF20" s="12"/>
      <c r="KG20" s="12"/>
      <c r="KH20" s="12"/>
      <c r="KI20" s="12"/>
      <c r="KJ20" s="12"/>
      <c r="KK20" s="12"/>
      <c r="KL20" s="12"/>
      <c r="KM20" s="412"/>
      <c r="KN20" s="12"/>
      <c r="KO20" s="12"/>
      <c r="KP20" s="12"/>
      <c r="KQ20" s="12"/>
      <c r="KR20" s="12"/>
      <c r="KS20" s="12"/>
      <c r="KT20" s="12"/>
      <c r="KU20" s="12"/>
      <c r="KV20" s="412"/>
      <c r="KW20" s="12"/>
      <c r="KX20" s="12"/>
      <c r="KY20" s="12"/>
      <c r="KZ20" s="12"/>
      <c r="LA20" s="12"/>
      <c r="LB20" s="12"/>
      <c r="LC20" s="12"/>
      <c r="LD20" s="12"/>
      <c r="LE20" s="412"/>
      <c r="LF20" s="12"/>
      <c r="LG20" s="12"/>
      <c r="LH20" s="12"/>
      <c r="LI20" s="12"/>
      <c r="LJ20" s="12"/>
      <c r="LK20" s="12"/>
      <c r="LL20" s="12"/>
      <c r="LM20" s="12"/>
      <c r="LN20" s="412"/>
      <c r="LO20" s="12"/>
      <c r="LP20" s="12"/>
      <c r="LQ20" s="12"/>
      <c r="LR20" s="12"/>
      <c r="LS20" s="12"/>
      <c r="LT20" s="12"/>
      <c r="LU20" s="12"/>
      <c r="LV20" s="12"/>
      <c r="LW20" s="412"/>
      <c r="LX20" s="12"/>
      <c r="LY20" s="12"/>
      <c r="LZ20" s="12"/>
      <c r="MA20" s="12"/>
      <c r="MB20" s="12"/>
      <c r="MC20" s="12"/>
      <c r="MD20" s="12"/>
      <c r="ME20" s="12"/>
      <c r="MF20" s="412"/>
      <c r="MG20" s="12"/>
      <c r="MH20" s="12"/>
      <c r="MI20" s="12"/>
      <c r="MJ20" s="12"/>
      <c r="MK20" s="12"/>
      <c r="ML20" s="12"/>
      <c r="MM20" s="12"/>
      <c r="MN20" s="12"/>
      <c r="MO20" s="412"/>
      <c r="MP20" s="12"/>
      <c r="MQ20" s="12"/>
      <c r="MR20" s="12"/>
      <c r="MS20" s="12"/>
      <c r="MT20" s="12"/>
      <c r="MU20" s="12"/>
      <c r="MV20" s="12"/>
      <c r="MW20" s="12"/>
      <c r="MX20" s="412"/>
      <c r="MY20" s="12"/>
      <c r="MZ20" s="12"/>
      <c r="NA20" s="12"/>
      <c r="NB20" s="12"/>
      <c r="NC20" s="12"/>
      <c r="ND20" s="12"/>
      <c r="NE20" s="12"/>
      <c r="NF20" s="12"/>
      <c r="NG20" s="412"/>
      <c r="NH20" s="12"/>
      <c r="NI20" s="12"/>
      <c r="NJ20" s="12"/>
      <c r="NK20" s="12"/>
      <c r="NL20" s="12"/>
      <c r="NM20" s="12"/>
      <c r="NN20" s="12"/>
      <c r="NO20" s="12"/>
      <c r="NP20" s="412"/>
      <c r="NQ20" s="12"/>
      <c r="NR20" s="12"/>
      <c r="NS20" s="12"/>
      <c r="NT20" s="12"/>
      <c r="NU20" s="12"/>
      <c r="NV20" s="12"/>
      <c r="NW20" s="12"/>
      <c r="NX20" s="12"/>
      <c r="NY20" s="412"/>
      <c r="NZ20" s="12"/>
      <c r="OA20" s="12"/>
      <c r="OB20" s="12"/>
      <c r="OC20" s="12"/>
      <c r="OD20" s="12"/>
      <c r="OE20" s="12"/>
      <c r="OF20" s="12"/>
      <c r="OG20" s="12"/>
      <c r="OH20" s="412"/>
      <c r="OI20" s="12"/>
      <c r="OJ20" s="12"/>
      <c r="OK20" s="12"/>
      <c r="OL20" s="12"/>
      <c r="OM20" s="12"/>
      <c r="ON20" s="12"/>
      <c r="OO20" s="12"/>
      <c r="OP20" s="12"/>
      <c r="OQ20" s="412"/>
      <c r="OR20" s="12"/>
      <c r="OS20" s="12"/>
      <c r="OT20" s="12"/>
      <c r="OU20" s="12"/>
      <c r="OV20" s="12"/>
      <c r="OW20" s="12"/>
      <c r="OX20" s="12"/>
      <c r="OY20" s="12"/>
      <c r="OZ20" s="412"/>
      <c r="PA20" s="12"/>
      <c r="PB20" s="12"/>
      <c r="PC20" s="12"/>
      <c r="PD20" s="12"/>
      <c r="PE20" s="12"/>
      <c r="PF20" s="12"/>
      <c r="PG20" s="12"/>
      <c r="PH20" s="12"/>
      <c r="PI20" s="412"/>
      <c r="PJ20" s="12"/>
      <c r="PK20" s="12"/>
      <c r="PL20" s="12"/>
      <c r="PM20" s="12"/>
      <c r="PN20" s="12"/>
      <c r="PO20" s="12"/>
      <c r="PP20" s="12"/>
      <c r="PQ20" s="12"/>
      <c r="PR20" s="412"/>
      <c r="PS20" s="12"/>
      <c r="PT20" s="12"/>
      <c r="PU20" s="12"/>
      <c r="PV20" s="12"/>
      <c r="PW20" s="12"/>
      <c r="PX20" s="12"/>
      <c r="PY20" s="12"/>
      <c r="PZ20" s="12"/>
      <c r="QA20" s="412"/>
      <c r="QB20" s="12"/>
      <c r="QC20" s="12"/>
      <c r="QD20" s="12"/>
      <c r="QE20" s="12"/>
      <c r="QF20" s="12"/>
      <c r="QG20" s="12"/>
      <c r="QH20" s="12"/>
      <c r="QI20" s="12"/>
      <c r="QJ20" s="412"/>
      <c r="QK20" s="12"/>
      <c r="QL20" s="12"/>
      <c r="QM20" s="12"/>
      <c r="QN20" s="12"/>
      <c r="QO20" s="12"/>
      <c r="QP20" s="12"/>
      <c r="QQ20" s="12"/>
      <c r="QR20" s="12"/>
      <c r="QS20" s="412"/>
      <c r="QT20" s="12"/>
      <c r="QU20" s="12"/>
      <c r="QV20" s="12"/>
      <c r="QW20" s="12"/>
      <c r="QX20" s="12"/>
      <c r="QY20" s="12"/>
      <c r="QZ20" s="12"/>
      <c r="RA20" s="12"/>
      <c r="RB20" s="12"/>
      <c r="RC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c r="IU21" s="22"/>
      <c r="IV21" s="22"/>
      <c r="IW21" s="22"/>
      <c r="IX21" s="22"/>
      <c r="IY21" s="22"/>
      <c r="IZ21" s="22"/>
      <c r="JA21" s="22"/>
      <c r="JB21" s="22"/>
      <c r="JC21" s="22"/>
      <c r="JD21" s="22"/>
      <c r="JE21" s="22"/>
      <c r="JF21" s="22"/>
      <c r="JG21" s="22"/>
      <c r="JH21" s="22"/>
      <c r="JI21" s="22"/>
      <c r="JJ21" s="22"/>
      <c r="JK21" s="22"/>
      <c r="JL21" s="22"/>
      <c r="JM21" s="22"/>
      <c r="JN21" s="22"/>
      <c r="JO21" s="22"/>
      <c r="JP21" s="22"/>
      <c r="JQ21" s="22"/>
      <c r="JR21" s="22"/>
      <c r="JS21" s="22"/>
      <c r="JT21" s="22"/>
      <c r="JU21" s="22"/>
      <c r="JV21" s="22"/>
      <c r="JW21" s="22"/>
      <c r="JX21" s="22"/>
      <c r="JY21" s="22"/>
      <c r="JZ21" s="22"/>
      <c r="KA21" s="22"/>
      <c r="KB21" s="22"/>
      <c r="KC21" s="22"/>
      <c r="KD21" s="22"/>
      <c r="KE21" s="22"/>
      <c r="KF21" s="22"/>
      <c r="KG21" s="22"/>
      <c r="KH21" s="22"/>
      <c r="KI21" s="22"/>
      <c r="KJ21" s="22"/>
      <c r="KK21" s="22"/>
      <c r="KL21" s="22"/>
      <c r="KM21" s="22"/>
      <c r="KN21" s="22"/>
      <c r="KO21" s="22"/>
      <c r="KP21" s="22"/>
      <c r="KQ21" s="22"/>
      <c r="KR21" s="22"/>
      <c r="KS21" s="22"/>
      <c r="KT21" s="22"/>
      <c r="KU21" s="22"/>
      <c r="KV21" s="22"/>
      <c r="KW21" s="22"/>
      <c r="KX21" s="22"/>
      <c r="KY21" s="22"/>
      <c r="KZ21" s="22"/>
      <c r="LA21" s="22"/>
      <c r="LB21" s="22"/>
      <c r="LC21" s="22"/>
      <c r="LD21" s="22"/>
      <c r="LE21" s="22"/>
      <c r="LF21" s="22"/>
      <c r="LG21" s="22"/>
      <c r="LH21" s="22"/>
      <c r="LI21" s="22"/>
      <c r="LJ21" s="22"/>
      <c r="LK21" s="22"/>
      <c r="LL21" s="22"/>
      <c r="LM21" s="22"/>
      <c r="LN21" s="22"/>
      <c r="LO21" s="22"/>
      <c r="LP21" s="22"/>
      <c r="LQ21" s="22"/>
      <c r="LR21" s="22"/>
      <c r="LS21" s="22"/>
      <c r="LT21" s="22"/>
      <c r="LU21" s="22"/>
      <c r="LV21" s="22"/>
      <c r="LW21" s="22"/>
      <c r="LX21" s="22"/>
      <c r="LY21" s="22"/>
      <c r="LZ21" s="22"/>
      <c r="MA21" s="22"/>
      <c r="MB21" s="22"/>
      <c r="MC21" s="22"/>
      <c r="MD21" s="22"/>
      <c r="ME21" s="22"/>
      <c r="MF21" s="22"/>
      <c r="MG21" s="22"/>
      <c r="MH21" s="22"/>
      <c r="MI21" s="22"/>
      <c r="MJ21" s="22"/>
      <c r="MK21" s="22"/>
      <c r="ML21" s="22"/>
      <c r="MM21" s="22"/>
      <c r="MN21" s="22"/>
      <c r="MO21" s="22"/>
      <c r="MP21" s="22"/>
      <c r="MQ21" s="22"/>
      <c r="MR21" s="22"/>
      <c r="MS21" s="22"/>
      <c r="MT21" s="22"/>
      <c r="MU21" s="22"/>
      <c r="MV21" s="22"/>
      <c r="MW21" s="22"/>
      <c r="MX21" s="22"/>
      <c r="MY21" s="22"/>
      <c r="MZ21" s="22"/>
      <c r="NA21" s="22"/>
      <c r="NB21" s="22"/>
      <c r="NC21" s="22"/>
      <c r="ND21" s="22"/>
      <c r="NE21" s="22"/>
      <c r="NF21" s="22"/>
      <c r="NG21" s="22"/>
      <c r="NH21" s="22"/>
      <c r="NI21" s="22"/>
      <c r="NJ21" s="22"/>
      <c r="NK21" s="22"/>
      <c r="NL21" s="22"/>
      <c r="NM21" s="22"/>
      <c r="NN21" s="22"/>
      <c r="NO21" s="22"/>
      <c r="NP21" s="22"/>
      <c r="NQ21" s="22"/>
      <c r="NR21" s="22"/>
      <c r="NS21" s="22"/>
      <c r="NT21" s="22"/>
      <c r="NU21" s="22"/>
      <c r="NV21" s="22"/>
      <c r="NW21" s="22"/>
      <c r="NX21" s="22"/>
      <c r="NY21" s="22"/>
      <c r="NZ21" s="22"/>
      <c r="OA21" s="22"/>
      <c r="OB21" s="22"/>
      <c r="OC21" s="22"/>
      <c r="OD21" s="22"/>
      <c r="OE21" s="22"/>
      <c r="OF21" s="22"/>
      <c r="OG21" s="22"/>
      <c r="OH21" s="22"/>
      <c r="OI21" s="22"/>
      <c r="OJ21" s="22"/>
      <c r="OK21" s="22"/>
      <c r="OL21" s="22"/>
      <c r="OM21" s="22"/>
      <c r="ON21" s="22"/>
      <c r="OO21" s="22"/>
      <c r="OP21" s="22"/>
      <c r="OQ21" s="22"/>
      <c r="OR21" s="22"/>
      <c r="OS21" s="22"/>
      <c r="OT21" s="22"/>
      <c r="OU21" s="22"/>
      <c r="OV21" s="22"/>
      <c r="OW21" s="22"/>
      <c r="OX21" s="22"/>
      <c r="OY21" s="22"/>
      <c r="OZ21" s="22"/>
      <c r="PA21" s="22"/>
      <c r="PB21" s="22"/>
      <c r="PC21" s="22"/>
      <c r="PD21" s="22"/>
      <c r="PE21" s="22"/>
      <c r="PF21" s="22"/>
      <c r="PG21" s="22"/>
      <c r="PH21" s="22"/>
      <c r="PI21" s="22"/>
      <c r="PJ21" s="22"/>
      <c r="PK21" s="22"/>
      <c r="PL21" s="22"/>
      <c r="PM21" s="22"/>
      <c r="PN21" s="22"/>
      <c r="PO21" s="22"/>
      <c r="PP21" s="22"/>
      <c r="PQ21" s="22"/>
      <c r="PR21" s="22"/>
      <c r="PS21" s="22"/>
      <c r="PT21" s="22"/>
      <c r="PU21" s="22"/>
      <c r="PV21" s="22"/>
      <c r="PW21" s="22"/>
      <c r="PX21" s="22"/>
      <c r="PY21" s="22"/>
      <c r="PZ21" s="22"/>
      <c r="QA21" s="22"/>
      <c r="QB21" s="22"/>
      <c r="QC21" s="22"/>
      <c r="QD21" s="22"/>
      <c r="QE21" s="22"/>
      <c r="QF21" s="22"/>
      <c r="QG21" s="22"/>
      <c r="QH21" s="22"/>
      <c r="QI21" s="22"/>
      <c r="QJ21" s="22"/>
      <c r="QK21" s="22"/>
      <c r="QL21" s="22"/>
      <c r="QM21" s="22"/>
      <c r="QN21" s="22"/>
      <c r="QO21" s="22"/>
      <c r="QP21" s="22"/>
      <c r="QQ21" s="22"/>
      <c r="QR21" s="22"/>
      <c r="QS21" s="22"/>
      <c r="QT21" s="22"/>
      <c r="QU21" s="22"/>
      <c r="QV21" s="22"/>
      <c r="QW21" s="22"/>
      <c r="QX21" s="22"/>
      <c r="QY21" s="22"/>
      <c r="QZ21" s="22"/>
      <c r="RA21" s="22"/>
      <c r="RB21" s="22"/>
      <c r="RC21" s="22"/>
    </row>
    <row r="22" hidden="1">
      <c r="A22" s="22"/>
      <c r="B22" s="413" t="s">
        <v>401</v>
      </c>
      <c r="C22" s="413" t="s">
        <v>402</v>
      </c>
      <c r="D22" s="413" t="s">
        <v>403</v>
      </c>
      <c r="E22" s="413" t="s">
        <v>404</v>
      </c>
      <c r="F22" s="413" t="s">
        <v>405</v>
      </c>
      <c r="G22" s="413" t="s">
        <v>406</v>
      </c>
      <c r="H22" s="413" t="s">
        <v>407</v>
      </c>
      <c r="I22" s="413" t="s">
        <v>408</v>
      </c>
      <c r="J22" s="413" t="s">
        <v>409</v>
      </c>
      <c r="K22" s="413" t="s">
        <v>410</v>
      </c>
      <c r="L22" s="413" t="s">
        <v>411</v>
      </c>
      <c r="M22" s="413" t="s">
        <v>412</v>
      </c>
      <c r="N22" s="413" t="s">
        <v>413</v>
      </c>
      <c r="O22" s="413" t="s">
        <v>414</v>
      </c>
      <c r="P22" s="413" t="s">
        <v>415</v>
      </c>
      <c r="Q22" s="413" t="s">
        <v>416</v>
      </c>
      <c r="R22" s="413" t="s">
        <v>417</v>
      </c>
      <c r="S22" s="413" t="s">
        <v>418</v>
      </c>
      <c r="T22" s="413" t="s">
        <v>419</v>
      </c>
      <c r="U22" s="413" t="s">
        <v>420</v>
      </c>
      <c r="V22" s="413" t="s">
        <v>421</v>
      </c>
      <c r="W22" s="413" t="s">
        <v>422</v>
      </c>
      <c r="X22" s="413" t="s">
        <v>423</v>
      </c>
      <c r="Y22" s="413" t="s">
        <v>424</v>
      </c>
      <c r="Z22" s="413" t="s">
        <v>425</v>
      </c>
      <c r="AA22" s="413" t="s">
        <v>426</v>
      </c>
      <c r="AB22" s="413" t="s">
        <v>427</v>
      </c>
      <c r="AC22" s="413" t="s">
        <v>428</v>
      </c>
      <c r="AD22" s="413" t="s">
        <v>429</v>
      </c>
      <c r="AE22" s="413" t="s">
        <v>430</v>
      </c>
      <c r="AF22" s="413" t="s">
        <v>431</v>
      </c>
      <c r="AG22" s="413" t="s">
        <v>432</v>
      </c>
      <c r="AH22" s="413" t="s">
        <v>433</v>
      </c>
      <c r="AI22" s="413" t="s">
        <v>434</v>
      </c>
      <c r="AJ22" s="413" t="s">
        <v>435</v>
      </c>
      <c r="AK22" s="413" t="s">
        <v>436</v>
      </c>
      <c r="AL22" s="413" t="s">
        <v>437</v>
      </c>
      <c r="AM22" s="413" t="s">
        <v>438</v>
      </c>
      <c r="AN22" s="413" t="s">
        <v>439</v>
      </c>
      <c r="AO22" s="413" t="s">
        <v>440</v>
      </c>
      <c r="AP22" s="413" t="s">
        <v>441</v>
      </c>
      <c r="AQ22" s="413" t="s">
        <v>442</v>
      </c>
      <c r="AR22" s="413" t="s">
        <v>443</v>
      </c>
      <c r="AS22" s="413" t="s">
        <v>444</v>
      </c>
      <c r="AT22" s="413" t="s">
        <v>445</v>
      </c>
      <c r="AU22" s="413" t="s">
        <v>446</v>
      </c>
      <c r="AV22" s="413" t="s">
        <v>447</v>
      </c>
      <c r="AW22" s="413" t="s">
        <v>448</v>
      </c>
      <c r="AX22" s="413" t="s">
        <v>449</v>
      </c>
      <c r="AY22" s="413" t="s">
        <v>450</v>
      </c>
      <c r="AZ22" s="413" t="s">
        <v>451</v>
      </c>
      <c r="BA22" s="413" t="s">
        <v>452</v>
      </c>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c r="IZ22" s="22"/>
      <c r="JA22" s="22"/>
      <c r="JB22" s="22"/>
      <c r="JC22" s="22"/>
      <c r="JD22" s="22"/>
      <c r="JE22" s="22"/>
      <c r="JF22" s="22"/>
      <c r="JG22" s="22"/>
      <c r="JH22" s="22"/>
      <c r="JI22" s="22"/>
      <c r="JJ22" s="22"/>
      <c r="JK22" s="22"/>
      <c r="JL22" s="22"/>
      <c r="JM22" s="22"/>
      <c r="JN22" s="22"/>
      <c r="JO22" s="22"/>
      <c r="JP22" s="22"/>
      <c r="JQ22" s="22"/>
      <c r="JR22" s="22"/>
      <c r="JS22" s="22"/>
      <c r="JT22" s="22"/>
      <c r="JU22" s="22"/>
      <c r="JV22" s="22"/>
      <c r="JW22" s="22"/>
      <c r="JX22" s="22"/>
      <c r="JY22" s="22"/>
      <c r="JZ22" s="22"/>
      <c r="KA22" s="22"/>
      <c r="KB22" s="22"/>
      <c r="KC22" s="22"/>
      <c r="KD22" s="22"/>
      <c r="KE22" s="22"/>
      <c r="KF22" s="22"/>
      <c r="KG22" s="22"/>
      <c r="KH22" s="22"/>
      <c r="KI22" s="22"/>
      <c r="KJ22" s="22"/>
      <c r="KK22" s="22"/>
      <c r="KL22" s="22"/>
      <c r="KM22" s="22"/>
      <c r="KN22" s="22"/>
      <c r="KO22" s="22"/>
      <c r="KP22" s="22"/>
      <c r="KQ22" s="22"/>
      <c r="KR22" s="22"/>
      <c r="KS22" s="22"/>
      <c r="KT22" s="22"/>
      <c r="KU22" s="22"/>
      <c r="KV22" s="22"/>
      <c r="KW22" s="22"/>
      <c r="KX22" s="22"/>
      <c r="KY22" s="22"/>
      <c r="KZ22" s="22"/>
      <c r="LA22" s="22"/>
      <c r="LB22" s="22"/>
      <c r="LC22" s="22"/>
      <c r="LD22" s="22"/>
      <c r="LE22" s="22"/>
      <c r="LF22" s="22"/>
      <c r="LG22" s="22"/>
      <c r="LH22" s="22"/>
      <c r="LI22" s="22"/>
      <c r="LJ22" s="22"/>
      <c r="LK22" s="22"/>
      <c r="LL22" s="22"/>
      <c r="LM22" s="22"/>
      <c r="LN22" s="22"/>
      <c r="LO22" s="22"/>
      <c r="LP22" s="22"/>
      <c r="LQ22" s="22"/>
      <c r="LR22" s="22"/>
      <c r="LS22" s="22"/>
      <c r="LT22" s="22"/>
      <c r="LU22" s="22"/>
      <c r="LV22" s="22"/>
      <c r="LW22" s="22"/>
      <c r="LX22" s="22"/>
      <c r="LY22" s="22"/>
      <c r="LZ22" s="22"/>
      <c r="MA22" s="22"/>
      <c r="MB22" s="22"/>
      <c r="MC22" s="22"/>
      <c r="MD22" s="22"/>
      <c r="ME22" s="22"/>
      <c r="MF22" s="22"/>
      <c r="MG22" s="22"/>
      <c r="MH22" s="22"/>
      <c r="MI22" s="22"/>
      <c r="MJ22" s="22"/>
      <c r="MK22" s="22"/>
      <c r="ML22" s="22"/>
      <c r="MM22" s="22"/>
      <c r="MN22" s="22"/>
      <c r="MO22" s="22"/>
      <c r="MP22" s="22"/>
      <c r="MQ22" s="22"/>
      <c r="MR22" s="22"/>
      <c r="MS22" s="22"/>
      <c r="MT22" s="22"/>
      <c r="MU22" s="22"/>
      <c r="MV22" s="22"/>
      <c r="MW22" s="22"/>
      <c r="MX22" s="22"/>
      <c r="MY22" s="22"/>
      <c r="MZ22" s="22"/>
      <c r="NA22" s="22"/>
      <c r="NB22" s="22"/>
      <c r="NC22" s="22"/>
      <c r="ND22" s="22"/>
      <c r="NE22" s="22"/>
      <c r="NF22" s="22"/>
      <c r="NG22" s="22"/>
      <c r="NH22" s="22"/>
      <c r="NI22" s="22"/>
      <c r="NJ22" s="22"/>
      <c r="NK22" s="22"/>
      <c r="NL22" s="22"/>
      <c r="NM22" s="22"/>
      <c r="NN22" s="22"/>
      <c r="NO22" s="22"/>
      <c r="NP22" s="22"/>
      <c r="NQ22" s="22"/>
      <c r="NR22" s="22"/>
      <c r="NS22" s="22"/>
      <c r="NT22" s="22"/>
      <c r="NU22" s="22"/>
      <c r="NV22" s="22"/>
      <c r="NW22" s="22"/>
      <c r="NX22" s="22"/>
      <c r="NY22" s="22"/>
      <c r="NZ22" s="22"/>
      <c r="OA22" s="22"/>
      <c r="OB22" s="22"/>
      <c r="OC22" s="22"/>
      <c r="OD22" s="22"/>
      <c r="OE22" s="22"/>
      <c r="OF22" s="22"/>
      <c r="OG22" s="22"/>
      <c r="OH22" s="22"/>
      <c r="OI22" s="22"/>
      <c r="OJ22" s="22"/>
      <c r="OK22" s="22"/>
      <c r="OL22" s="22"/>
      <c r="OM22" s="22"/>
      <c r="ON22" s="22"/>
      <c r="OO22" s="22"/>
      <c r="OP22" s="22"/>
      <c r="OQ22" s="22"/>
      <c r="OR22" s="22"/>
      <c r="OS22" s="22"/>
      <c r="OT22" s="22"/>
      <c r="OU22" s="22"/>
      <c r="OV22" s="22"/>
      <c r="OW22" s="22"/>
      <c r="OX22" s="22"/>
      <c r="OY22" s="22"/>
      <c r="OZ22" s="22"/>
      <c r="PA22" s="22"/>
      <c r="PB22" s="22"/>
      <c r="PC22" s="22"/>
      <c r="PD22" s="22"/>
      <c r="PE22" s="22"/>
      <c r="PF22" s="22"/>
      <c r="PG22" s="22"/>
      <c r="PH22" s="22"/>
      <c r="PI22" s="22"/>
      <c r="PJ22" s="22"/>
      <c r="PK22" s="22"/>
      <c r="PL22" s="22"/>
      <c r="PM22" s="22"/>
      <c r="PN22" s="22"/>
      <c r="PO22" s="22"/>
      <c r="PP22" s="22"/>
      <c r="PQ22" s="22"/>
      <c r="PR22" s="22"/>
      <c r="PS22" s="22"/>
      <c r="PT22" s="22"/>
      <c r="PU22" s="22"/>
      <c r="PV22" s="22"/>
      <c r="PW22" s="22"/>
      <c r="PX22" s="22"/>
      <c r="PY22" s="22"/>
      <c r="PZ22" s="22"/>
      <c r="QA22" s="22"/>
      <c r="QB22" s="22"/>
      <c r="QC22" s="22"/>
      <c r="QD22" s="22"/>
      <c r="QE22" s="22"/>
      <c r="QF22" s="22"/>
      <c r="QG22" s="22"/>
      <c r="QH22" s="22"/>
      <c r="QI22" s="22"/>
      <c r="QJ22" s="22"/>
      <c r="QK22" s="22"/>
      <c r="QL22" s="22"/>
      <c r="QM22" s="22"/>
      <c r="QN22" s="22"/>
      <c r="QO22" s="22"/>
      <c r="QP22" s="22"/>
      <c r="QQ22" s="22"/>
      <c r="QR22" s="22"/>
      <c r="QS22" s="22"/>
      <c r="QT22" s="22"/>
      <c r="QU22" s="22"/>
      <c r="QV22" s="22"/>
      <c r="QW22" s="22"/>
      <c r="QX22" s="22"/>
      <c r="QY22" s="22"/>
      <c r="QZ22" s="22"/>
      <c r="RA22" s="22"/>
      <c r="RB22" s="22"/>
      <c r="RC22" s="22"/>
    </row>
    <row r="23" hidden="1">
      <c r="A23" s="22"/>
      <c r="B23" s="413" t="s">
        <v>2</v>
      </c>
      <c r="C23" s="413" t="s">
        <v>3</v>
      </c>
      <c r="D23" s="413" t="s">
        <v>4</v>
      </c>
      <c r="E23" s="413" t="s">
        <v>5</v>
      </c>
      <c r="F23" s="413" t="s">
        <v>7</v>
      </c>
      <c r="G23" s="413" t="s">
        <v>8</v>
      </c>
      <c r="H23" s="413" t="s">
        <v>9</v>
      </c>
      <c r="I23" s="413" t="s">
        <v>10</v>
      </c>
      <c r="J23" s="413" t="s">
        <v>11</v>
      </c>
      <c r="K23" s="413" t="s">
        <v>12</v>
      </c>
      <c r="L23" s="413" t="s">
        <v>13</v>
      </c>
      <c r="M23" s="413" t="s">
        <v>14</v>
      </c>
      <c r="N23" s="413" t="s">
        <v>15</v>
      </c>
      <c r="O23" s="413" t="s">
        <v>16</v>
      </c>
      <c r="P23" s="413" t="s">
        <v>17</v>
      </c>
      <c r="Q23" s="413" t="s">
        <v>18</v>
      </c>
      <c r="R23" s="413" t="s">
        <v>340</v>
      </c>
      <c r="S23" s="413" t="s">
        <v>341</v>
      </c>
      <c r="T23" s="413" t="s">
        <v>342</v>
      </c>
      <c r="U23" s="413" t="s">
        <v>343</v>
      </c>
      <c r="V23" s="413" t="s">
        <v>344</v>
      </c>
      <c r="W23" s="413" t="s">
        <v>345</v>
      </c>
      <c r="X23" s="413" t="s">
        <v>346</v>
      </c>
      <c r="Y23" s="413" t="s">
        <v>347</v>
      </c>
      <c r="Z23" s="413" t="s">
        <v>348</v>
      </c>
      <c r="AA23" s="413" t="s">
        <v>349</v>
      </c>
      <c r="AB23" s="413" t="s">
        <v>350</v>
      </c>
      <c r="AC23" s="413" t="s">
        <v>351</v>
      </c>
      <c r="AD23" s="413" t="s">
        <v>352</v>
      </c>
      <c r="AE23" s="413" t="s">
        <v>353</v>
      </c>
      <c r="AF23" s="413" t="s">
        <v>354</v>
      </c>
      <c r="AG23" s="413" t="s">
        <v>355</v>
      </c>
      <c r="AH23" s="413" t="s">
        <v>356</v>
      </c>
      <c r="AI23" s="413" t="s">
        <v>357</v>
      </c>
      <c r="AJ23" s="413" t="s">
        <v>358</v>
      </c>
      <c r="AK23" s="413" t="s">
        <v>359</v>
      </c>
      <c r="AL23" s="413" t="s">
        <v>360</v>
      </c>
      <c r="AM23" s="413" t="s">
        <v>361</v>
      </c>
      <c r="AN23" s="413" t="s">
        <v>362</v>
      </c>
      <c r="AO23" s="413" t="s">
        <v>363</v>
      </c>
      <c r="AP23" s="413" t="s">
        <v>364</v>
      </c>
      <c r="AQ23" s="413" t="s">
        <v>365</v>
      </c>
      <c r="AR23" s="413" t="s">
        <v>366</v>
      </c>
      <c r="AS23" s="413" t="s">
        <v>367</v>
      </c>
      <c r="AT23" s="413" t="s">
        <v>368</v>
      </c>
      <c r="AU23" s="413" t="s">
        <v>369</v>
      </c>
      <c r="AV23" s="413" t="s">
        <v>370</v>
      </c>
      <c r="AW23" s="413" t="s">
        <v>371</v>
      </c>
      <c r="AX23" s="413" t="s">
        <v>372</v>
      </c>
      <c r="AY23" s="413" t="s">
        <v>373</v>
      </c>
      <c r="AZ23" s="413" t="s">
        <v>374</v>
      </c>
      <c r="BA23" s="413" t="s">
        <v>375</v>
      </c>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c r="IU23" s="22"/>
      <c r="IV23" s="22"/>
      <c r="IW23" s="22"/>
      <c r="IX23" s="22"/>
      <c r="IY23" s="22"/>
      <c r="IZ23" s="22"/>
      <c r="JA23" s="22"/>
      <c r="JB23" s="22"/>
      <c r="JC23" s="22"/>
      <c r="JD23" s="22"/>
      <c r="JE23" s="22"/>
      <c r="JF23" s="22"/>
      <c r="JG23" s="22"/>
      <c r="JH23" s="22"/>
      <c r="JI23" s="22"/>
      <c r="JJ23" s="22"/>
      <c r="JK23" s="22"/>
      <c r="JL23" s="22"/>
      <c r="JM23" s="22"/>
      <c r="JN23" s="22"/>
      <c r="JO23" s="22"/>
      <c r="JP23" s="22"/>
      <c r="JQ23" s="22"/>
      <c r="JR23" s="22"/>
      <c r="JS23" s="22"/>
      <c r="JT23" s="22"/>
      <c r="JU23" s="22"/>
      <c r="JV23" s="22"/>
      <c r="JW23" s="22"/>
      <c r="JX23" s="22"/>
      <c r="JY23" s="22"/>
      <c r="JZ23" s="22"/>
      <c r="KA23" s="22"/>
      <c r="KB23" s="22"/>
      <c r="KC23" s="22"/>
      <c r="KD23" s="22"/>
      <c r="KE23" s="22"/>
      <c r="KF23" s="22"/>
      <c r="KG23" s="22"/>
      <c r="KH23" s="22"/>
      <c r="KI23" s="22"/>
      <c r="KJ23" s="22"/>
      <c r="KK23" s="22"/>
      <c r="KL23" s="22"/>
      <c r="KM23" s="22"/>
      <c r="KN23" s="22"/>
      <c r="KO23" s="22"/>
      <c r="KP23" s="22"/>
      <c r="KQ23" s="22"/>
      <c r="KR23" s="22"/>
      <c r="KS23" s="22"/>
      <c r="KT23" s="22"/>
      <c r="KU23" s="22"/>
      <c r="KV23" s="22"/>
      <c r="KW23" s="22"/>
      <c r="KX23" s="22"/>
      <c r="KY23" s="22"/>
      <c r="KZ23" s="22"/>
      <c r="LA23" s="22"/>
      <c r="LB23" s="22"/>
      <c r="LC23" s="22"/>
      <c r="LD23" s="22"/>
      <c r="LE23" s="22"/>
      <c r="LF23" s="22"/>
      <c r="LG23" s="22"/>
      <c r="LH23" s="22"/>
      <c r="LI23" s="22"/>
      <c r="LJ23" s="22"/>
      <c r="LK23" s="22"/>
      <c r="LL23" s="22"/>
      <c r="LM23" s="22"/>
      <c r="LN23" s="22"/>
      <c r="LO23" s="22"/>
      <c r="LP23" s="22"/>
      <c r="LQ23" s="22"/>
      <c r="LR23" s="22"/>
      <c r="LS23" s="22"/>
      <c r="LT23" s="22"/>
      <c r="LU23" s="22"/>
      <c r="LV23" s="22"/>
      <c r="LW23" s="22"/>
      <c r="LX23" s="22"/>
      <c r="LY23" s="22"/>
      <c r="LZ23" s="22"/>
      <c r="MA23" s="22"/>
      <c r="MB23" s="22"/>
      <c r="MC23" s="22"/>
      <c r="MD23" s="22"/>
      <c r="ME23" s="22"/>
      <c r="MF23" s="22"/>
      <c r="MG23" s="22"/>
      <c r="MH23" s="22"/>
      <c r="MI23" s="22"/>
      <c r="MJ23" s="22"/>
      <c r="MK23" s="22"/>
      <c r="ML23" s="22"/>
      <c r="MM23" s="22"/>
      <c r="MN23" s="22"/>
      <c r="MO23" s="22"/>
      <c r="MP23" s="22"/>
      <c r="MQ23" s="22"/>
      <c r="MR23" s="22"/>
      <c r="MS23" s="22"/>
      <c r="MT23" s="22"/>
      <c r="MU23" s="22"/>
      <c r="MV23" s="22"/>
      <c r="MW23" s="22"/>
      <c r="MX23" s="22"/>
      <c r="MY23" s="22"/>
      <c r="MZ23" s="22"/>
      <c r="NA23" s="22"/>
      <c r="NB23" s="22"/>
      <c r="NC23" s="22"/>
      <c r="ND23" s="22"/>
      <c r="NE23" s="22"/>
      <c r="NF23" s="22"/>
      <c r="NG23" s="22"/>
      <c r="NH23" s="22"/>
      <c r="NI23" s="22"/>
      <c r="NJ23" s="22"/>
      <c r="NK23" s="22"/>
      <c r="NL23" s="22"/>
      <c r="NM23" s="22"/>
      <c r="NN23" s="22"/>
      <c r="NO23" s="22"/>
      <c r="NP23" s="22"/>
      <c r="NQ23" s="22"/>
      <c r="NR23" s="22"/>
      <c r="NS23" s="22"/>
      <c r="NT23" s="22"/>
      <c r="NU23" s="22"/>
      <c r="NV23" s="22"/>
      <c r="NW23" s="22"/>
      <c r="NX23" s="22"/>
      <c r="NY23" s="22"/>
      <c r="NZ23" s="22"/>
      <c r="OA23" s="22"/>
      <c r="OB23" s="22"/>
      <c r="OC23" s="22"/>
      <c r="OD23" s="22"/>
      <c r="OE23" s="22"/>
      <c r="OF23" s="22"/>
      <c r="OG23" s="22"/>
      <c r="OH23" s="22"/>
      <c r="OI23" s="22"/>
      <c r="OJ23" s="22"/>
      <c r="OK23" s="22"/>
      <c r="OL23" s="22"/>
      <c r="OM23" s="22"/>
      <c r="ON23" s="22"/>
      <c r="OO23" s="22"/>
      <c r="OP23" s="22"/>
      <c r="OQ23" s="22"/>
      <c r="OR23" s="22"/>
      <c r="OS23" s="22"/>
      <c r="OT23" s="22"/>
      <c r="OU23" s="22"/>
      <c r="OV23" s="22"/>
      <c r="OW23" s="22"/>
      <c r="OX23" s="22"/>
      <c r="OY23" s="22"/>
      <c r="OZ23" s="22"/>
      <c r="PA23" s="22"/>
      <c r="PB23" s="22"/>
      <c r="PC23" s="22"/>
      <c r="PD23" s="22"/>
      <c r="PE23" s="22"/>
      <c r="PF23" s="22"/>
      <c r="PG23" s="22"/>
      <c r="PH23" s="22"/>
      <c r="PI23" s="22"/>
      <c r="PJ23" s="22"/>
      <c r="PK23" s="22"/>
      <c r="PL23" s="22"/>
      <c r="PM23" s="22"/>
      <c r="PN23" s="22"/>
      <c r="PO23" s="22"/>
      <c r="PP23" s="22"/>
      <c r="PQ23" s="22"/>
      <c r="PR23" s="22"/>
      <c r="PS23" s="22"/>
      <c r="PT23" s="22"/>
      <c r="PU23" s="22"/>
      <c r="PV23" s="22"/>
      <c r="PW23" s="22"/>
      <c r="PX23" s="22"/>
      <c r="PY23" s="22"/>
      <c r="PZ23" s="22"/>
      <c r="QA23" s="22"/>
      <c r="QB23" s="22"/>
      <c r="QC23" s="22"/>
      <c r="QD23" s="22"/>
      <c r="QE23" s="22"/>
      <c r="QF23" s="22"/>
      <c r="QG23" s="22"/>
      <c r="QH23" s="22"/>
      <c r="QI23" s="22"/>
      <c r="QJ23" s="22"/>
      <c r="QK23" s="22"/>
      <c r="QL23" s="22"/>
      <c r="QM23" s="22"/>
      <c r="QN23" s="22"/>
      <c r="QO23" s="22"/>
      <c r="QP23" s="22"/>
      <c r="QQ23" s="22"/>
      <c r="QR23" s="22"/>
      <c r="QS23" s="22"/>
      <c r="QT23" s="22"/>
      <c r="QU23" s="22"/>
      <c r="QV23" s="22"/>
      <c r="QW23" s="22"/>
      <c r="QX23" s="22"/>
      <c r="QY23" s="22"/>
      <c r="QZ23" s="22"/>
      <c r="RA23" s="22"/>
      <c r="RB23" s="22"/>
      <c r="RC23" s="22"/>
    </row>
    <row r="24" hidden="1">
      <c r="A24" s="22" t="str">
        <f t="shared" ref="A24:A35" si="53">A4</f>
        <v>Sleep Target</v>
      </c>
      <c r="B24" s="414">
        <f t="shared" ref="B24:B35" si="54">IF(J4=0, "", J4)</f>
        <v>18</v>
      </c>
      <c r="C24" s="414" t="str">
        <f t="shared" ref="C24:C35" si="55">IF(S4=0, "", S4)</f>
        <v/>
      </c>
      <c r="D24" s="414" t="str">
        <f t="shared" ref="D24:D35" si="56">IF(AB4=0, "", AB4)</f>
        <v/>
      </c>
      <c r="E24" s="414" t="str">
        <f t="shared" ref="E24:E35" si="57">IF(AK4=0, "", AK4)</f>
        <v/>
      </c>
      <c r="F24" s="414" t="str">
        <f t="shared" ref="F24:F35" si="58">IF(AT4=0, "", AT4)</f>
        <v/>
      </c>
      <c r="G24" s="414" t="str">
        <f t="shared" ref="G24:G35" si="59">IF(BC4=0, "", BC4)</f>
        <v/>
      </c>
      <c r="H24" s="414" t="str">
        <f t="shared" ref="H24:H35" si="60">IF(BL4=0, "", BL4)</f>
        <v/>
      </c>
      <c r="I24" s="414" t="str">
        <f t="shared" ref="I24:I35" si="61">IF(BU4=0, "", BU4)</f>
        <v/>
      </c>
      <c r="J24" s="414" t="str">
        <f t="shared" ref="J24:J35" si="62">IF(CD4=0, "", CD4)</f>
        <v/>
      </c>
      <c r="K24" s="414" t="str">
        <f t="shared" ref="K24:K35" si="63">IF(CM4=0, "", CM4)</f>
        <v/>
      </c>
      <c r="L24" s="414" t="str">
        <f t="shared" ref="L24:L35" si="64">IF(CV4=0, "", CV4)</f>
        <v/>
      </c>
      <c r="M24" s="414" t="str">
        <f t="shared" ref="M24:M35" si="65">IF(DE4=0, "", DE4)</f>
        <v/>
      </c>
      <c r="N24" s="414" t="str">
        <f t="shared" ref="N24:N35" si="66">IF(DN4=0, "", DN4)</f>
        <v/>
      </c>
      <c r="O24" s="414" t="str">
        <f t="shared" ref="O24:O35" si="67">IF(DW4=0, "", DW4)</f>
        <v/>
      </c>
      <c r="P24" s="414" t="str">
        <f t="shared" ref="P24:P35" si="68">IF(EF4=0, "", EF4)</f>
        <v/>
      </c>
      <c r="Q24" s="414" t="str">
        <f t="shared" ref="Q24:Q35" si="69">IF(EO4=0, "", EO4)</f>
        <v/>
      </c>
      <c r="R24" s="414" t="str">
        <f t="shared" ref="R24:R35" si="70">IF(EX4=0, "", EX4)</f>
        <v/>
      </c>
      <c r="S24" s="414" t="str">
        <f t="shared" ref="S24:S35" si="71">IF(FG4=0, "", FG4)</f>
        <v/>
      </c>
      <c r="T24" s="414" t="str">
        <f t="shared" ref="T24:T35" si="72">IF(FP4=0, "", FP4)</f>
        <v/>
      </c>
      <c r="U24" s="414" t="str">
        <f t="shared" ref="U24:U35" si="73">IF(FY4=0, "", FY4)</f>
        <v/>
      </c>
      <c r="V24" s="414" t="str">
        <f t="shared" ref="V24:V35" si="74">IF(GH4=0, "", GH4)</f>
        <v/>
      </c>
      <c r="W24" s="414" t="str">
        <f t="shared" ref="W24:W35" si="75">IF(GQ4=0, "", GQ4)</f>
        <v/>
      </c>
      <c r="X24" s="414" t="str">
        <f t="shared" ref="X24:X35" si="76">IF(GZ4=0, "", GZ4)</f>
        <v/>
      </c>
      <c r="Y24" s="414" t="str">
        <f t="shared" ref="Y24:Y35" si="77">IF(HI4=0, "", HI4)</f>
        <v/>
      </c>
      <c r="Z24" s="414" t="str">
        <f t="shared" ref="Z24:Z35" si="78">IF(HR4=0, "", HR4)</f>
        <v/>
      </c>
      <c r="AA24" s="414" t="str">
        <f t="shared" ref="AA24:AA35" si="79">IF(IA4=0, "", IA4)</f>
        <v/>
      </c>
      <c r="AB24" s="414" t="str">
        <f t="shared" ref="AB24:AB35" si="80">IF(IJ4=0, "", IJ4)</f>
        <v/>
      </c>
      <c r="AC24" s="414" t="str">
        <f t="shared" ref="AC24:AC35" si="81">IF(IS4=0, "", IS4)</f>
        <v/>
      </c>
      <c r="AD24" s="414" t="str">
        <f t="shared" ref="AD24:AD35" si="82">IF(JB4=0, "", JB4)</f>
        <v/>
      </c>
      <c r="AE24" s="414" t="str">
        <f t="shared" ref="AE24:AE35" si="83">IF(JK4=0, "", JK4)</f>
        <v/>
      </c>
      <c r="AF24" s="414" t="str">
        <f t="shared" ref="AF24:AF35" si="84">IF(JT4=0, "", JT4)</f>
        <v/>
      </c>
      <c r="AG24" s="414" t="str">
        <f t="shared" ref="AG24:AG35" si="85">IF(KC4=0, "", KC4)</f>
        <v/>
      </c>
      <c r="AH24" s="414" t="str">
        <f t="shared" ref="AH24:AH35" si="86">IF(KL4=0, "", KL4)</f>
        <v/>
      </c>
      <c r="AI24" s="414" t="str">
        <f t="shared" ref="AI24:AI35" si="87">IF(KU4=0, "", KU4)</f>
        <v/>
      </c>
      <c r="AJ24" s="414" t="str">
        <f t="shared" ref="AJ24:AJ35" si="88">IF(LD4=0, "", LD4)</f>
        <v/>
      </c>
      <c r="AK24" s="414" t="str">
        <f t="shared" ref="AK24:AK35" si="89">IF(LM4=0, "", LM4)</f>
        <v/>
      </c>
      <c r="AL24" s="414" t="str">
        <f t="shared" ref="AL24:AL35" si="90">IF(LV4=0, "", LV4)</f>
        <v/>
      </c>
      <c r="AM24" s="414" t="str">
        <f t="shared" ref="AM24:AM35" si="91">IF(ME4=0, "", ME4)</f>
        <v/>
      </c>
      <c r="AN24" s="414" t="str">
        <f t="shared" ref="AN24:AN35" si="92">IF(MN4=0, "", MN4)</f>
        <v/>
      </c>
      <c r="AO24" s="414" t="str">
        <f t="shared" ref="AO24:AO35" si="93">IF(MW4=0, "", MW4)</f>
        <v/>
      </c>
      <c r="AP24" s="414" t="str">
        <f t="shared" ref="AP24:AP35" si="94">IF(NF4=0, "", NF4)</f>
        <v/>
      </c>
      <c r="AQ24" s="414" t="str">
        <f t="shared" ref="AQ24:AQ35" si="95">IF(NO4=0, "", NO4)</f>
        <v/>
      </c>
      <c r="AR24" s="414" t="str">
        <f t="shared" ref="AR24:AR35" si="96">IF(NX4=0, "", NX4)</f>
        <v/>
      </c>
      <c r="AS24" s="414" t="str">
        <f t="shared" ref="AS24:AS35" si="97">IF(OG4=0, "", OG4)</f>
        <v/>
      </c>
      <c r="AT24" s="414" t="str">
        <f t="shared" ref="AT24:AT35" si="98">IF(OP4=0, "", OP4)</f>
        <v/>
      </c>
      <c r="AU24" s="414" t="str">
        <f t="shared" ref="AU24:AU35" si="99">IF(OY4=0, "", OY4)</f>
        <v/>
      </c>
      <c r="AV24" s="414" t="str">
        <f t="shared" ref="AV24:AV35" si="100">IF(PH4=0, "", PH4)</f>
        <v/>
      </c>
      <c r="AW24" s="414" t="str">
        <f t="shared" ref="AW24:AW35" si="101">IF(PQ4=0, "", PQ4)</f>
        <v/>
      </c>
      <c r="AX24" s="414" t="str">
        <f t="shared" ref="AX24:AX35" si="102">IF(PZ4=0, "", PZ4)</f>
        <v/>
      </c>
      <c r="AY24" s="414" t="str">
        <f t="shared" ref="AY24:AY35" si="103">IF(QI4=0, "", QI4)</f>
        <v/>
      </c>
      <c r="AZ24" s="414" t="str">
        <f t="shared" ref="AZ24:AZ35" si="104">IF(QR4=0, "", QR4)</f>
        <v/>
      </c>
      <c r="BA24" s="414" t="str">
        <f t="shared" ref="BA24:BA35" si="105">IF(RA4=0, "", RA4)</f>
        <v/>
      </c>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c r="IU24" s="22"/>
      <c r="IV24" s="22"/>
      <c r="IW24" s="22"/>
      <c r="IX24" s="22"/>
      <c r="IY24" s="22"/>
      <c r="IZ24" s="22"/>
      <c r="JA24" s="22"/>
      <c r="JB24" s="22"/>
      <c r="JC24" s="22"/>
      <c r="JD24" s="22"/>
      <c r="JE24" s="22"/>
      <c r="JF24" s="22"/>
      <c r="JG24" s="22"/>
      <c r="JH24" s="22"/>
      <c r="JI24" s="22"/>
      <c r="JJ24" s="22"/>
      <c r="JK24" s="22"/>
      <c r="JL24" s="22"/>
      <c r="JM24" s="22"/>
      <c r="JN24" s="22"/>
      <c r="JO24" s="22"/>
      <c r="JP24" s="22"/>
      <c r="JQ24" s="22"/>
      <c r="JR24" s="22"/>
      <c r="JS24" s="22"/>
      <c r="JT24" s="22"/>
      <c r="JU24" s="22"/>
      <c r="JV24" s="22"/>
      <c r="JW24" s="22"/>
      <c r="JX24" s="22"/>
      <c r="JY24" s="22"/>
      <c r="JZ24" s="22"/>
      <c r="KA24" s="22"/>
      <c r="KB24" s="22"/>
      <c r="KC24" s="22"/>
      <c r="KD24" s="22"/>
      <c r="KE24" s="22"/>
      <c r="KF24" s="22"/>
      <c r="KG24" s="22"/>
      <c r="KH24" s="22"/>
      <c r="KI24" s="22"/>
      <c r="KJ24" s="22"/>
      <c r="KK24" s="22"/>
      <c r="KL24" s="22"/>
      <c r="KM24" s="22"/>
      <c r="KN24" s="22"/>
      <c r="KO24" s="22"/>
      <c r="KP24" s="22"/>
      <c r="KQ24" s="22"/>
      <c r="KR24" s="22"/>
      <c r="KS24" s="22"/>
      <c r="KT24" s="22"/>
      <c r="KU24" s="22"/>
      <c r="KV24" s="22"/>
      <c r="KW24" s="22"/>
      <c r="KX24" s="22"/>
      <c r="KY24" s="22"/>
      <c r="KZ24" s="22"/>
      <c r="LA24" s="22"/>
      <c r="LB24" s="22"/>
      <c r="LC24" s="22"/>
      <c r="LD24" s="22"/>
      <c r="LE24" s="22"/>
      <c r="LF24" s="22"/>
      <c r="LG24" s="22"/>
      <c r="LH24" s="22"/>
      <c r="LI24" s="22"/>
      <c r="LJ24" s="22"/>
      <c r="LK24" s="22"/>
      <c r="LL24" s="22"/>
      <c r="LM24" s="22"/>
      <c r="LN24" s="22"/>
      <c r="LO24" s="22"/>
      <c r="LP24" s="22"/>
      <c r="LQ24" s="22"/>
      <c r="LR24" s="22"/>
      <c r="LS24" s="22"/>
      <c r="LT24" s="22"/>
      <c r="LU24" s="22"/>
      <c r="LV24" s="22"/>
      <c r="LW24" s="22"/>
      <c r="LX24" s="22"/>
      <c r="LY24" s="22"/>
      <c r="LZ24" s="22"/>
      <c r="MA24" s="22"/>
      <c r="MB24" s="22"/>
      <c r="MC24" s="22"/>
      <c r="MD24" s="22"/>
      <c r="ME24" s="22"/>
      <c r="MF24" s="22"/>
      <c r="MG24" s="22"/>
      <c r="MH24" s="22"/>
      <c r="MI24" s="22"/>
      <c r="MJ24" s="22"/>
      <c r="MK24" s="22"/>
      <c r="ML24" s="22"/>
      <c r="MM24" s="22"/>
      <c r="MN24" s="22"/>
      <c r="MO24" s="22"/>
      <c r="MP24" s="22"/>
      <c r="MQ24" s="22"/>
      <c r="MR24" s="22"/>
      <c r="MS24" s="22"/>
      <c r="MT24" s="22"/>
      <c r="MU24" s="22"/>
      <c r="MV24" s="22"/>
      <c r="MW24" s="22"/>
      <c r="MX24" s="22"/>
      <c r="MY24" s="22"/>
      <c r="MZ24" s="22"/>
      <c r="NA24" s="22"/>
      <c r="NB24" s="22"/>
      <c r="NC24" s="22"/>
      <c r="ND24" s="22"/>
      <c r="NE24" s="22"/>
      <c r="NF24" s="22"/>
      <c r="NG24" s="22"/>
      <c r="NH24" s="22"/>
      <c r="NI24" s="22"/>
      <c r="NJ24" s="22"/>
      <c r="NK24" s="22"/>
      <c r="NL24" s="22"/>
      <c r="NM24" s="22"/>
      <c r="NN24" s="22"/>
      <c r="NO24" s="22"/>
      <c r="NP24" s="22"/>
      <c r="NQ24" s="22"/>
      <c r="NR24" s="22"/>
      <c r="NS24" s="22"/>
      <c r="NT24" s="22"/>
      <c r="NU24" s="22"/>
      <c r="NV24" s="22"/>
      <c r="NW24" s="22"/>
      <c r="NX24" s="22"/>
      <c r="NY24" s="22"/>
      <c r="NZ24" s="22"/>
      <c r="OA24" s="22"/>
      <c r="OB24" s="22"/>
      <c r="OC24" s="22"/>
      <c r="OD24" s="22"/>
      <c r="OE24" s="22"/>
      <c r="OF24" s="22"/>
      <c r="OG24" s="22"/>
      <c r="OH24" s="22"/>
      <c r="OI24" s="22"/>
      <c r="OJ24" s="22"/>
      <c r="OK24" s="22"/>
      <c r="OL24" s="22"/>
      <c r="OM24" s="22"/>
      <c r="ON24" s="22"/>
      <c r="OO24" s="22"/>
      <c r="OP24" s="22"/>
      <c r="OQ24" s="22"/>
      <c r="OR24" s="22"/>
      <c r="OS24" s="22"/>
      <c r="OT24" s="22"/>
      <c r="OU24" s="22"/>
      <c r="OV24" s="22"/>
      <c r="OW24" s="22"/>
      <c r="OX24" s="22"/>
      <c r="OY24" s="22"/>
      <c r="OZ24" s="22"/>
      <c r="PA24" s="22"/>
      <c r="PB24" s="22"/>
      <c r="PC24" s="22"/>
      <c r="PD24" s="22"/>
      <c r="PE24" s="22"/>
      <c r="PF24" s="22"/>
      <c r="PG24" s="22"/>
      <c r="PH24" s="22"/>
      <c r="PI24" s="22"/>
      <c r="PJ24" s="22"/>
      <c r="PK24" s="22"/>
      <c r="PL24" s="22"/>
      <c r="PM24" s="22"/>
      <c r="PN24" s="22"/>
      <c r="PO24" s="22"/>
      <c r="PP24" s="22"/>
      <c r="PQ24" s="22"/>
      <c r="PR24" s="22"/>
      <c r="PS24" s="22"/>
      <c r="PT24" s="22"/>
      <c r="PU24" s="22"/>
      <c r="PV24" s="22"/>
      <c r="PW24" s="22"/>
      <c r="PX24" s="22"/>
      <c r="PY24" s="22"/>
      <c r="PZ24" s="22"/>
      <c r="QA24" s="22"/>
      <c r="QB24" s="22"/>
      <c r="QC24" s="22"/>
      <c r="QD24" s="22"/>
      <c r="QE24" s="22"/>
      <c r="QF24" s="22"/>
      <c r="QG24" s="22"/>
      <c r="QH24" s="22"/>
      <c r="QI24" s="22"/>
      <c r="QJ24" s="22"/>
      <c r="QK24" s="22"/>
      <c r="QL24" s="22"/>
      <c r="QM24" s="22"/>
      <c r="QN24" s="22"/>
      <c r="QO24" s="22"/>
      <c r="QP24" s="22"/>
      <c r="QQ24" s="22"/>
      <c r="QR24" s="22"/>
      <c r="QS24" s="22"/>
      <c r="QT24" s="22"/>
      <c r="QU24" s="22"/>
      <c r="QV24" s="22"/>
      <c r="QW24" s="22"/>
      <c r="QX24" s="22"/>
      <c r="QY24" s="22"/>
      <c r="QZ24" s="22"/>
      <c r="RA24" s="22"/>
      <c r="RB24" s="22"/>
      <c r="RC24" s="22"/>
    </row>
    <row r="25" hidden="1">
      <c r="A25" s="22" t="str">
        <f t="shared" si="53"/>
        <v>Stress Target</v>
      </c>
      <c r="B25" s="414">
        <f t="shared" si="54"/>
        <v>4</v>
      </c>
      <c r="C25" s="414" t="str">
        <f t="shared" si="55"/>
        <v/>
      </c>
      <c r="D25" s="414" t="str">
        <f t="shared" si="56"/>
        <v/>
      </c>
      <c r="E25" s="414" t="str">
        <f t="shared" si="57"/>
        <v/>
      </c>
      <c r="F25" s="414" t="str">
        <f t="shared" si="58"/>
        <v/>
      </c>
      <c r="G25" s="414" t="str">
        <f t="shared" si="59"/>
        <v/>
      </c>
      <c r="H25" s="414" t="str">
        <f t="shared" si="60"/>
        <v/>
      </c>
      <c r="I25" s="414" t="str">
        <f t="shared" si="61"/>
        <v/>
      </c>
      <c r="J25" s="414" t="str">
        <f t="shared" si="62"/>
        <v/>
      </c>
      <c r="K25" s="414" t="str">
        <f t="shared" si="63"/>
        <v/>
      </c>
      <c r="L25" s="414" t="str">
        <f t="shared" si="64"/>
        <v/>
      </c>
      <c r="M25" s="414" t="str">
        <f t="shared" si="65"/>
        <v/>
      </c>
      <c r="N25" s="414" t="str">
        <f t="shared" si="66"/>
        <v/>
      </c>
      <c r="O25" s="414" t="str">
        <f t="shared" si="67"/>
        <v/>
      </c>
      <c r="P25" s="414" t="str">
        <f t="shared" si="68"/>
        <v/>
      </c>
      <c r="Q25" s="414" t="str">
        <f t="shared" si="69"/>
        <v/>
      </c>
      <c r="R25" s="414" t="str">
        <f t="shared" si="70"/>
        <v/>
      </c>
      <c r="S25" s="414" t="str">
        <f t="shared" si="71"/>
        <v/>
      </c>
      <c r="T25" s="414" t="str">
        <f t="shared" si="72"/>
        <v/>
      </c>
      <c r="U25" s="414" t="str">
        <f t="shared" si="73"/>
        <v/>
      </c>
      <c r="V25" s="414" t="str">
        <f t="shared" si="74"/>
        <v/>
      </c>
      <c r="W25" s="414" t="str">
        <f t="shared" si="75"/>
        <v/>
      </c>
      <c r="X25" s="414" t="str">
        <f t="shared" si="76"/>
        <v/>
      </c>
      <c r="Y25" s="414" t="str">
        <f t="shared" si="77"/>
        <v/>
      </c>
      <c r="Z25" s="414" t="str">
        <f t="shared" si="78"/>
        <v/>
      </c>
      <c r="AA25" s="414" t="str">
        <f t="shared" si="79"/>
        <v/>
      </c>
      <c r="AB25" s="414" t="str">
        <f t="shared" si="80"/>
        <v/>
      </c>
      <c r="AC25" s="414" t="str">
        <f t="shared" si="81"/>
        <v/>
      </c>
      <c r="AD25" s="414" t="str">
        <f t="shared" si="82"/>
        <v/>
      </c>
      <c r="AE25" s="414" t="str">
        <f t="shared" si="83"/>
        <v/>
      </c>
      <c r="AF25" s="414" t="str">
        <f t="shared" si="84"/>
        <v/>
      </c>
      <c r="AG25" s="414" t="str">
        <f t="shared" si="85"/>
        <v/>
      </c>
      <c r="AH25" s="414" t="str">
        <f t="shared" si="86"/>
        <v/>
      </c>
      <c r="AI25" s="414" t="str">
        <f t="shared" si="87"/>
        <v/>
      </c>
      <c r="AJ25" s="414" t="str">
        <f t="shared" si="88"/>
        <v/>
      </c>
      <c r="AK25" s="414" t="str">
        <f t="shared" si="89"/>
        <v/>
      </c>
      <c r="AL25" s="414" t="str">
        <f t="shared" si="90"/>
        <v/>
      </c>
      <c r="AM25" s="414" t="str">
        <f t="shared" si="91"/>
        <v/>
      </c>
      <c r="AN25" s="414" t="str">
        <f t="shared" si="92"/>
        <v/>
      </c>
      <c r="AO25" s="414" t="str">
        <f t="shared" si="93"/>
        <v/>
      </c>
      <c r="AP25" s="414" t="str">
        <f t="shared" si="94"/>
        <v/>
      </c>
      <c r="AQ25" s="414" t="str">
        <f t="shared" si="95"/>
        <v/>
      </c>
      <c r="AR25" s="414" t="str">
        <f t="shared" si="96"/>
        <v/>
      </c>
      <c r="AS25" s="414" t="str">
        <f t="shared" si="97"/>
        <v/>
      </c>
      <c r="AT25" s="414" t="str">
        <f t="shared" si="98"/>
        <v/>
      </c>
      <c r="AU25" s="414" t="str">
        <f t="shared" si="99"/>
        <v/>
      </c>
      <c r="AV25" s="414" t="str">
        <f t="shared" si="100"/>
        <v/>
      </c>
      <c r="AW25" s="414" t="str">
        <f t="shared" si="101"/>
        <v/>
      </c>
      <c r="AX25" s="414" t="str">
        <f t="shared" si="102"/>
        <v/>
      </c>
      <c r="AY25" s="414" t="str">
        <f t="shared" si="103"/>
        <v/>
      </c>
      <c r="AZ25" s="414" t="str">
        <f t="shared" si="104"/>
        <v/>
      </c>
      <c r="BA25" s="414" t="str">
        <f t="shared" si="105"/>
        <v/>
      </c>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c r="IU25" s="22"/>
      <c r="IV25" s="22"/>
      <c r="IW25" s="22"/>
      <c r="IX25" s="22"/>
      <c r="IY25" s="22"/>
      <c r="IZ25" s="22"/>
      <c r="JA25" s="22"/>
      <c r="JB25" s="22"/>
      <c r="JC25" s="22"/>
      <c r="JD25" s="22"/>
      <c r="JE25" s="22"/>
      <c r="JF25" s="22"/>
      <c r="JG25" s="22"/>
      <c r="JH25" s="22"/>
      <c r="JI25" s="22"/>
      <c r="JJ25" s="22"/>
      <c r="JK25" s="22"/>
      <c r="JL25" s="22"/>
      <c r="JM25" s="22"/>
      <c r="JN25" s="22"/>
      <c r="JO25" s="22"/>
      <c r="JP25" s="22"/>
      <c r="JQ25" s="22"/>
      <c r="JR25" s="22"/>
      <c r="JS25" s="22"/>
      <c r="JT25" s="22"/>
      <c r="JU25" s="22"/>
      <c r="JV25" s="22"/>
      <c r="JW25" s="22"/>
      <c r="JX25" s="22"/>
      <c r="JY25" s="22"/>
      <c r="JZ25" s="22"/>
      <c r="KA25" s="22"/>
      <c r="KB25" s="22"/>
      <c r="KC25" s="22"/>
      <c r="KD25" s="22"/>
      <c r="KE25" s="22"/>
      <c r="KF25" s="22"/>
      <c r="KG25" s="22"/>
      <c r="KH25" s="22"/>
      <c r="KI25" s="22"/>
      <c r="KJ25" s="22"/>
      <c r="KK25" s="22"/>
      <c r="KL25" s="22"/>
      <c r="KM25" s="22"/>
      <c r="KN25" s="22"/>
      <c r="KO25" s="22"/>
      <c r="KP25" s="22"/>
      <c r="KQ25" s="22"/>
      <c r="KR25" s="22"/>
      <c r="KS25" s="22"/>
      <c r="KT25" s="22"/>
      <c r="KU25" s="22"/>
      <c r="KV25" s="22"/>
      <c r="KW25" s="22"/>
      <c r="KX25" s="22"/>
      <c r="KY25" s="22"/>
      <c r="KZ25" s="22"/>
      <c r="LA25" s="22"/>
      <c r="LB25" s="22"/>
      <c r="LC25" s="22"/>
      <c r="LD25" s="22"/>
      <c r="LE25" s="22"/>
      <c r="LF25" s="22"/>
      <c r="LG25" s="22"/>
      <c r="LH25" s="22"/>
      <c r="LI25" s="22"/>
      <c r="LJ25" s="22"/>
      <c r="LK25" s="22"/>
      <c r="LL25" s="22"/>
      <c r="LM25" s="22"/>
      <c r="LN25" s="22"/>
      <c r="LO25" s="22"/>
      <c r="LP25" s="22"/>
      <c r="LQ25" s="22"/>
      <c r="LR25" s="22"/>
      <c r="LS25" s="22"/>
      <c r="LT25" s="22"/>
      <c r="LU25" s="22"/>
      <c r="LV25" s="22"/>
      <c r="LW25" s="22"/>
      <c r="LX25" s="22"/>
      <c r="LY25" s="22"/>
      <c r="LZ25" s="22"/>
      <c r="MA25" s="22"/>
      <c r="MB25" s="22"/>
      <c r="MC25" s="22"/>
      <c r="MD25" s="22"/>
      <c r="ME25" s="22"/>
      <c r="MF25" s="22"/>
      <c r="MG25" s="22"/>
      <c r="MH25" s="22"/>
      <c r="MI25" s="22"/>
      <c r="MJ25" s="22"/>
      <c r="MK25" s="22"/>
      <c r="ML25" s="22"/>
      <c r="MM25" s="22"/>
      <c r="MN25" s="22"/>
      <c r="MO25" s="22"/>
      <c r="MP25" s="22"/>
      <c r="MQ25" s="22"/>
      <c r="MR25" s="22"/>
      <c r="MS25" s="22"/>
      <c r="MT25" s="22"/>
      <c r="MU25" s="22"/>
      <c r="MV25" s="22"/>
      <c r="MW25" s="22"/>
      <c r="MX25" s="22"/>
      <c r="MY25" s="22"/>
      <c r="MZ25" s="22"/>
      <c r="NA25" s="22"/>
      <c r="NB25" s="22"/>
      <c r="NC25" s="22"/>
      <c r="ND25" s="22"/>
      <c r="NE25" s="22"/>
      <c r="NF25" s="22"/>
      <c r="NG25" s="22"/>
      <c r="NH25" s="22"/>
      <c r="NI25" s="22"/>
      <c r="NJ25" s="22"/>
      <c r="NK25" s="22"/>
      <c r="NL25" s="22"/>
      <c r="NM25" s="22"/>
      <c r="NN25" s="22"/>
      <c r="NO25" s="22"/>
      <c r="NP25" s="22"/>
      <c r="NQ25" s="22"/>
      <c r="NR25" s="22"/>
      <c r="NS25" s="22"/>
      <c r="NT25" s="22"/>
      <c r="NU25" s="22"/>
      <c r="NV25" s="22"/>
      <c r="NW25" s="22"/>
      <c r="NX25" s="22"/>
      <c r="NY25" s="22"/>
      <c r="NZ25" s="22"/>
      <c r="OA25" s="22"/>
      <c r="OB25" s="22"/>
      <c r="OC25" s="22"/>
      <c r="OD25" s="22"/>
      <c r="OE25" s="22"/>
      <c r="OF25" s="22"/>
      <c r="OG25" s="22"/>
      <c r="OH25" s="22"/>
      <c r="OI25" s="22"/>
      <c r="OJ25" s="22"/>
      <c r="OK25" s="22"/>
      <c r="OL25" s="22"/>
      <c r="OM25" s="22"/>
      <c r="ON25" s="22"/>
      <c r="OO25" s="22"/>
      <c r="OP25" s="22"/>
      <c r="OQ25" s="22"/>
      <c r="OR25" s="22"/>
      <c r="OS25" s="22"/>
      <c r="OT25" s="22"/>
      <c r="OU25" s="22"/>
      <c r="OV25" s="22"/>
      <c r="OW25" s="22"/>
      <c r="OX25" s="22"/>
      <c r="OY25" s="22"/>
      <c r="OZ25" s="22"/>
      <c r="PA25" s="22"/>
      <c r="PB25" s="22"/>
      <c r="PC25" s="22"/>
      <c r="PD25" s="22"/>
      <c r="PE25" s="22"/>
      <c r="PF25" s="22"/>
      <c r="PG25" s="22"/>
      <c r="PH25" s="22"/>
      <c r="PI25" s="22"/>
      <c r="PJ25" s="22"/>
      <c r="PK25" s="22"/>
      <c r="PL25" s="22"/>
      <c r="PM25" s="22"/>
      <c r="PN25" s="22"/>
      <c r="PO25" s="22"/>
      <c r="PP25" s="22"/>
      <c r="PQ25" s="22"/>
      <c r="PR25" s="22"/>
      <c r="PS25" s="22"/>
      <c r="PT25" s="22"/>
      <c r="PU25" s="22"/>
      <c r="PV25" s="22"/>
      <c r="PW25" s="22"/>
      <c r="PX25" s="22"/>
      <c r="PY25" s="22"/>
      <c r="PZ25" s="22"/>
      <c r="QA25" s="22"/>
      <c r="QB25" s="22"/>
      <c r="QC25" s="22"/>
      <c r="QD25" s="22"/>
      <c r="QE25" s="22"/>
      <c r="QF25" s="22"/>
      <c r="QG25" s="22"/>
      <c r="QH25" s="22"/>
      <c r="QI25" s="22"/>
      <c r="QJ25" s="22"/>
      <c r="QK25" s="22"/>
      <c r="QL25" s="22"/>
      <c r="QM25" s="22"/>
      <c r="QN25" s="22"/>
      <c r="QO25" s="22"/>
      <c r="QP25" s="22"/>
      <c r="QQ25" s="22"/>
      <c r="QR25" s="22"/>
      <c r="QS25" s="22"/>
      <c r="QT25" s="22"/>
      <c r="QU25" s="22"/>
      <c r="QV25" s="22"/>
      <c r="QW25" s="22"/>
      <c r="QX25" s="22"/>
      <c r="QY25" s="22"/>
      <c r="QZ25" s="22"/>
      <c r="RA25" s="22"/>
      <c r="RB25" s="22"/>
      <c r="RC25" s="22"/>
    </row>
    <row r="26" hidden="1">
      <c r="A26" s="22" t="str">
        <f t="shared" si="53"/>
        <v>Resistance Exercise Target</v>
      </c>
      <c r="B26" s="414" t="str">
        <f t="shared" si="54"/>
        <v/>
      </c>
      <c r="C26" s="414" t="str">
        <f t="shared" si="55"/>
        <v/>
      </c>
      <c r="D26" s="414" t="str">
        <f t="shared" si="56"/>
        <v/>
      </c>
      <c r="E26" s="414" t="str">
        <f t="shared" si="57"/>
        <v/>
      </c>
      <c r="F26" s="414" t="str">
        <f t="shared" si="58"/>
        <v/>
      </c>
      <c r="G26" s="414" t="str">
        <f t="shared" si="59"/>
        <v/>
      </c>
      <c r="H26" s="414" t="str">
        <f t="shared" si="60"/>
        <v/>
      </c>
      <c r="I26" s="414" t="str">
        <f t="shared" si="61"/>
        <v/>
      </c>
      <c r="J26" s="414" t="str">
        <f t="shared" si="62"/>
        <v/>
      </c>
      <c r="K26" s="414" t="str">
        <f t="shared" si="63"/>
        <v/>
      </c>
      <c r="L26" s="414" t="str">
        <f t="shared" si="64"/>
        <v/>
      </c>
      <c r="M26" s="414" t="str">
        <f t="shared" si="65"/>
        <v/>
      </c>
      <c r="N26" s="414" t="str">
        <f t="shared" si="66"/>
        <v/>
      </c>
      <c r="O26" s="414" t="str">
        <f t="shared" si="67"/>
        <v/>
      </c>
      <c r="P26" s="414" t="str">
        <f t="shared" si="68"/>
        <v/>
      </c>
      <c r="Q26" s="414" t="str">
        <f t="shared" si="69"/>
        <v/>
      </c>
      <c r="R26" s="414" t="str">
        <f t="shared" si="70"/>
        <v/>
      </c>
      <c r="S26" s="414" t="str">
        <f t="shared" si="71"/>
        <v/>
      </c>
      <c r="T26" s="414" t="str">
        <f t="shared" si="72"/>
        <v/>
      </c>
      <c r="U26" s="414" t="str">
        <f t="shared" si="73"/>
        <v/>
      </c>
      <c r="V26" s="414" t="str">
        <f t="shared" si="74"/>
        <v/>
      </c>
      <c r="W26" s="414" t="str">
        <f t="shared" si="75"/>
        <v/>
      </c>
      <c r="X26" s="414" t="str">
        <f t="shared" si="76"/>
        <v/>
      </c>
      <c r="Y26" s="414" t="str">
        <f t="shared" si="77"/>
        <v/>
      </c>
      <c r="Z26" s="414" t="str">
        <f t="shared" si="78"/>
        <v/>
      </c>
      <c r="AA26" s="414" t="str">
        <f t="shared" si="79"/>
        <v/>
      </c>
      <c r="AB26" s="414" t="str">
        <f t="shared" si="80"/>
        <v/>
      </c>
      <c r="AC26" s="414" t="str">
        <f t="shared" si="81"/>
        <v/>
      </c>
      <c r="AD26" s="414" t="str">
        <f t="shared" si="82"/>
        <v/>
      </c>
      <c r="AE26" s="414" t="str">
        <f t="shared" si="83"/>
        <v/>
      </c>
      <c r="AF26" s="414" t="str">
        <f t="shared" si="84"/>
        <v/>
      </c>
      <c r="AG26" s="414" t="str">
        <f t="shared" si="85"/>
        <v/>
      </c>
      <c r="AH26" s="414" t="str">
        <f t="shared" si="86"/>
        <v/>
      </c>
      <c r="AI26" s="414" t="str">
        <f t="shared" si="87"/>
        <v/>
      </c>
      <c r="AJ26" s="414" t="str">
        <f t="shared" si="88"/>
        <v/>
      </c>
      <c r="AK26" s="414" t="str">
        <f t="shared" si="89"/>
        <v/>
      </c>
      <c r="AL26" s="414" t="str">
        <f t="shared" si="90"/>
        <v/>
      </c>
      <c r="AM26" s="414" t="str">
        <f t="shared" si="91"/>
        <v/>
      </c>
      <c r="AN26" s="414" t="str">
        <f t="shared" si="92"/>
        <v/>
      </c>
      <c r="AO26" s="414" t="str">
        <f t="shared" si="93"/>
        <v/>
      </c>
      <c r="AP26" s="414" t="str">
        <f t="shared" si="94"/>
        <v/>
      </c>
      <c r="AQ26" s="414" t="str">
        <f t="shared" si="95"/>
        <v/>
      </c>
      <c r="AR26" s="414" t="str">
        <f t="shared" si="96"/>
        <v/>
      </c>
      <c r="AS26" s="414" t="str">
        <f t="shared" si="97"/>
        <v/>
      </c>
      <c r="AT26" s="414" t="str">
        <f t="shared" si="98"/>
        <v/>
      </c>
      <c r="AU26" s="414" t="str">
        <f t="shared" si="99"/>
        <v/>
      </c>
      <c r="AV26" s="414" t="str">
        <f t="shared" si="100"/>
        <v/>
      </c>
      <c r="AW26" s="414" t="str">
        <f t="shared" si="101"/>
        <v/>
      </c>
      <c r="AX26" s="414" t="str">
        <f t="shared" si="102"/>
        <v/>
      </c>
      <c r="AY26" s="414" t="str">
        <f t="shared" si="103"/>
        <v/>
      </c>
      <c r="AZ26" s="414" t="str">
        <f t="shared" si="104"/>
        <v/>
      </c>
      <c r="BA26" s="414" t="str">
        <f t="shared" si="105"/>
        <v/>
      </c>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c r="IU26" s="22"/>
      <c r="IV26" s="22"/>
      <c r="IW26" s="22"/>
      <c r="IX26" s="22"/>
      <c r="IY26" s="22"/>
      <c r="IZ26" s="22"/>
      <c r="JA26" s="22"/>
      <c r="JB26" s="22"/>
      <c r="JC26" s="22"/>
      <c r="JD26" s="22"/>
      <c r="JE26" s="22"/>
      <c r="JF26" s="22"/>
      <c r="JG26" s="22"/>
      <c r="JH26" s="22"/>
      <c r="JI26" s="22"/>
      <c r="JJ26" s="22"/>
      <c r="JK26" s="22"/>
      <c r="JL26" s="22"/>
      <c r="JM26" s="22"/>
      <c r="JN26" s="22"/>
      <c r="JO26" s="22"/>
      <c r="JP26" s="22"/>
      <c r="JQ26" s="22"/>
      <c r="JR26" s="22"/>
      <c r="JS26" s="22"/>
      <c r="JT26" s="22"/>
      <c r="JU26" s="22"/>
      <c r="JV26" s="22"/>
      <c r="JW26" s="22"/>
      <c r="JX26" s="22"/>
      <c r="JY26" s="22"/>
      <c r="JZ26" s="22"/>
      <c r="KA26" s="22"/>
      <c r="KB26" s="22"/>
      <c r="KC26" s="22"/>
      <c r="KD26" s="22"/>
      <c r="KE26" s="22"/>
      <c r="KF26" s="22"/>
      <c r="KG26" s="22"/>
      <c r="KH26" s="22"/>
      <c r="KI26" s="22"/>
      <c r="KJ26" s="22"/>
      <c r="KK26" s="22"/>
      <c r="KL26" s="22"/>
      <c r="KM26" s="22"/>
      <c r="KN26" s="22"/>
      <c r="KO26" s="22"/>
      <c r="KP26" s="22"/>
      <c r="KQ26" s="22"/>
      <c r="KR26" s="22"/>
      <c r="KS26" s="22"/>
      <c r="KT26" s="22"/>
      <c r="KU26" s="22"/>
      <c r="KV26" s="22"/>
      <c r="KW26" s="22"/>
      <c r="KX26" s="22"/>
      <c r="KY26" s="22"/>
      <c r="KZ26" s="22"/>
      <c r="LA26" s="22"/>
      <c r="LB26" s="22"/>
      <c r="LC26" s="22"/>
      <c r="LD26" s="22"/>
      <c r="LE26" s="22"/>
      <c r="LF26" s="22"/>
      <c r="LG26" s="22"/>
      <c r="LH26" s="22"/>
      <c r="LI26" s="22"/>
      <c r="LJ26" s="22"/>
      <c r="LK26" s="22"/>
      <c r="LL26" s="22"/>
      <c r="LM26" s="22"/>
      <c r="LN26" s="22"/>
      <c r="LO26" s="22"/>
      <c r="LP26" s="22"/>
      <c r="LQ26" s="22"/>
      <c r="LR26" s="22"/>
      <c r="LS26" s="22"/>
      <c r="LT26" s="22"/>
      <c r="LU26" s="22"/>
      <c r="LV26" s="22"/>
      <c r="LW26" s="22"/>
      <c r="LX26" s="22"/>
      <c r="LY26" s="22"/>
      <c r="LZ26" s="22"/>
      <c r="MA26" s="22"/>
      <c r="MB26" s="22"/>
      <c r="MC26" s="22"/>
      <c r="MD26" s="22"/>
      <c r="ME26" s="22"/>
      <c r="MF26" s="22"/>
      <c r="MG26" s="22"/>
      <c r="MH26" s="22"/>
      <c r="MI26" s="22"/>
      <c r="MJ26" s="22"/>
      <c r="MK26" s="22"/>
      <c r="ML26" s="22"/>
      <c r="MM26" s="22"/>
      <c r="MN26" s="22"/>
      <c r="MO26" s="22"/>
      <c r="MP26" s="22"/>
      <c r="MQ26" s="22"/>
      <c r="MR26" s="22"/>
      <c r="MS26" s="22"/>
      <c r="MT26" s="22"/>
      <c r="MU26" s="22"/>
      <c r="MV26" s="22"/>
      <c r="MW26" s="22"/>
      <c r="MX26" s="22"/>
      <c r="MY26" s="22"/>
      <c r="MZ26" s="22"/>
      <c r="NA26" s="22"/>
      <c r="NB26" s="22"/>
      <c r="NC26" s="22"/>
      <c r="ND26" s="22"/>
      <c r="NE26" s="22"/>
      <c r="NF26" s="22"/>
      <c r="NG26" s="22"/>
      <c r="NH26" s="22"/>
      <c r="NI26" s="22"/>
      <c r="NJ26" s="22"/>
      <c r="NK26" s="22"/>
      <c r="NL26" s="22"/>
      <c r="NM26" s="22"/>
      <c r="NN26" s="22"/>
      <c r="NO26" s="22"/>
      <c r="NP26" s="22"/>
      <c r="NQ26" s="22"/>
      <c r="NR26" s="22"/>
      <c r="NS26" s="22"/>
      <c r="NT26" s="22"/>
      <c r="NU26" s="22"/>
      <c r="NV26" s="22"/>
      <c r="NW26" s="22"/>
      <c r="NX26" s="22"/>
      <c r="NY26" s="22"/>
      <c r="NZ26" s="22"/>
      <c r="OA26" s="22"/>
      <c r="OB26" s="22"/>
      <c r="OC26" s="22"/>
      <c r="OD26" s="22"/>
      <c r="OE26" s="22"/>
      <c r="OF26" s="22"/>
      <c r="OG26" s="22"/>
      <c r="OH26" s="22"/>
      <c r="OI26" s="22"/>
      <c r="OJ26" s="22"/>
      <c r="OK26" s="22"/>
      <c r="OL26" s="22"/>
      <c r="OM26" s="22"/>
      <c r="ON26" s="22"/>
      <c r="OO26" s="22"/>
      <c r="OP26" s="22"/>
      <c r="OQ26" s="22"/>
      <c r="OR26" s="22"/>
      <c r="OS26" s="22"/>
      <c r="OT26" s="22"/>
      <c r="OU26" s="22"/>
      <c r="OV26" s="22"/>
      <c r="OW26" s="22"/>
      <c r="OX26" s="22"/>
      <c r="OY26" s="22"/>
      <c r="OZ26" s="22"/>
      <c r="PA26" s="22"/>
      <c r="PB26" s="22"/>
      <c r="PC26" s="22"/>
      <c r="PD26" s="22"/>
      <c r="PE26" s="22"/>
      <c r="PF26" s="22"/>
      <c r="PG26" s="22"/>
      <c r="PH26" s="22"/>
      <c r="PI26" s="22"/>
      <c r="PJ26" s="22"/>
      <c r="PK26" s="22"/>
      <c r="PL26" s="22"/>
      <c r="PM26" s="22"/>
      <c r="PN26" s="22"/>
      <c r="PO26" s="22"/>
      <c r="PP26" s="22"/>
      <c r="PQ26" s="22"/>
      <c r="PR26" s="22"/>
      <c r="PS26" s="22"/>
      <c r="PT26" s="22"/>
      <c r="PU26" s="22"/>
      <c r="PV26" s="22"/>
      <c r="PW26" s="22"/>
      <c r="PX26" s="22"/>
      <c r="PY26" s="22"/>
      <c r="PZ26" s="22"/>
      <c r="QA26" s="22"/>
      <c r="QB26" s="22"/>
      <c r="QC26" s="22"/>
      <c r="QD26" s="22"/>
      <c r="QE26" s="22"/>
      <c r="QF26" s="22"/>
      <c r="QG26" s="22"/>
      <c r="QH26" s="22"/>
      <c r="QI26" s="22"/>
      <c r="QJ26" s="22"/>
      <c r="QK26" s="22"/>
      <c r="QL26" s="22"/>
      <c r="QM26" s="22"/>
      <c r="QN26" s="22"/>
      <c r="QO26" s="22"/>
      <c r="QP26" s="22"/>
      <c r="QQ26" s="22"/>
      <c r="QR26" s="22"/>
      <c r="QS26" s="22"/>
      <c r="QT26" s="22"/>
      <c r="QU26" s="22"/>
      <c r="QV26" s="22"/>
      <c r="QW26" s="22"/>
      <c r="QX26" s="22"/>
      <c r="QY26" s="22"/>
      <c r="QZ26" s="22"/>
      <c r="RA26" s="22"/>
      <c r="RB26" s="22"/>
      <c r="RC26" s="22"/>
    </row>
    <row r="27" hidden="1">
      <c r="A27" s="22" t="str">
        <f t="shared" si="53"/>
        <v>Aerobic Exercise Target</v>
      </c>
      <c r="B27" s="414" t="str">
        <f t="shared" si="54"/>
        <v/>
      </c>
      <c r="C27" s="414" t="str">
        <f t="shared" si="55"/>
        <v/>
      </c>
      <c r="D27" s="414" t="str">
        <f t="shared" si="56"/>
        <v/>
      </c>
      <c r="E27" s="414" t="str">
        <f t="shared" si="57"/>
        <v/>
      </c>
      <c r="F27" s="414" t="str">
        <f t="shared" si="58"/>
        <v/>
      </c>
      <c r="G27" s="414" t="str">
        <f t="shared" si="59"/>
        <v/>
      </c>
      <c r="H27" s="414" t="str">
        <f t="shared" si="60"/>
        <v/>
      </c>
      <c r="I27" s="414" t="str">
        <f t="shared" si="61"/>
        <v/>
      </c>
      <c r="J27" s="414" t="str">
        <f t="shared" si="62"/>
        <v/>
      </c>
      <c r="K27" s="414" t="str">
        <f t="shared" si="63"/>
        <v/>
      </c>
      <c r="L27" s="414" t="str">
        <f t="shared" si="64"/>
        <v/>
      </c>
      <c r="M27" s="414" t="str">
        <f t="shared" si="65"/>
        <v/>
      </c>
      <c r="N27" s="414" t="str">
        <f t="shared" si="66"/>
        <v/>
      </c>
      <c r="O27" s="414" t="str">
        <f t="shared" si="67"/>
        <v/>
      </c>
      <c r="P27" s="414" t="str">
        <f t="shared" si="68"/>
        <v/>
      </c>
      <c r="Q27" s="414" t="str">
        <f t="shared" si="69"/>
        <v/>
      </c>
      <c r="R27" s="414" t="str">
        <f t="shared" si="70"/>
        <v/>
      </c>
      <c r="S27" s="414" t="str">
        <f t="shared" si="71"/>
        <v/>
      </c>
      <c r="T27" s="414" t="str">
        <f t="shared" si="72"/>
        <v/>
      </c>
      <c r="U27" s="414" t="str">
        <f t="shared" si="73"/>
        <v/>
      </c>
      <c r="V27" s="414" t="str">
        <f t="shared" si="74"/>
        <v/>
      </c>
      <c r="W27" s="414" t="str">
        <f t="shared" si="75"/>
        <v/>
      </c>
      <c r="X27" s="414" t="str">
        <f t="shared" si="76"/>
        <v/>
      </c>
      <c r="Y27" s="414" t="str">
        <f t="shared" si="77"/>
        <v/>
      </c>
      <c r="Z27" s="414" t="str">
        <f t="shared" si="78"/>
        <v/>
      </c>
      <c r="AA27" s="414" t="str">
        <f t="shared" si="79"/>
        <v/>
      </c>
      <c r="AB27" s="414" t="str">
        <f t="shared" si="80"/>
        <v/>
      </c>
      <c r="AC27" s="414" t="str">
        <f t="shared" si="81"/>
        <v/>
      </c>
      <c r="AD27" s="414" t="str">
        <f t="shared" si="82"/>
        <v/>
      </c>
      <c r="AE27" s="414" t="str">
        <f t="shared" si="83"/>
        <v/>
      </c>
      <c r="AF27" s="414" t="str">
        <f t="shared" si="84"/>
        <v/>
      </c>
      <c r="AG27" s="414" t="str">
        <f t="shared" si="85"/>
        <v/>
      </c>
      <c r="AH27" s="414" t="str">
        <f t="shared" si="86"/>
        <v/>
      </c>
      <c r="AI27" s="414" t="str">
        <f t="shared" si="87"/>
        <v/>
      </c>
      <c r="AJ27" s="414" t="str">
        <f t="shared" si="88"/>
        <v/>
      </c>
      <c r="AK27" s="414" t="str">
        <f t="shared" si="89"/>
        <v/>
      </c>
      <c r="AL27" s="414" t="str">
        <f t="shared" si="90"/>
        <v/>
      </c>
      <c r="AM27" s="414" t="str">
        <f t="shared" si="91"/>
        <v/>
      </c>
      <c r="AN27" s="414" t="str">
        <f t="shared" si="92"/>
        <v/>
      </c>
      <c r="AO27" s="414" t="str">
        <f t="shared" si="93"/>
        <v/>
      </c>
      <c r="AP27" s="414" t="str">
        <f t="shared" si="94"/>
        <v/>
      </c>
      <c r="AQ27" s="414" t="str">
        <f t="shared" si="95"/>
        <v/>
      </c>
      <c r="AR27" s="414" t="str">
        <f t="shared" si="96"/>
        <v/>
      </c>
      <c r="AS27" s="414" t="str">
        <f t="shared" si="97"/>
        <v/>
      </c>
      <c r="AT27" s="414" t="str">
        <f t="shared" si="98"/>
        <v/>
      </c>
      <c r="AU27" s="414" t="str">
        <f t="shared" si="99"/>
        <v/>
      </c>
      <c r="AV27" s="414" t="str">
        <f t="shared" si="100"/>
        <v/>
      </c>
      <c r="AW27" s="414" t="str">
        <f t="shared" si="101"/>
        <v/>
      </c>
      <c r="AX27" s="414" t="str">
        <f t="shared" si="102"/>
        <v/>
      </c>
      <c r="AY27" s="414" t="str">
        <f t="shared" si="103"/>
        <v/>
      </c>
      <c r="AZ27" s="414" t="str">
        <f t="shared" si="104"/>
        <v/>
      </c>
      <c r="BA27" s="414" t="str">
        <f t="shared" si="105"/>
        <v/>
      </c>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c r="IU27" s="22"/>
      <c r="IV27" s="22"/>
      <c r="IW27" s="22"/>
      <c r="IX27" s="22"/>
      <c r="IY27" s="22"/>
      <c r="IZ27" s="22"/>
      <c r="JA27" s="22"/>
      <c r="JB27" s="22"/>
      <c r="JC27" s="22"/>
      <c r="JD27" s="22"/>
      <c r="JE27" s="22"/>
      <c r="JF27" s="22"/>
      <c r="JG27" s="22"/>
      <c r="JH27" s="22"/>
      <c r="JI27" s="22"/>
      <c r="JJ27" s="22"/>
      <c r="JK27" s="22"/>
      <c r="JL27" s="22"/>
      <c r="JM27" s="22"/>
      <c r="JN27" s="22"/>
      <c r="JO27" s="22"/>
      <c r="JP27" s="22"/>
      <c r="JQ27" s="22"/>
      <c r="JR27" s="22"/>
      <c r="JS27" s="22"/>
      <c r="JT27" s="22"/>
      <c r="JU27" s="22"/>
      <c r="JV27" s="22"/>
      <c r="JW27" s="22"/>
      <c r="JX27" s="22"/>
      <c r="JY27" s="22"/>
      <c r="JZ27" s="22"/>
      <c r="KA27" s="22"/>
      <c r="KB27" s="22"/>
      <c r="KC27" s="22"/>
      <c r="KD27" s="22"/>
      <c r="KE27" s="22"/>
      <c r="KF27" s="22"/>
      <c r="KG27" s="22"/>
      <c r="KH27" s="22"/>
      <c r="KI27" s="22"/>
      <c r="KJ27" s="22"/>
      <c r="KK27" s="22"/>
      <c r="KL27" s="22"/>
      <c r="KM27" s="22"/>
      <c r="KN27" s="22"/>
      <c r="KO27" s="22"/>
      <c r="KP27" s="22"/>
      <c r="KQ27" s="22"/>
      <c r="KR27" s="22"/>
      <c r="KS27" s="22"/>
      <c r="KT27" s="22"/>
      <c r="KU27" s="22"/>
      <c r="KV27" s="22"/>
      <c r="KW27" s="22"/>
      <c r="KX27" s="22"/>
      <c r="KY27" s="22"/>
      <c r="KZ27" s="22"/>
      <c r="LA27" s="22"/>
      <c r="LB27" s="22"/>
      <c r="LC27" s="22"/>
      <c r="LD27" s="22"/>
      <c r="LE27" s="22"/>
      <c r="LF27" s="22"/>
      <c r="LG27" s="22"/>
      <c r="LH27" s="22"/>
      <c r="LI27" s="22"/>
      <c r="LJ27" s="22"/>
      <c r="LK27" s="22"/>
      <c r="LL27" s="22"/>
      <c r="LM27" s="22"/>
      <c r="LN27" s="22"/>
      <c r="LO27" s="22"/>
      <c r="LP27" s="22"/>
      <c r="LQ27" s="22"/>
      <c r="LR27" s="22"/>
      <c r="LS27" s="22"/>
      <c r="LT27" s="22"/>
      <c r="LU27" s="22"/>
      <c r="LV27" s="22"/>
      <c r="LW27" s="22"/>
      <c r="LX27" s="22"/>
      <c r="LY27" s="22"/>
      <c r="LZ27" s="22"/>
      <c r="MA27" s="22"/>
      <c r="MB27" s="22"/>
      <c r="MC27" s="22"/>
      <c r="MD27" s="22"/>
      <c r="ME27" s="22"/>
      <c r="MF27" s="22"/>
      <c r="MG27" s="22"/>
      <c r="MH27" s="22"/>
      <c r="MI27" s="22"/>
      <c r="MJ27" s="22"/>
      <c r="MK27" s="22"/>
      <c r="ML27" s="22"/>
      <c r="MM27" s="22"/>
      <c r="MN27" s="22"/>
      <c r="MO27" s="22"/>
      <c r="MP27" s="22"/>
      <c r="MQ27" s="22"/>
      <c r="MR27" s="22"/>
      <c r="MS27" s="22"/>
      <c r="MT27" s="22"/>
      <c r="MU27" s="22"/>
      <c r="MV27" s="22"/>
      <c r="MW27" s="22"/>
      <c r="MX27" s="22"/>
      <c r="MY27" s="22"/>
      <c r="MZ27" s="22"/>
      <c r="NA27" s="22"/>
      <c r="NB27" s="22"/>
      <c r="NC27" s="22"/>
      <c r="ND27" s="22"/>
      <c r="NE27" s="22"/>
      <c r="NF27" s="22"/>
      <c r="NG27" s="22"/>
      <c r="NH27" s="22"/>
      <c r="NI27" s="22"/>
      <c r="NJ27" s="22"/>
      <c r="NK27" s="22"/>
      <c r="NL27" s="22"/>
      <c r="NM27" s="22"/>
      <c r="NN27" s="22"/>
      <c r="NO27" s="22"/>
      <c r="NP27" s="22"/>
      <c r="NQ27" s="22"/>
      <c r="NR27" s="22"/>
      <c r="NS27" s="22"/>
      <c r="NT27" s="22"/>
      <c r="NU27" s="22"/>
      <c r="NV27" s="22"/>
      <c r="NW27" s="22"/>
      <c r="NX27" s="22"/>
      <c r="NY27" s="22"/>
      <c r="NZ27" s="22"/>
      <c r="OA27" s="22"/>
      <c r="OB27" s="22"/>
      <c r="OC27" s="22"/>
      <c r="OD27" s="22"/>
      <c r="OE27" s="22"/>
      <c r="OF27" s="22"/>
      <c r="OG27" s="22"/>
      <c r="OH27" s="22"/>
      <c r="OI27" s="22"/>
      <c r="OJ27" s="22"/>
      <c r="OK27" s="22"/>
      <c r="OL27" s="22"/>
      <c r="OM27" s="22"/>
      <c r="ON27" s="22"/>
      <c r="OO27" s="22"/>
      <c r="OP27" s="22"/>
      <c r="OQ27" s="22"/>
      <c r="OR27" s="22"/>
      <c r="OS27" s="22"/>
      <c r="OT27" s="22"/>
      <c r="OU27" s="22"/>
      <c r="OV27" s="22"/>
      <c r="OW27" s="22"/>
      <c r="OX27" s="22"/>
      <c r="OY27" s="22"/>
      <c r="OZ27" s="22"/>
      <c r="PA27" s="22"/>
      <c r="PB27" s="22"/>
      <c r="PC27" s="22"/>
      <c r="PD27" s="22"/>
      <c r="PE27" s="22"/>
      <c r="PF27" s="22"/>
      <c r="PG27" s="22"/>
      <c r="PH27" s="22"/>
      <c r="PI27" s="22"/>
      <c r="PJ27" s="22"/>
      <c r="PK27" s="22"/>
      <c r="PL27" s="22"/>
      <c r="PM27" s="22"/>
      <c r="PN27" s="22"/>
      <c r="PO27" s="22"/>
      <c r="PP27" s="22"/>
      <c r="PQ27" s="22"/>
      <c r="PR27" s="22"/>
      <c r="PS27" s="22"/>
      <c r="PT27" s="22"/>
      <c r="PU27" s="22"/>
      <c r="PV27" s="22"/>
      <c r="PW27" s="22"/>
      <c r="PX27" s="22"/>
      <c r="PY27" s="22"/>
      <c r="PZ27" s="22"/>
      <c r="QA27" s="22"/>
      <c r="QB27" s="22"/>
      <c r="QC27" s="22"/>
      <c r="QD27" s="22"/>
      <c r="QE27" s="22"/>
      <c r="QF27" s="22"/>
      <c r="QG27" s="22"/>
      <c r="QH27" s="22"/>
      <c r="QI27" s="22"/>
      <c r="QJ27" s="22"/>
      <c r="QK27" s="22"/>
      <c r="QL27" s="22"/>
      <c r="QM27" s="22"/>
      <c r="QN27" s="22"/>
      <c r="QO27" s="22"/>
      <c r="QP27" s="22"/>
      <c r="QQ27" s="22"/>
      <c r="QR27" s="22"/>
      <c r="QS27" s="22"/>
      <c r="QT27" s="22"/>
      <c r="QU27" s="22"/>
      <c r="QV27" s="22"/>
      <c r="QW27" s="22"/>
      <c r="QX27" s="22"/>
      <c r="QY27" s="22"/>
      <c r="QZ27" s="22"/>
      <c r="RA27" s="22"/>
      <c r="RB27" s="22"/>
      <c r="RC27" s="22"/>
    </row>
    <row r="28" hidden="1">
      <c r="A28" s="22" t="str">
        <f t="shared" si="53"/>
        <v>Calorie Target</v>
      </c>
      <c r="B28" s="414" t="str">
        <f t="shared" si="54"/>
        <v/>
      </c>
      <c r="C28" s="414" t="str">
        <f t="shared" si="55"/>
        <v/>
      </c>
      <c r="D28" s="414" t="str">
        <f t="shared" si="56"/>
        <v/>
      </c>
      <c r="E28" s="414" t="str">
        <f t="shared" si="57"/>
        <v/>
      </c>
      <c r="F28" s="414" t="str">
        <f t="shared" si="58"/>
        <v/>
      </c>
      <c r="G28" s="414" t="str">
        <f t="shared" si="59"/>
        <v/>
      </c>
      <c r="H28" s="414" t="str">
        <f t="shared" si="60"/>
        <v/>
      </c>
      <c r="I28" s="414" t="str">
        <f t="shared" si="61"/>
        <v/>
      </c>
      <c r="J28" s="414" t="str">
        <f t="shared" si="62"/>
        <v/>
      </c>
      <c r="K28" s="414" t="str">
        <f t="shared" si="63"/>
        <v/>
      </c>
      <c r="L28" s="414" t="str">
        <f t="shared" si="64"/>
        <v/>
      </c>
      <c r="M28" s="414" t="str">
        <f t="shared" si="65"/>
        <v/>
      </c>
      <c r="N28" s="414" t="str">
        <f t="shared" si="66"/>
        <v/>
      </c>
      <c r="O28" s="414" t="str">
        <f t="shared" si="67"/>
        <v/>
      </c>
      <c r="P28" s="414" t="str">
        <f t="shared" si="68"/>
        <v/>
      </c>
      <c r="Q28" s="414" t="str">
        <f t="shared" si="69"/>
        <v/>
      </c>
      <c r="R28" s="414" t="str">
        <f t="shared" si="70"/>
        <v/>
      </c>
      <c r="S28" s="414" t="str">
        <f t="shared" si="71"/>
        <v/>
      </c>
      <c r="T28" s="414" t="str">
        <f t="shared" si="72"/>
        <v/>
      </c>
      <c r="U28" s="414" t="str">
        <f t="shared" si="73"/>
        <v/>
      </c>
      <c r="V28" s="414" t="str">
        <f t="shared" si="74"/>
        <v/>
      </c>
      <c r="W28" s="414" t="str">
        <f t="shared" si="75"/>
        <v/>
      </c>
      <c r="X28" s="414" t="str">
        <f t="shared" si="76"/>
        <v/>
      </c>
      <c r="Y28" s="414" t="str">
        <f t="shared" si="77"/>
        <v/>
      </c>
      <c r="Z28" s="414" t="str">
        <f t="shared" si="78"/>
        <v/>
      </c>
      <c r="AA28" s="414" t="str">
        <f t="shared" si="79"/>
        <v/>
      </c>
      <c r="AB28" s="414" t="str">
        <f t="shared" si="80"/>
        <v/>
      </c>
      <c r="AC28" s="414" t="str">
        <f t="shared" si="81"/>
        <v/>
      </c>
      <c r="AD28" s="414" t="str">
        <f t="shared" si="82"/>
        <v/>
      </c>
      <c r="AE28" s="414" t="str">
        <f t="shared" si="83"/>
        <v/>
      </c>
      <c r="AF28" s="414" t="str">
        <f t="shared" si="84"/>
        <v/>
      </c>
      <c r="AG28" s="414" t="str">
        <f t="shared" si="85"/>
        <v/>
      </c>
      <c r="AH28" s="414" t="str">
        <f t="shared" si="86"/>
        <v/>
      </c>
      <c r="AI28" s="414" t="str">
        <f t="shared" si="87"/>
        <v/>
      </c>
      <c r="AJ28" s="414" t="str">
        <f t="shared" si="88"/>
        <v/>
      </c>
      <c r="AK28" s="414" t="str">
        <f t="shared" si="89"/>
        <v/>
      </c>
      <c r="AL28" s="414" t="str">
        <f t="shared" si="90"/>
        <v/>
      </c>
      <c r="AM28" s="414" t="str">
        <f t="shared" si="91"/>
        <v/>
      </c>
      <c r="AN28" s="414" t="str">
        <f t="shared" si="92"/>
        <v/>
      </c>
      <c r="AO28" s="414" t="str">
        <f t="shared" si="93"/>
        <v/>
      </c>
      <c r="AP28" s="414" t="str">
        <f t="shared" si="94"/>
        <v/>
      </c>
      <c r="AQ28" s="414" t="str">
        <f t="shared" si="95"/>
        <v/>
      </c>
      <c r="AR28" s="414" t="str">
        <f t="shared" si="96"/>
        <v/>
      </c>
      <c r="AS28" s="414" t="str">
        <f t="shared" si="97"/>
        <v/>
      </c>
      <c r="AT28" s="414" t="str">
        <f t="shared" si="98"/>
        <v/>
      </c>
      <c r="AU28" s="414" t="str">
        <f t="shared" si="99"/>
        <v/>
      </c>
      <c r="AV28" s="414" t="str">
        <f t="shared" si="100"/>
        <v/>
      </c>
      <c r="AW28" s="414" t="str">
        <f t="shared" si="101"/>
        <v/>
      </c>
      <c r="AX28" s="414" t="str">
        <f t="shared" si="102"/>
        <v/>
      </c>
      <c r="AY28" s="414" t="str">
        <f t="shared" si="103"/>
        <v/>
      </c>
      <c r="AZ28" s="414" t="str">
        <f t="shared" si="104"/>
        <v/>
      </c>
      <c r="BA28" s="414" t="str">
        <f t="shared" si="105"/>
        <v/>
      </c>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c r="IU28" s="22"/>
      <c r="IV28" s="22"/>
      <c r="IW28" s="22"/>
      <c r="IX28" s="22"/>
      <c r="IY28" s="22"/>
      <c r="IZ28" s="22"/>
      <c r="JA28" s="22"/>
      <c r="JB28" s="22"/>
      <c r="JC28" s="22"/>
      <c r="JD28" s="22"/>
      <c r="JE28" s="22"/>
      <c r="JF28" s="22"/>
      <c r="JG28" s="22"/>
      <c r="JH28" s="22"/>
      <c r="JI28" s="22"/>
      <c r="JJ28" s="22"/>
      <c r="JK28" s="22"/>
      <c r="JL28" s="22"/>
      <c r="JM28" s="22"/>
      <c r="JN28" s="22"/>
      <c r="JO28" s="22"/>
      <c r="JP28" s="22"/>
      <c r="JQ28" s="22"/>
      <c r="JR28" s="22"/>
      <c r="JS28" s="22"/>
      <c r="JT28" s="22"/>
      <c r="JU28" s="22"/>
      <c r="JV28" s="22"/>
      <c r="JW28" s="22"/>
      <c r="JX28" s="22"/>
      <c r="JY28" s="22"/>
      <c r="JZ28" s="22"/>
      <c r="KA28" s="22"/>
      <c r="KB28" s="22"/>
      <c r="KC28" s="22"/>
      <c r="KD28" s="22"/>
      <c r="KE28" s="22"/>
      <c r="KF28" s="22"/>
      <c r="KG28" s="22"/>
      <c r="KH28" s="22"/>
      <c r="KI28" s="22"/>
      <c r="KJ28" s="22"/>
      <c r="KK28" s="22"/>
      <c r="KL28" s="22"/>
      <c r="KM28" s="22"/>
      <c r="KN28" s="22"/>
      <c r="KO28" s="22"/>
      <c r="KP28" s="22"/>
      <c r="KQ28" s="22"/>
      <c r="KR28" s="22"/>
      <c r="KS28" s="22"/>
      <c r="KT28" s="22"/>
      <c r="KU28" s="22"/>
      <c r="KV28" s="22"/>
      <c r="KW28" s="22"/>
      <c r="KX28" s="22"/>
      <c r="KY28" s="22"/>
      <c r="KZ28" s="22"/>
      <c r="LA28" s="22"/>
      <c r="LB28" s="22"/>
      <c r="LC28" s="22"/>
      <c r="LD28" s="22"/>
      <c r="LE28" s="22"/>
      <c r="LF28" s="22"/>
      <c r="LG28" s="22"/>
      <c r="LH28" s="22"/>
      <c r="LI28" s="22"/>
      <c r="LJ28" s="22"/>
      <c r="LK28" s="22"/>
      <c r="LL28" s="22"/>
      <c r="LM28" s="22"/>
      <c r="LN28" s="22"/>
      <c r="LO28" s="22"/>
      <c r="LP28" s="22"/>
      <c r="LQ28" s="22"/>
      <c r="LR28" s="22"/>
      <c r="LS28" s="22"/>
      <c r="LT28" s="22"/>
      <c r="LU28" s="22"/>
      <c r="LV28" s="22"/>
      <c r="LW28" s="22"/>
      <c r="LX28" s="22"/>
      <c r="LY28" s="22"/>
      <c r="LZ28" s="22"/>
      <c r="MA28" s="22"/>
      <c r="MB28" s="22"/>
      <c r="MC28" s="22"/>
      <c r="MD28" s="22"/>
      <c r="ME28" s="22"/>
      <c r="MF28" s="22"/>
      <c r="MG28" s="22"/>
      <c r="MH28" s="22"/>
      <c r="MI28" s="22"/>
      <c r="MJ28" s="22"/>
      <c r="MK28" s="22"/>
      <c r="ML28" s="22"/>
      <c r="MM28" s="22"/>
      <c r="MN28" s="22"/>
      <c r="MO28" s="22"/>
      <c r="MP28" s="22"/>
      <c r="MQ28" s="22"/>
      <c r="MR28" s="22"/>
      <c r="MS28" s="22"/>
      <c r="MT28" s="22"/>
      <c r="MU28" s="22"/>
      <c r="MV28" s="22"/>
      <c r="MW28" s="22"/>
      <c r="MX28" s="22"/>
      <c r="MY28" s="22"/>
      <c r="MZ28" s="22"/>
      <c r="NA28" s="22"/>
      <c r="NB28" s="22"/>
      <c r="NC28" s="22"/>
      <c r="ND28" s="22"/>
      <c r="NE28" s="22"/>
      <c r="NF28" s="22"/>
      <c r="NG28" s="22"/>
      <c r="NH28" s="22"/>
      <c r="NI28" s="22"/>
      <c r="NJ28" s="22"/>
      <c r="NK28" s="22"/>
      <c r="NL28" s="22"/>
      <c r="NM28" s="22"/>
      <c r="NN28" s="22"/>
      <c r="NO28" s="22"/>
      <c r="NP28" s="22"/>
      <c r="NQ28" s="22"/>
      <c r="NR28" s="22"/>
      <c r="NS28" s="22"/>
      <c r="NT28" s="22"/>
      <c r="NU28" s="22"/>
      <c r="NV28" s="22"/>
      <c r="NW28" s="22"/>
      <c r="NX28" s="22"/>
      <c r="NY28" s="22"/>
      <c r="NZ28" s="22"/>
      <c r="OA28" s="22"/>
      <c r="OB28" s="22"/>
      <c r="OC28" s="22"/>
      <c r="OD28" s="22"/>
      <c r="OE28" s="22"/>
      <c r="OF28" s="22"/>
      <c r="OG28" s="22"/>
      <c r="OH28" s="22"/>
      <c r="OI28" s="22"/>
      <c r="OJ28" s="22"/>
      <c r="OK28" s="22"/>
      <c r="OL28" s="22"/>
      <c r="OM28" s="22"/>
      <c r="ON28" s="22"/>
      <c r="OO28" s="22"/>
      <c r="OP28" s="22"/>
      <c r="OQ28" s="22"/>
      <c r="OR28" s="22"/>
      <c r="OS28" s="22"/>
      <c r="OT28" s="22"/>
      <c r="OU28" s="22"/>
      <c r="OV28" s="22"/>
      <c r="OW28" s="22"/>
      <c r="OX28" s="22"/>
      <c r="OY28" s="22"/>
      <c r="OZ28" s="22"/>
      <c r="PA28" s="22"/>
      <c r="PB28" s="22"/>
      <c r="PC28" s="22"/>
      <c r="PD28" s="22"/>
      <c r="PE28" s="22"/>
      <c r="PF28" s="22"/>
      <c r="PG28" s="22"/>
      <c r="PH28" s="22"/>
      <c r="PI28" s="22"/>
      <c r="PJ28" s="22"/>
      <c r="PK28" s="22"/>
      <c r="PL28" s="22"/>
      <c r="PM28" s="22"/>
      <c r="PN28" s="22"/>
      <c r="PO28" s="22"/>
      <c r="PP28" s="22"/>
      <c r="PQ28" s="22"/>
      <c r="PR28" s="22"/>
      <c r="PS28" s="22"/>
      <c r="PT28" s="22"/>
      <c r="PU28" s="22"/>
      <c r="PV28" s="22"/>
      <c r="PW28" s="22"/>
      <c r="PX28" s="22"/>
      <c r="PY28" s="22"/>
      <c r="PZ28" s="22"/>
      <c r="QA28" s="22"/>
      <c r="QB28" s="22"/>
      <c r="QC28" s="22"/>
      <c r="QD28" s="22"/>
      <c r="QE28" s="22"/>
      <c r="QF28" s="22"/>
      <c r="QG28" s="22"/>
      <c r="QH28" s="22"/>
      <c r="QI28" s="22"/>
      <c r="QJ28" s="22"/>
      <c r="QK28" s="22"/>
      <c r="QL28" s="22"/>
      <c r="QM28" s="22"/>
      <c r="QN28" s="22"/>
      <c r="QO28" s="22"/>
      <c r="QP28" s="22"/>
      <c r="QQ28" s="22"/>
      <c r="QR28" s="22"/>
      <c r="QS28" s="22"/>
      <c r="QT28" s="22"/>
      <c r="QU28" s="22"/>
      <c r="QV28" s="22"/>
      <c r="QW28" s="22"/>
      <c r="QX28" s="22"/>
      <c r="QY28" s="22"/>
      <c r="QZ28" s="22"/>
      <c r="RA28" s="22"/>
      <c r="RB28" s="22"/>
      <c r="RC28" s="22"/>
    </row>
    <row r="29" hidden="1">
      <c r="A29" s="22" t="str">
        <f t="shared" si="53"/>
        <v>Protein Target</v>
      </c>
      <c r="B29" s="414" t="str">
        <f t="shared" si="54"/>
        <v/>
      </c>
      <c r="C29" s="414" t="str">
        <f t="shared" si="55"/>
        <v/>
      </c>
      <c r="D29" s="414" t="str">
        <f t="shared" si="56"/>
        <v/>
      </c>
      <c r="E29" s="414" t="str">
        <f t="shared" si="57"/>
        <v/>
      </c>
      <c r="F29" s="414" t="str">
        <f t="shared" si="58"/>
        <v/>
      </c>
      <c r="G29" s="414" t="str">
        <f t="shared" si="59"/>
        <v/>
      </c>
      <c r="H29" s="414" t="str">
        <f t="shared" si="60"/>
        <v/>
      </c>
      <c r="I29" s="414" t="str">
        <f t="shared" si="61"/>
        <v/>
      </c>
      <c r="J29" s="414" t="str">
        <f t="shared" si="62"/>
        <v/>
      </c>
      <c r="K29" s="414" t="str">
        <f t="shared" si="63"/>
        <v/>
      </c>
      <c r="L29" s="414" t="str">
        <f t="shared" si="64"/>
        <v/>
      </c>
      <c r="M29" s="414" t="str">
        <f t="shared" si="65"/>
        <v/>
      </c>
      <c r="N29" s="414" t="str">
        <f t="shared" si="66"/>
        <v/>
      </c>
      <c r="O29" s="414" t="str">
        <f t="shared" si="67"/>
        <v/>
      </c>
      <c r="P29" s="414" t="str">
        <f t="shared" si="68"/>
        <v/>
      </c>
      <c r="Q29" s="414" t="str">
        <f t="shared" si="69"/>
        <v/>
      </c>
      <c r="R29" s="414" t="str">
        <f t="shared" si="70"/>
        <v/>
      </c>
      <c r="S29" s="414" t="str">
        <f t="shared" si="71"/>
        <v/>
      </c>
      <c r="T29" s="414" t="str">
        <f t="shared" si="72"/>
        <v/>
      </c>
      <c r="U29" s="414" t="str">
        <f t="shared" si="73"/>
        <v/>
      </c>
      <c r="V29" s="414" t="str">
        <f t="shared" si="74"/>
        <v/>
      </c>
      <c r="W29" s="414" t="str">
        <f t="shared" si="75"/>
        <v/>
      </c>
      <c r="X29" s="414" t="str">
        <f t="shared" si="76"/>
        <v/>
      </c>
      <c r="Y29" s="414" t="str">
        <f t="shared" si="77"/>
        <v/>
      </c>
      <c r="Z29" s="414" t="str">
        <f t="shared" si="78"/>
        <v/>
      </c>
      <c r="AA29" s="414" t="str">
        <f t="shared" si="79"/>
        <v/>
      </c>
      <c r="AB29" s="414" t="str">
        <f t="shared" si="80"/>
        <v/>
      </c>
      <c r="AC29" s="414" t="str">
        <f t="shared" si="81"/>
        <v/>
      </c>
      <c r="AD29" s="414" t="str">
        <f t="shared" si="82"/>
        <v/>
      </c>
      <c r="AE29" s="414" t="str">
        <f t="shared" si="83"/>
        <v/>
      </c>
      <c r="AF29" s="414" t="str">
        <f t="shared" si="84"/>
        <v/>
      </c>
      <c r="AG29" s="414" t="str">
        <f t="shared" si="85"/>
        <v/>
      </c>
      <c r="AH29" s="414" t="str">
        <f t="shared" si="86"/>
        <v/>
      </c>
      <c r="AI29" s="414" t="str">
        <f t="shared" si="87"/>
        <v/>
      </c>
      <c r="AJ29" s="414" t="str">
        <f t="shared" si="88"/>
        <v/>
      </c>
      <c r="AK29" s="414" t="str">
        <f t="shared" si="89"/>
        <v/>
      </c>
      <c r="AL29" s="414" t="str">
        <f t="shared" si="90"/>
        <v/>
      </c>
      <c r="AM29" s="414" t="str">
        <f t="shared" si="91"/>
        <v/>
      </c>
      <c r="AN29" s="414" t="str">
        <f t="shared" si="92"/>
        <v/>
      </c>
      <c r="AO29" s="414" t="str">
        <f t="shared" si="93"/>
        <v/>
      </c>
      <c r="AP29" s="414" t="str">
        <f t="shared" si="94"/>
        <v/>
      </c>
      <c r="AQ29" s="414" t="str">
        <f t="shared" si="95"/>
        <v/>
      </c>
      <c r="AR29" s="414" t="str">
        <f t="shared" si="96"/>
        <v/>
      </c>
      <c r="AS29" s="414" t="str">
        <f t="shared" si="97"/>
        <v/>
      </c>
      <c r="AT29" s="414" t="str">
        <f t="shared" si="98"/>
        <v/>
      </c>
      <c r="AU29" s="414" t="str">
        <f t="shared" si="99"/>
        <v/>
      </c>
      <c r="AV29" s="414" t="str">
        <f t="shared" si="100"/>
        <v/>
      </c>
      <c r="AW29" s="414" t="str">
        <f t="shared" si="101"/>
        <v/>
      </c>
      <c r="AX29" s="414" t="str">
        <f t="shared" si="102"/>
        <v/>
      </c>
      <c r="AY29" s="414" t="str">
        <f t="shared" si="103"/>
        <v/>
      </c>
      <c r="AZ29" s="414" t="str">
        <f t="shared" si="104"/>
        <v/>
      </c>
      <c r="BA29" s="414" t="str">
        <f t="shared" si="105"/>
        <v/>
      </c>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c r="IU29" s="22"/>
      <c r="IV29" s="22"/>
      <c r="IW29" s="22"/>
      <c r="IX29" s="22"/>
      <c r="IY29" s="22"/>
      <c r="IZ29" s="22"/>
      <c r="JA29" s="22"/>
      <c r="JB29" s="22"/>
      <c r="JC29" s="22"/>
      <c r="JD29" s="22"/>
      <c r="JE29" s="22"/>
      <c r="JF29" s="22"/>
      <c r="JG29" s="22"/>
      <c r="JH29" s="22"/>
      <c r="JI29" s="22"/>
      <c r="JJ29" s="22"/>
      <c r="JK29" s="22"/>
      <c r="JL29" s="22"/>
      <c r="JM29" s="22"/>
      <c r="JN29" s="22"/>
      <c r="JO29" s="22"/>
      <c r="JP29" s="22"/>
      <c r="JQ29" s="22"/>
      <c r="JR29" s="22"/>
      <c r="JS29" s="22"/>
      <c r="JT29" s="22"/>
      <c r="JU29" s="22"/>
      <c r="JV29" s="22"/>
      <c r="JW29" s="22"/>
      <c r="JX29" s="22"/>
      <c r="JY29" s="22"/>
      <c r="JZ29" s="22"/>
      <c r="KA29" s="22"/>
      <c r="KB29" s="22"/>
      <c r="KC29" s="22"/>
      <c r="KD29" s="22"/>
      <c r="KE29" s="22"/>
      <c r="KF29" s="22"/>
      <c r="KG29" s="22"/>
      <c r="KH29" s="22"/>
      <c r="KI29" s="22"/>
      <c r="KJ29" s="22"/>
      <c r="KK29" s="22"/>
      <c r="KL29" s="22"/>
      <c r="KM29" s="22"/>
      <c r="KN29" s="22"/>
      <c r="KO29" s="22"/>
      <c r="KP29" s="22"/>
      <c r="KQ29" s="22"/>
      <c r="KR29" s="22"/>
      <c r="KS29" s="22"/>
      <c r="KT29" s="22"/>
      <c r="KU29" s="22"/>
      <c r="KV29" s="22"/>
      <c r="KW29" s="22"/>
      <c r="KX29" s="22"/>
      <c r="KY29" s="22"/>
      <c r="KZ29" s="22"/>
      <c r="LA29" s="22"/>
      <c r="LB29" s="22"/>
      <c r="LC29" s="22"/>
      <c r="LD29" s="22"/>
      <c r="LE29" s="22"/>
      <c r="LF29" s="22"/>
      <c r="LG29" s="22"/>
      <c r="LH29" s="22"/>
      <c r="LI29" s="22"/>
      <c r="LJ29" s="22"/>
      <c r="LK29" s="22"/>
      <c r="LL29" s="22"/>
      <c r="LM29" s="22"/>
      <c r="LN29" s="22"/>
      <c r="LO29" s="22"/>
      <c r="LP29" s="22"/>
      <c r="LQ29" s="22"/>
      <c r="LR29" s="22"/>
      <c r="LS29" s="22"/>
      <c r="LT29" s="22"/>
      <c r="LU29" s="22"/>
      <c r="LV29" s="22"/>
      <c r="LW29" s="22"/>
      <c r="LX29" s="22"/>
      <c r="LY29" s="22"/>
      <c r="LZ29" s="22"/>
      <c r="MA29" s="22"/>
      <c r="MB29" s="22"/>
      <c r="MC29" s="22"/>
      <c r="MD29" s="22"/>
      <c r="ME29" s="22"/>
      <c r="MF29" s="22"/>
      <c r="MG29" s="22"/>
      <c r="MH29" s="22"/>
      <c r="MI29" s="22"/>
      <c r="MJ29" s="22"/>
      <c r="MK29" s="22"/>
      <c r="ML29" s="22"/>
      <c r="MM29" s="22"/>
      <c r="MN29" s="22"/>
      <c r="MO29" s="22"/>
      <c r="MP29" s="22"/>
      <c r="MQ29" s="22"/>
      <c r="MR29" s="22"/>
      <c r="MS29" s="22"/>
      <c r="MT29" s="22"/>
      <c r="MU29" s="22"/>
      <c r="MV29" s="22"/>
      <c r="MW29" s="22"/>
      <c r="MX29" s="22"/>
      <c r="MY29" s="22"/>
      <c r="MZ29" s="22"/>
      <c r="NA29" s="22"/>
      <c r="NB29" s="22"/>
      <c r="NC29" s="22"/>
      <c r="ND29" s="22"/>
      <c r="NE29" s="22"/>
      <c r="NF29" s="22"/>
      <c r="NG29" s="22"/>
      <c r="NH29" s="22"/>
      <c r="NI29" s="22"/>
      <c r="NJ29" s="22"/>
      <c r="NK29" s="22"/>
      <c r="NL29" s="22"/>
      <c r="NM29" s="22"/>
      <c r="NN29" s="22"/>
      <c r="NO29" s="22"/>
      <c r="NP29" s="22"/>
      <c r="NQ29" s="22"/>
      <c r="NR29" s="22"/>
      <c r="NS29" s="22"/>
      <c r="NT29" s="22"/>
      <c r="NU29" s="22"/>
      <c r="NV29" s="22"/>
      <c r="NW29" s="22"/>
      <c r="NX29" s="22"/>
      <c r="NY29" s="22"/>
      <c r="NZ29" s="22"/>
      <c r="OA29" s="22"/>
      <c r="OB29" s="22"/>
      <c r="OC29" s="22"/>
      <c r="OD29" s="22"/>
      <c r="OE29" s="22"/>
      <c r="OF29" s="22"/>
      <c r="OG29" s="22"/>
      <c r="OH29" s="22"/>
      <c r="OI29" s="22"/>
      <c r="OJ29" s="22"/>
      <c r="OK29" s="22"/>
      <c r="OL29" s="22"/>
      <c r="OM29" s="22"/>
      <c r="ON29" s="22"/>
      <c r="OO29" s="22"/>
      <c r="OP29" s="22"/>
      <c r="OQ29" s="22"/>
      <c r="OR29" s="22"/>
      <c r="OS29" s="22"/>
      <c r="OT29" s="22"/>
      <c r="OU29" s="22"/>
      <c r="OV29" s="22"/>
      <c r="OW29" s="22"/>
      <c r="OX29" s="22"/>
      <c r="OY29" s="22"/>
      <c r="OZ29" s="22"/>
      <c r="PA29" s="22"/>
      <c r="PB29" s="22"/>
      <c r="PC29" s="22"/>
      <c r="PD29" s="22"/>
      <c r="PE29" s="22"/>
      <c r="PF29" s="22"/>
      <c r="PG29" s="22"/>
      <c r="PH29" s="22"/>
      <c r="PI29" s="22"/>
      <c r="PJ29" s="22"/>
      <c r="PK29" s="22"/>
      <c r="PL29" s="22"/>
      <c r="PM29" s="22"/>
      <c r="PN29" s="22"/>
      <c r="PO29" s="22"/>
      <c r="PP29" s="22"/>
      <c r="PQ29" s="22"/>
      <c r="PR29" s="22"/>
      <c r="PS29" s="22"/>
      <c r="PT29" s="22"/>
      <c r="PU29" s="22"/>
      <c r="PV29" s="22"/>
      <c r="PW29" s="22"/>
      <c r="PX29" s="22"/>
      <c r="PY29" s="22"/>
      <c r="PZ29" s="22"/>
      <c r="QA29" s="22"/>
      <c r="QB29" s="22"/>
      <c r="QC29" s="22"/>
      <c r="QD29" s="22"/>
      <c r="QE29" s="22"/>
      <c r="QF29" s="22"/>
      <c r="QG29" s="22"/>
      <c r="QH29" s="22"/>
      <c r="QI29" s="22"/>
      <c r="QJ29" s="22"/>
      <c r="QK29" s="22"/>
      <c r="QL29" s="22"/>
      <c r="QM29" s="22"/>
      <c r="QN29" s="22"/>
      <c r="QO29" s="22"/>
      <c r="QP29" s="22"/>
      <c r="QQ29" s="22"/>
      <c r="QR29" s="22"/>
      <c r="QS29" s="22"/>
      <c r="QT29" s="22"/>
      <c r="QU29" s="22"/>
      <c r="QV29" s="22"/>
      <c r="QW29" s="22"/>
      <c r="QX29" s="22"/>
      <c r="QY29" s="22"/>
      <c r="QZ29" s="22"/>
      <c r="RA29" s="22"/>
      <c r="RB29" s="22"/>
      <c r="RC29" s="22"/>
    </row>
    <row r="30" hidden="1">
      <c r="A30" s="22" t="str">
        <f t="shared" si="53"/>
        <v>Vegetable Target</v>
      </c>
      <c r="B30" s="414" t="str">
        <f t="shared" si="54"/>
        <v/>
      </c>
      <c r="C30" s="414" t="str">
        <f t="shared" si="55"/>
        <v/>
      </c>
      <c r="D30" s="414" t="str">
        <f t="shared" si="56"/>
        <v/>
      </c>
      <c r="E30" s="414" t="str">
        <f t="shared" si="57"/>
        <v/>
      </c>
      <c r="F30" s="414" t="str">
        <f t="shared" si="58"/>
        <v/>
      </c>
      <c r="G30" s="414" t="str">
        <f t="shared" si="59"/>
        <v/>
      </c>
      <c r="H30" s="414" t="str">
        <f t="shared" si="60"/>
        <v/>
      </c>
      <c r="I30" s="414" t="str">
        <f t="shared" si="61"/>
        <v/>
      </c>
      <c r="J30" s="414" t="str">
        <f t="shared" si="62"/>
        <v/>
      </c>
      <c r="K30" s="414" t="str">
        <f t="shared" si="63"/>
        <v/>
      </c>
      <c r="L30" s="414" t="str">
        <f t="shared" si="64"/>
        <v/>
      </c>
      <c r="M30" s="414" t="str">
        <f t="shared" si="65"/>
        <v/>
      </c>
      <c r="N30" s="414" t="str">
        <f t="shared" si="66"/>
        <v/>
      </c>
      <c r="O30" s="414" t="str">
        <f t="shared" si="67"/>
        <v/>
      </c>
      <c r="P30" s="414" t="str">
        <f t="shared" si="68"/>
        <v/>
      </c>
      <c r="Q30" s="414" t="str">
        <f t="shared" si="69"/>
        <v/>
      </c>
      <c r="R30" s="414" t="str">
        <f t="shared" si="70"/>
        <v/>
      </c>
      <c r="S30" s="414" t="str">
        <f t="shared" si="71"/>
        <v/>
      </c>
      <c r="T30" s="414" t="str">
        <f t="shared" si="72"/>
        <v/>
      </c>
      <c r="U30" s="414" t="str">
        <f t="shared" si="73"/>
        <v/>
      </c>
      <c r="V30" s="414" t="str">
        <f t="shared" si="74"/>
        <v/>
      </c>
      <c r="W30" s="414" t="str">
        <f t="shared" si="75"/>
        <v/>
      </c>
      <c r="X30" s="414" t="str">
        <f t="shared" si="76"/>
        <v/>
      </c>
      <c r="Y30" s="414" t="str">
        <f t="shared" si="77"/>
        <v/>
      </c>
      <c r="Z30" s="414" t="str">
        <f t="shared" si="78"/>
        <v/>
      </c>
      <c r="AA30" s="414" t="str">
        <f t="shared" si="79"/>
        <v/>
      </c>
      <c r="AB30" s="414" t="str">
        <f t="shared" si="80"/>
        <v/>
      </c>
      <c r="AC30" s="414" t="str">
        <f t="shared" si="81"/>
        <v/>
      </c>
      <c r="AD30" s="414" t="str">
        <f t="shared" si="82"/>
        <v/>
      </c>
      <c r="AE30" s="414" t="str">
        <f t="shared" si="83"/>
        <v/>
      </c>
      <c r="AF30" s="414" t="str">
        <f t="shared" si="84"/>
        <v/>
      </c>
      <c r="AG30" s="414" t="str">
        <f t="shared" si="85"/>
        <v/>
      </c>
      <c r="AH30" s="414" t="str">
        <f t="shared" si="86"/>
        <v/>
      </c>
      <c r="AI30" s="414" t="str">
        <f t="shared" si="87"/>
        <v/>
      </c>
      <c r="AJ30" s="414" t="str">
        <f t="shared" si="88"/>
        <v/>
      </c>
      <c r="AK30" s="414" t="str">
        <f t="shared" si="89"/>
        <v/>
      </c>
      <c r="AL30" s="414" t="str">
        <f t="shared" si="90"/>
        <v/>
      </c>
      <c r="AM30" s="414" t="str">
        <f t="shared" si="91"/>
        <v/>
      </c>
      <c r="AN30" s="414" t="str">
        <f t="shared" si="92"/>
        <v/>
      </c>
      <c r="AO30" s="414" t="str">
        <f t="shared" si="93"/>
        <v/>
      </c>
      <c r="AP30" s="414" t="str">
        <f t="shared" si="94"/>
        <v/>
      </c>
      <c r="AQ30" s="414" t="str">
        <f t="shared" si="95"/>
        <v/>
      </c>
      <c r="AR30" s="414" t="str">
        <f t="shared" si="96"/>
        <v/>
      </c>
      <c r="AS30" s="414" t="str">
        <f t="shared" si="97"/>
        <v/>
      </c>
      <c r="AT30" s="414" t="str">
        <f t="shared" si="98"/>
        <v/>
      </c>
      <c r="AU30" s="414" t="str">
        <f t="shared" si="99"/>
        <v/>
      </c>
      <c r="AV30" s="414" t="str">
        <f t="shared" si="100"/>
        <v/>
      </c>
      <c r="AW30" s="414" t="str">
        <f t="shared" si="101"/>
        <v/>
      </c>
      <c r="AX30" s="414" t="str">
        <f t="shared" si="102"/>
        <v/>
      </c>
      <c r="AY30" s="414" t="str">
        <f t="shared" si="103"/>
        <v/>
      </c>
      <c r="AZ30" s="414" t="str">
        <f t="shared" si="104"/>
        <v/>
      </c>
      <c r="BA30" s="414" t="str">
        <f t="shared" si="105"/>
        <v/>
      </c>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row>
    <row r="31" hidden="1">
      <c r="A31" s="22" t="str">
        <f t="shared" si="53"/>
        <v>Habit 8</v>
      </c>
      <c r="B31" s="414" t="str">
        <f t="shared" si="54"/>
        <v/>
      </c>
      <c r="C31" s="414" t="str">
        <f t="shared" si="55"/>
        <v/>
      </c>
      <c r="D31" s="414" t="str">
        <f t="shared" si="56"/>
        <v/>
      </c>
      <c r="E31" s="414" t="str">
        <f t="shared" si="57"/>
        <v/>
      </c>
      <c r="F31" s="414" t="str">
        <f t="shared" si="58"/>
        <v/>
      </c>
      <c r="G31" s="414" t="str">
        <f t="shared" si="59"/>
        <v/>
      </c>
      <c r="H31" s="414" t="str">
        <f t="shared" si="60"/>
        <v/>
      </c>
      <c r="I31" s="414" t="str">
        <f t="shared" si="61"/>
        <v/>
      </c>
      <c r="J31" s="414" t="str">
        <f t="shared" si="62"/>
        <v/>
      </c>
      <c r="K31" s="414" t="str">
        <f t="shared" si="63"/>
        <v/>
      </c>
      <c r="L31" s="414" t="str">
        <f t="shared" si="64"/>
        <v/>
      </c>
      <c r="M31" s="414" t="str">
        <f t="shared" si="65"/>
        <v/>
      </c>
      <c r="N31" s="414" t="str">
        <f t="shared" si="66"/>
        <v/>
      </c>
      <c r="O31" s="414" t="str">
        <f t="shared" si="67"/>
        <v/>
      </c>
      <c r="P31" s="414" t="str">
        <f t="shared" si="68"/>
        <v/>
      </c>
      <c r="Q31" s="414" t="str">
        <f t="shared" si="69"/>
        <v/>
      </c>
      <c r="R31" s="414" t="str">
        <f t="shared" si="70"/>
        <v/>
      </c>
      <c r="S31" s="414" t="str">
        <f t="shared" si="71"/>
        <v/>
      </c>
      <c r="T31" s="414" t="str">
        <f t="shared" si="72"/>
        <v/>
      </c>
      <c r="U31" s="414" t="str">
        <f t="shared" si="73"/>
        <v/>
      </c>
      <c r="V31" s="414" t="str">
        <f t="shared" si="74"/>
        <v/>
      </c>
      <c r="W31" s="414" t="str">
        <f t="shared" si="75"/>
        <v/>
      </c>
      <c r="X31" s="414" t="str">
        <f t="shared" si="76"/>
        <v/>
      </c>
      <c r="Y31" s="414" t="str">
        <f t="shared" si="77"/>
        <v/>
      </c>
      <c r="Z31" s="414" t="str">
        <f t="shared" si="78"/>
        <v/>
      </c>
      <c r="AA31" s="414" t="str">
        <f t="shared" si="79"/>
        <v/>
      </c>
      <c r="AB31" s="414" t="str">
        <f t="shared" si="80"/>
        <v/>
      </c>
      <c r="AC31" s="414" t="str">
        <f t="shared" si="81"/>
        <v/>
      </c>
      <c r="AD31" s="414" t="str">
        <f t="shared" si="82"/>
        <v/>
      </c>
      <c r="AE31" s="414" t="str">
        <f t="shared" si="83"/>
        <v/>
      </c>
      <c r="AF31" s="414" t="str">
        <f t="shared" si="84"/>
        <v/>
      </c>
      <c r="AG31" s="414" t="str">
        <f t="shared" si="85"/>
        <v/>
      </c>
      <c r="AH31" s="414" t="str">
        <f t="shared" si="86"/>
        <v/>
      </c>
      <c r="AI31" s="414" t="str">
        <f t="shared" si="87"/>
        <v/>
      </c>
      <c r="AJ31" s="414" t="str">
        <f t="shared" si="88"/>
        <v/>
      </c>
      <c r="AK31" s="414" t="str">
        <f t="shared" si="89"/>
        <v/>
      </c>
      <c r="AL31" s="414" t="str">
        <f t="shared" si="90"/>
        <v/>
      </c>
      <c r="AM31" s="414" t="str">
        <f t="shared" si="91"/>
        <v/>
      </c>
      <c r="AN31" s="414" t="str">
        <f t="shared" si="92"/>
        <v/>
      </c>
      <c r="AO31" s="414" t="str">
        <f t="shared" si="93"/>
        <v/>
      </c>
      <c r="AP31" s="414" t="str">
        <f t="shared" si="94"/>
        <v/>
      </c>
      <c r="AQ31" s="414" t="str">
        <f t="shared" si="95"/>
        <v/>
      </c>
      <c r="AR31" s="414" t="str">
        <f t="shared" si="96"/>
        <v/>
      </c>
      <c r="AS31" s="414" t="str">
        <f t="shared" si="97"/>
        <v/>
      </c>
      <c r="AT31" s="414" t="str">
        <f t="shared" si="98"/>
        <v/>
      </c>
      <c r="AU31" s="414" t="str">
        <f t="shared" si="99"/>
        <v/>
      </c>
      <c r="AV31" s="414" t="str">
        <f t="shared" si="100"/>
        <v/>
      </c>
      <c r="AW31" s="414" t="str">
        <f t="shared" si="101"/>
        <v/>
      </c>
      <c r="AX31" s="414" t="str">
        <f t="shared" si="102"/>
        <v/>
      </c>
      <c r="AY31" s="414" t="str">
        <f t="shared" si="103"/>
        <v/>
      </c>
      <c r="AZ31" s="414" t="str">
        <f t="shared" si="104"/>
        <v/>
      </c>
      <c r="BA31" s="414" t="str">
        <f t="shared" si="105"/>
        <v/>
      </c>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c r="IU31" s="22"/>
      <c r="IV31" s="22"/>
      <c r="IW31" s="22"/>
      <c r="IX31" s="22"/>
      <c r="IY31" s="22"/>
      <c r="IZ31" s="22"/>
      <c r="JA31" s="22"/>
      <c r="JB31" s="22"/>
      <c r="JC31" s="22"/>
      <c r="JD31" s="22"/>
      <c r="JE31" s="22"/>
      <c r="JF31" s="22"/>
      <c r="JG31" s="22"/>
      <c r="JH31" s="22"/>
      <c r="JI31" s="22"/>
      <c r="JJ31" s="22"/>
      <c r="JK31" s="22"/>
      <c r="JL31" s="22"/>
      <c r="JM31" s="22"/>
      <c r="JN31" s="22"/>
      <c r="JO31" s="22"/>
      <c r="JP31" s="22"/>
      <c r="JQ31" s="22"/>
      <c r="JR31" s="22"/>
      <c r="JS31" s="22"/>
      <c r="JT31" s="22"/>
      <c r="JU31" s="22"/>
      <c r="JV31" s="22"/>
      <c r="JW31" s="22"/>
      <c r="JX31" s="22"/>
      <c r="JY31" s="22"/>
      <c r="JZ31" s="22"/>
      <c r="KA31" s="22"/>
      <c r="KB31" s="22"/>
      <c r="KC31" s="22"/>
      <c r="KD31" s="22"/>
      <c r="KE31" s="22"/>
      <c r="KF31" s="22"/>
      <c r="KG31" s="22"/>
      <c r="KH31" s="22"/>
      <c r="KI31" s="22"/>
      <c r="KJ31" s="22"/>
      <c r="KK31" s="22"/>
      <c r="KL31" s="22"/>
      <c r="KM31" s="22"/>
      <c r="KN31" s="22"/>
      <c r="KO31" s="22"/>
      <c r="KP31" s="22"/>
      <c r="KQ31" s="22"/>
      <c r="KR31" s="22"/>
      <c r="KS31" s="22"/>
      <c r="KT31" s="22"/>
      <c r="KU31" s="22"/>
      <c r="KV31" s="22"/>
      <c r="KW31" s="22"/>
      <c r="KX31" s="22"/>
      <c r="KY31" s="22"/>
      <c r="KZ31" s="22"/>
      <c r="LA31" s="22"/>
      <c r="LB31" s="22"/>
      <c r="LC31" s="22"/>
      <c r="LD31" s="22"/>
      <c r="LE31" s="22"/>
      <c r="LF31" s="22"/>
      <c r="LG31" s="22"/>
      <c r="LH31" s="22"/>
      <c r="LI31" s="22"/>
      <c r="LJ31" s="22"/>
      <c r="LK31" s="22"/>
      <c r="LL31" s="22"/>
      <c r="LM31" s="22"/>
      <c r="LN31" s="22"/>
      <c r="LO31" s="22"/>
      <c r="LP31" s="22"/>
      <c r="LQ31" s="22"/>
      <c r="LR31" s="22"/>
      <c r="LS31" s="22"/>
      <c r="LT31" s="22"/>
      <c r="LU31" s="22"/>
      <c r="LV31" s="22"/>
      <c r="LW31" s="22"/>
      <c r="LX31" s="22"/>
      <c r="LY31" s="22"/>
      <c r="LZ31" s="22"/>
      <c r="MA31" s="22"/>
      <c r="MB31" s="22"/>
      <c r="MC31" s="22"/>
      <c r="MD31" s="22"/>
      <c r="ME31" s="22"/>
      <c r="MF31" s="22"/>
      <c r="MG31" s="22"/>
      <c r="MH31" s="22"/>
      <c r="MI31" s="22"/>
      <c r="MJ31" s="22"/>
      <c r="MK31" s="22"/>
      <c r="ML31" s="22"/>
      <c r="MM31" s="22"/>
      <c r="MN31" s="22"/>
      <c r="MO31" s="22"/>
      <c r="MP31" s="22"/>
      <c r="MQ31" s="22"/>
      <c r="MR31" s="22"/>
      <c r="MS31" s="22"/>
      <c r="MT31" s="22"/>
      <c r="MU31" s="22"/>
      <c r="MV31" s="22"/>
      <c r="MW31" s="22"/>
      <c r="MX31" s="22"/>
      <c r="MY31" s="22"/>
      <c r="MZ31" s="22"/>
      <c r="NA31" s="22"/>
      <c r="NB31" s="22"/>
      <c r="NC31" s="22"/>
      <c r="ND31" s="22"/>
      <c r="NE31" s="22"/>
      <c r="NF31" s="22"/>
      <c r="NG31" s="22"/>
      <c r="NH31" s="22"/>
      <c r="NI31" s="22"/>
      <c r="NJ31" s="22"/>
      <c r="NK31" s="22"/>
      <c r="NL31" s="22"/>
      <c r="NM31" s="22"/>
      <c r="NN31" s="22"/>
      <c r="NO31" s="22"/>
      <c r="NP31" s="22"/>
      <c r="NQ31" s="22"/>
      <c r="NR31" s="22"/>
      <c r="NS31" s="22"/>
      <c r="NT31" s="22"/>
      <c r="NU31" s="22"/>
      <c r="NV31" s="22"/>
      <c r="NW31" s="22"/>
      <c r="NX31" s="22"/>
      <c r="NY31" s="22"/>
      <c r="NZ31" s="22"/>
      <c r="OA31" s="22"/>
      <c r="OB31" s="22"/>
      <c r="OC31" s="22"/>
      <c r="OD31" s="22"/>
      <c r="OE31" s="22"/>
      <c r="OF31" s="22"/>
      <c r="OG31" s="22"/>
      <c r="OH31" s="22"/>
      <c r="OI31" s="22"/>
      <c r="OJ31" s="22"/>
      <c r="OK31" s="22"/>
      <c r="OL31" s="22"/>
      <c r="OM31" s="22"/>
      <c r="ON31" s="22"/>
      <c r="OO31" s="22"/>
      <c r="OP31" s="22"/>
      <c r="OQ31" s="22"/>
      <c r="OR31" s="22"/>
      <c r="OS31" s="22"/>
      <c r="OT31" s="22"/>
      <c r="OU31" s="22"/>
      <c r="OV31" s="22"/>
      <c r="OW31" s="22"/>
      <c r="OX31" s="22"/>
      <c r="OY31" s="22"/>
      <c r="OZ31" s="22"/>
      <c r="PA31" s="22"/>
      <c r="PB31" s="22"/>
      <c r="PC31" s="22"/>
      <c r="PD31" s="22"/>
      <c r="PE31" s="22"/>
      <c r="PF31" s="22"/>
      <c r="PG31" s="22"/>
      <c r="PH31" s="22"/>
      <c r="PI31" s="22"/>
      <c r="PJ31" s="22"/>
      <c r="PK31" s="22"/>
      <c r="PL31" s="22"/>
      <c r="PM31" s="22"/>
      <c r="PN31" s="22"/>
      <c r="PO31" s="22"/>
      <c r="PP31" s="22"/>
      <c r="PQ31" s="22"/>
      <c r="PR31" s="22"/>
      <c r="PS31" s="22"/>
      <c r="PT31" s="22"/>
      <c r="PU31" s="22"/>
      <c r="PV31" s="22"/>
      <c r="PW31" s="22"/>
      <c r="PX31" s="22"/>
      <c r="PY31" s="22"/>
      <c r="PZ31" s="22"/>
      <c r="QA31" s="22"/>
      <c r="QB31" s="22"/>
      <c r="QC31" s="22"/>
      <c r="QD31" s="22"/>
      <c r="QE31" s="22"/>
      <c r="QF31" s="22"/>
      <c r="QG31" s="22"/>
      <c r="QH31" s="22"/>
      <c r="QI31" s="22"/>
      <c r="QJ31" s="22"/>
      <c r="QK31" s="22"/>
      <c r="QL31" s="22"/>
      <c r="QM31" s="22"/>
      <c r="QN31" s="22"/>
      <c r="QO31" s="22"/>
      <c r="QP31" s="22"/>
      <c r="QQ31" s="22"/>
      <c r="QR31" s="22"/>
      <c r="QS31" s="22"/>
      <c r="QT31" s="22"/>
      <c r="QU31" s="22"/>
      <c r="QV31" s="22"/>
      <c r="QW31" s="22"/>
      <c r="QX31" s="22"/>
      <c r="QY31" s="22"/>
      <c r="QZ31" s="22"/>
      <c r="RA31" s="22"/>
      <c r="RB31" s="22"/>
      <c r="RC31" s="22"/>
    </row>
    <row r="32" hidden="1">
      <c r="A32" s="22" t="str">
        <f t="shared" si="53"/>
        <v>Habit 9</v>
      </c>
      <c r="B32" s="414" t="str">
        <f t="shared" si="54"/>
        <v/>
      </c>
      <c r="C32" s="414" t="str">
        <f t="shared" si="55"/>
        <v/>
      </c>
      <c r="D32" s="414" t="str">
        <f t="shared" si="56"/>
        <v/>
      </c>
      <c r="E32" s="414" t="str">
        <f t="shared" si="57"/>
        <v/>
      </c>
      <c r="F32" s="414" t="str">
        <f t="shared" si="58"/>
        <v/>
      </c>
      <c r="G32" s="414" t="str">
        <f t="shared" si="59"/>
        <v/>
      </c>
      <c r="H32" s="414" t="str">
        <f t="shared" si="60"/>
        <v/>
      </c>
      <c r="I32" s="414" t="str">
        <f t="shared" si="61"/>
        <v/>
      </c>
      <c r="J32" s="414" t="str">
        <f t="shared" si="62"/>
        <v/>
      </c>
      <c r="K32" s="414" t="str">
        <f t="shared" si="63"/>
        <v/>
      </c>
      <c r="L32" s="414" t="str">
        <f t="shared" si="64"/>
        <v/>
      </c>
      <c r="M32" s="414" t="str">
        <f t="shared" si="65"/>
        <v/>
      </c>
      <c r="N32" s="414" t="str">
        <f t="shared" si="66"/>
        <v/>
      </c>
      <c r="O32" s="414" t="str">
        <f t="shared" si="67"/>
        <v/>
      </c>
      <c r="P32" s="414" t="str">
        <f t="shared" si="68"/>
        <v/>
      </c>
      <c r="Q32" s="414" t="str">
        <f t="shared" si="69"/>
        <v/>
      </c>
      <c r="R32" s="414" t="str">
        <f t="shared" si="70"/>
        <v/>
      </c>
      <c r="S32" s="414" t="str">
        <f t="shared" si="71"/>
        <v/>
      </c>
      <c r="T32" s="414" t="str">
        <f t="shared" si="72"/>
        <v/>
      </c>
      <c r="U32" s="414" t="str">
        <f t="shared" si="73"/>
        <v/>
      </c>
      <c r="V32" s="414" t="str">
        <f t="shared" si="74"/>
        <v/>
      </c>
      <c r="W32" s="414" t="str">
        <f t="shared" si="75"/>
        <v/>
      </c>
      <c r="X32" s="414" t="str">
        <f t="shared" si="76"/>
        <v/>
      </c>
      <c r="Y32" s="414" t="str">
        <f t="shared" si="77"/>
        <v/>
      </c>
      <c r="Z32" s="414" t="str">
        <f t="shared" si="78"/>
        <v/>
      </c>
      <c r="AA32" s="414" t="str">
        <f t="shared" si="79"/>
        <v/>
      </c>
      <c r="AB32" s="414" t="str">
        <f t="shared" si="80"/>
        <v/>
      </c>
      <c r="AC32" s="414" t="str">
        <f t="shared" si="81"/>
        <v/>
      </c>
      <c r="AD32" s="414" t="str">
        <f t="shared" si="82"/>
        <v/>
      </c>
      <c r="AE32" s="414" t="str">
        <f t="shared" si="83"/>
        <v/>
      </c>
      <c r="AF32" s="414" t="str">
        <f t="shared" si="84"/>
        <v/>
      </c>
      <c r="AG32" s="414" t="str">
        <f t="shared" si="85"/>
        <v/>
      </c>
      <c r="AH32" s="414" t="str">
        <f t="shared" si="86"/>
        <v/>
      </c>
      <c r="AI32" s="414" t="str">
        <f t="shared" si="87"/>
        <v/>
      </c>
      <c r="AJ32" s="414" t="str">
        <f t="shared" si="88"/>
        <v/>
      </c>
      <c r="AK32" s="414" t="str">
        <f t="shared" si="89"/>
        <v/>
      </c>
      <c r="AL32" s="414" t="str">
        <f t="shared" si="90"/>
        <v/>
      </c>
      <c r="AM32" s="414" t="str">
        <f t="shared" si="91"/>
        <v/>
      </c>
      <c r="AN32" s="414" t="str">
        <f t="shared" si="92"/>
        <v/>
      </c>
      <c r="AO32" s="414" t="str">
        <f t="shared" si="93"/>
        <v/>
      </c>
      <c r="AP32" s="414" t="str">
        <f t="shared" si="94"/>
        <v/>
      </c>
      <c r="AQ32" s="414" t="str">
        <f t="shared" si="95"/>
        <v/>
      </c>
      <c r="AR32" s="414" t="str">
        <f t="shared" si="96"/>
        <v/>
      </c>
      <c r="AS32" s="414" t="str">
        <f t="shared" si="97"/>
        <v/>
      </c>
      <c r="AT32" s="414" t="str">
        <f t="shared" si="98"/>
        <v/>
      </c>
      <c r="AU32" s="414" t="str">
        <f t="shared" si="99"/>
        <v/>
      </c>
      <c r="AV32" s="414" t="str">
        <f t="shared" si="100"/>
        <v/>
      </c>
      <c r="AW32" s="414" t="str">
        <f t="shared" si="101"/>
        <v/>
      </c>
      <c r="AX32" s="414" t="str">
        <f t="shared" si="102"/>
        <v/>
      </c>
      <c r="AY32" s="414" t="str">
        <f t="shared" si="103"/>
        <v/>
      </c>
      <c r="AZ32" s="414" t="str">
        <f t="shared" si="104"/>
        <v/>
      </c>
      <c r="BA32" s="414" t="str">
        <f t="shared" si="105"/>
        <v/>
      </c>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c r="IU32" s="22"/>
      <c r="IV32" s="22"/>
      <c r="IW32" s="22"/>
      <c r="IX32" s="22"/>
      <c r="IY32" s="22"/>
      <c r="IZ32" s="22"/>
      <c r="JA32" s="22"/>
      <c r="JB32" s="22"/>
      <c r="JC32" s="22"/>
      <c r="JD32" s="22"/>
      <c r="JE32" s="22"/>
      <c r="JF32" s="22"/>
      <c r="JG32" s="22"/>
      <c r="JH32" s="22"/>
      <c r="JI32" s="22"/>
      <c r="JJ32" s="22"/>
      <c r="JK32" s="22"/>
      <c r="JL32" s="22"/>
      <c r="JM32" s="22"/>
      <c r="JN32" s="22"/>
      <c r="JO32" s="22"/>
      <c r="JP32" s="22"/>
      <c r="JQ32" s="22"/>
      <c r="JR32" s="22"/>
      <c r="JS32" s="22"/>
      <c r="JT32" s="22"/>
      <c r="JU32" s="22"/>
      <c r="JV32" s="22"/>
      <c r="JW32" s="22"/>
      <c r="JX32" s="22"/>
      <c r="JY32" s="22"/>
      <c r="JZ32" s="22"/>
      <c r="KA32" s="22"/>
      <c r="KB32" s="22"/>
      <c r="KC32" s="22"/>
      <c r="KD32" s="22"/>
      <c r="KE32" s="22"/>
      <c r="KF32" s="22"/>
      <c r="KG32" s="22"/>
      <c r="KH32" s="22"/>
      <c r="KI32" s="22"/>
      <c r="KJ32" s="22"/>
      <c r="KK32" s="22"/>
      <c r="KL32" s="22"/>
      <c r="KM32" s="22"/>
      <c r="KN32" s="22"/>
      <c r="KO32" s="22"/>
      <c r="KP32" s="22"/>
      <c r="KQ32" s="22"/>
      <c r="KR32" s="22"/>
      <c r="KS32" s="22"/>
      <c r="KT32" s="22"/>
      <c r="KU32" s="22"/>
      <c r="KV32" s="22"/>
      <c r="KW32" s="22"/>
      <c r="KX32" s="22"/>
      <c r="KY32" s="22"/>
      <c r="KZ32" s="22"/>
      <c r="LA32" s="22"/>
      <c r="LB32" s="22"/>
      <c r="LC32" s="22"/>
      <c r="LD32" s="22"/>
      <c r="LE32" s="22"/>
      <c r="LF32" s="22"/>
      <c r="LG32" s="22"/>
      <c r="LH32" s="22"/>
      <c r="LI32" s="22"/>
      <c r="LJ32" s="22"/>
      <c r="LK32" s="22"/>
      <c r="LL32" s="22"/>
      <c r="LM32" s="22"/>
      <c r="LN32" s="22"/>
      <c r="LO32" s="22"/>
      <c r="LP32" s="22"/>
      <c r="LQ32" s="22"/>
      <c r="LR32" s="22"/>
      <c r="LS32" s="22"/>
      <c r="LT32" s="22"/>
      <c r="LU32" s="22"/>
      <c r="LV32" s="22"/>
      <c r="LW32" s="22"/>
      <c r="LX32" s="22"/>
      <c r="LY32" s="22"/>
      <c r="LZ32" s="22"/>
      <c r="MA32" s="22"/>
      <c r="MB32" s="22"/>
      <c r="MC32" s="22"/>
      <c r="MD32" s="22"/>
      <c r="ME32" s="22"/>
      <c r="MF32" s="22"/>
      <c r="MG32" s="22"/>
      <c r="MH32" s="22"/>
      <c r="MI32" s="22"/>
      <c r="MJ32" s="22"/>
      <c r="MK32" s="22"/>
      <c r="ML32" s="22"/>
      <c r="MM32" s="22"/>
      <c r="MN32" s="22"/>
      <c r="MO32" s="22"/>
      <c r="MP32" s="22"/>
      <c r="MQ32" s="22"/>
      <c r="MR32" s="22"/>
      <c r="MS32" s="22"/>
      <c r="MT32" s="22"/>
      <c r="MU32" s="22"/>
      <c r="MV32" s="22"/>
      <c r="MW32" s="22"/>
      <c r="MX32" s="22"/>
      <c r="MY32" s="22"/>
      <c r="MZ32" s="22"/>
      <c r="NA32" s="22"/>
      <c r="NB32" s="22"/>
      <c r="NC32" s="22"/>
      <c r="ND32" s="22"/>
      <c r="NE32" s="22"/>
      <c r="NF32" s="22"/>
      <c r="NG32" s="22"/>
      <c r="NH32" s="22"/>
      <c r="NI32" s="22"/>
      <c r="NJ32" s="22"/>
      <c r="NK32" s="22"/>
      <c r="NL32" s="22"/>
      <c r="NM32" s="22"/>
      <c r="NN32" s="22"/>
      <c r="NO32" s="22"/>
      <c r="NP32" s="22"/>
      <c r="NQ32" s="22"/>
      <c r="NR32" s="22"/>
      <c r="NS32" s="22"/>
      <c r="NT32" s="22"/>
      <c r="NU32" s="22"/>
      <c r="NV32" s="22"/>
      <c r="NW32" s="22"/>
      <c r="NX32" s="22"/>
      <c r="NY32" s="22"/>
      <c r="NZ32" s="22"/>
      <c r="OA32" s="22"/>
      <c r="OB32" s="22"/>
      <c r="OC32" s="22"/>
      <c r="OD32" s="22"/>
      <c r="OE32" s="22"/>
      <c r="OF32" s="22"/>
      <c r="OG32" s="22"/>
      <c r="OH32" s="22"/>
      <c r="OI32" s="22"/>
      <c r="OJ32" s="22"/>
      <c r="OK32" s="22"/>
      <c r="OL32" s="22"/>
      <c r="OM32" s="22"/>
      <c r="ON32" s="22"/>
      <c r="OO32" s="22"/>
      <c r="OP32" s="22"/>
      <c r="OQ32" s="22"/>
      <c r="OR32" s="22"/>
      <c r="OS32" s="22"/>
      <c r="OT32" s="22"/>
      <c r="OU32" s="22"/>
      <c r="OV32" s="22"/>
      <c r="OW32" s="22"/>
      <c r="OX32" s="22"/>
      <c r="OY32" s="22"/>
      <c r="OZ32" s="22"/>
      <c r="PA32" s="22"/>
      <c r="PB32" s="22"/>
      <c r="PC32" s="22"/>
      <c r="PD32" s="22"/>
      <c r="PE32" s="22"/>
      <c r="PF32" s="22"/>
      <c r="PG32" s="22"/>
      <c r="PH32" s="22"/>
      <c r="PI32" s="22"/>
      <c r="PJ32" s="22"/>
      <c r="PK32" s="22"/>
      <c r="PL32" s="22"/>
      <c r="PM32" s="22"/>
      <c r="PN32" s="22"/>
      <c r="PO32" s="22"/>
      <c r="PP32" s="22"/>
      <c r="PQ32" s="22"/>
      <c r="PR32" s="22"/>
      <c r="PS32" s="22"/>
      <c r="PT32" s="22"/>
      <c r="PU32" s="22"/>
      <c r="PV32" s="22"/>
      <c r="PW32" s="22"/>
      <c r="PX32" s="22"/>
      <c r="PY32" s="22"/>
      <c r="PZ32" s="22"/>
      <c r="QA32" s="22"/>
      <c r="QB32" s="22"/>
      <c r="QC32" s="22"/>
      <c r="QD32" s="22"/>
      <c r="QE32" s="22"/>
      <c r="QF32" s="22"/>
      <c r="QG32" s="22"/>
      <c r="QH32" s="22"/>
      <c r="QI32" s="22"/>
      <c r="QJ32" s="22"/>
      <c r="QK32" s="22"/>
      <c r="QL32" s="22"/>
      <c r="QM32" s="22"/>
      <c r="QN32" s="22"/>
      <c r="QO32" s="22"/>
      <c r="QP32" s="22"/>
      <c r="QQ32" s="22"/>
      <c r="QR32" s="22"/>
      <c r="QS32" s="22"/>
      <c r="QT32" s="22"/>
      <c r="QU32" s="22"/>
      <c r="QV32" s="22"/>
      <c r="QW32" s="22"/>
      <c r="QX32" s="22"/>
      <c r="QY32" s="22"/>
      <c r="QZ32" s="22"/>
      <c r="RA32" s="22"/>
      <c r="RB32" s="22"/>
      <c r="RC32" s="22"/>
    </row>
    <row r="33" hidden="1">
      <c r="A33" s="22" t="str">
        <f t="shared" si="53"/>
        <v>Habit 10</v>
      </c>
      <c r="B33" s="414" t="str">
        <f t="shared" si="54"/>
        <v/>
      </c>
      <c r="C33" s="414" t="str">
        <f t="shared" si="55"/>
        <v/>
      </c>
      <c r="D33" s="414" t="str">
        <f t="shared" si="56"/>
        <v/>
      </c>
      <c r="E33" s="414" t="str">
        <f t="shared" si="57"/>
        <v/>
      </c>
      <c r="F33" s="414" t="str">
        <f t="shared" si="58"/>
        <v/>
      </c>
      <c r="G33" s="414" t="str">
        <f t="shared" si="59"/>
        <v/>
      </c>
      <c r="H33" s="414" t="str">
        <f t="shared" si="60"/>
        <v/>
      </c>
      <c r="I33" s="414" t="str">
        <f t="shared" si="61"/>
        <v/>
      </c>
      <c r="J33" s="414" t="str">
        <f t="shared" si="62"/>
        <v/>
      </c>
      <c r="K33" s="414" t="str">
        <f t="shared" si="63"/>
        <v/>
      </c>
      <c r="L33" s="414" t="str">
        <f t="shared" si="64"/>
        <v/>
      </c>
      <c r="M33" s="414" t="str">
        <f t="shared" si="65"/>
        <v/>
      </c>
      <c r="N33" s="414" t="str">
        <f t="shared" si="66"/>
        <v/>
      </c>
      <c r="O33" s="414" t="str">
        <f t="shared" si="67"/>
        <v/>
      </c>
      <c r="P33" s="414" t="str">
        <f t="shared" si="68"/>
        <v/>
      </c>
      <c r="Q33" s="414" t="str">
        <f t="shared" si="69"/>
        <v/>
      </c>
      <c r="R33" s="414" t="str">
        <f t="shared" si="70"/>
        <v/>
      </c>
      <c r="S33" s="414" t="str">
        <f t="shared" si="71"/>
        <v/>
      </c>
      <c r="T33" s="414" t="str">
        <f t="shared" si="72"/>
        <v/>
      </c>
      <c r="U33" s="414" t="str">
        <f t="shared" si="73"/>
        <v/>
      </c>
      <c r="V33" s="414" t="str">
        <f t="shared" si="74"/>
        <v/>
      </c>
      <c r="W33" s="414" t="str">
        <f t="shared" si="75"/>
        <v/>
      </c>
      <c r="X33" s="414" t="str">
        <f t="shared" si="76"/>
        <v/>
      </c>
      <c r="Y33" s="414" t="str">
        <f t="shared" si="77"/>
        <v/>
      </c>
      <c r="Z33" s="414" t="str">
        <f t="shared" si="78"/>
        <v/>
      </c>
      <c r="AA33" s="414" t="str">
        <f t="shared" si="79"/>
        <v/>
      </c>
      <c r="AB33" s="414" t="str">
        <f t="shared" si="80"/>
        <v/>
      </c>
      <c r="AC33" s="414" t="str">
        <f t="shared" si="81"/>
        <v/>
      </c>
      <c r="AD33" s="414" t="str">
        <f t="shared" si="82"/>
        <v/>
      </c>
      <c r="AE33" s="414" t="str">
        <f t="shared" si="83"/>
        <v/>
      </c>
      <c r="AF33" s="414" t="str">
        <f t="shared" si="84"/>
        <v/>
      </c>
      <c r="AG33" s="414" t="str">
        <f t="shared" si="85"/>
        <v/>
      </c>
      <c r="AH33" s="414" t="str">
        <f t="shared" si="86"/>
        <v/>
      </c>
      <c r="AI33" s="414" t="str">
        <f t="shared" si="87"/>
        <v/>
      </c>
      <c r="AJ33" s="414" t="str">
        <f t="shared" si="88"/>
        <v/>
      </c>
      <c r="AK33" s="414" t="str">
        <f t="shared" si="89"/>
        <v/>
      </c>
      <c r="AL33" s="414" t="str">
        <f t="shared" si="90"/>
        <v/>
      </c>
      <c r="AM33" s="414" t="str">
        <f t="shared" si="91"/>
        <v/>
      </c>
      <c r="AN33" s="414" t="str">
        <f t="shared" si="92"/>
        <v/>
      </c>
      <c r="AO33" s="414" t="str">
        <f t="shared" si="93"/>
        <v/>
      </c>
      <c r="AP33" s="414" t="str">
        <f t="shared" si="94"/>
        <v/>
      </c>
      <c r="AQ33" s="414" t="str">
        <f t="shared" si="95"/>
        <v/>
      </c>
      <c r="AR33" s="414" t="str">
        <f t="shared" si="96"/>
        <v/>
      </c>
      <c r="AS33" s="414" t="str">
        <f t="shared" si="97"/>
        <v/>
      </c>
      <c r="AT33" s="414" t="str">
        <f t="shared" si="98"/>
        <v/>
      </c>
      <c r="AU33" s="414" t="str">
        <f t="shared" si="99"/>
        <v/>
      </c>
      <c r="AV33" s="414" t="str">
        <f t="shared" si="100"/>
        <v/>
      </c>
      <c r="AW33" s="414" t="str">
        <f t="shared" si="101"/>
        <v/>
      </c>
      <c r="AX33" s="414" t="str">
        <f t="shared" si="102"/>
        <v/>
      </c>
      <c r="AY33" s="414" t="str">
        <f t="shared" si="103"/>
        <v/>
      </c>
      <c r="AZ33" s="414" t="str">
        <f t="shared" si="104"/>
        <v/>
      </c>
      <c r="BA33" s="414" t="str">
        <f t="shared" si="105"/>
        <v/>
      </c>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c r="IU33" s="22"/>
      <c r="IV33" s="22"/>
      <c r="IW33" s="22"/>
      <c r="IX33" s="22"/>
      <c r="IY33" s="22"/>
      <c r="IZ33" s="22"/>
      <c r="JA33" s="22"/>
      <c r="JB33" s="22"/>
      <c r="JC33" s="22"/>
      <c r="JD33" s="22"/>
      <c r="JE33" s="22"/>
      <c r="JF33" s="22"/>
      <c r="JG33" s="22"/>
      <c r="JH33" s="22"/>
      <c r="JI33" s="22"/>
      <c r="JJ33" s="22"/>
      <c r="JK33" s="22"/>
      <c r="JL33" s="22"/>
      <c r="JM33" s="22"/>
      <c r="JN33" s="22"/>
      <c r="JO33" s="22"/>
      <c r="JP33" s="22"/>
      <c r="JQ33" s="22"/>
      <c r="JR33" s="22"/>
      <c r="JS33" s="22"/>
      <c r="JT33" s="22"/>
      <c r="JU33" s="22"/>
      <c r="JV33" s="22"/>
      <c r="JW33" s="22"/>
      <c r="JX33" s="22"/>
      <c r="JY33" s="22"/>
      <c r="JZ33" s="22"/>
      <c r="KA33" s="22"/>
      <c r="KB33" s="22"/>
      <c r="KC33" s="22"/>
      <c r="KD33" s="22"/>
      <c r="KE33" s="22"/>
      <c r="KF33" s="22"/>
      <c r="KG33" s="22"/>
      <c r="KH33" s="22"/>
      <c r="KI33" s="22"/>
      <c r="KJ33" s="22"/>
      <c r="KK33" s="22"/>
      <c r="KL33" s="22"/>
      <c r="KM33" s="22"/>
      <c r="KN33" s="22"/>
      <c r="KO33" s="22"/>
      <c r="KP33" s="22"/>
      <c r="KQ33" s="22"/>
      <c r="KR33" s="22"/>
      <c r="KS33" s="22"/>
      <c r="KT33" s="22"/>
      <c r="KU33" s="22"/>
      <c r="KV33" s="22"/>
      <c r="KW33" s="22"/>
      <c r="KX33" s="22"/>
      <c r="KY33" s="22"/>
      <c r="KZ33" s="22"/>
      <c r="LA33" s="22"/>
      <c r="LB33" s="22"/>
      <c r="LC33" s="22"/>
      <c r="LD33" s="22"/>
      <c r="LE33" s="22"/>
      <c r="LF33" s="22"/>
      <c r="LG33" s="22"/>
      <c r="LH33" s="22"/>
      <c r="LI33" s="22"/>
      <c r="LJ33" s="22"/>
      <c r="LK33" s="22"/>
      <c r="LL33" s="22"/>
      <c r="LM33" s="22"/>
      <c r="LN33" s="22"/>
      <c r="LO33" s="22"/>
      <c r="LP33" s="22"/>
      <c r="LQ33" s="22"/>
      <c r="LR33" s="22"/>
      <c r="LS33" s="22"/>
      <c r="LT33" s="22"/>
      <c r="LU33" s="22"/>
      <c r="LV33" s="22"/>
      <c r="LW33" s="22"/>
      <c r="LX33" s="22"/>
      <c r="LY33" s="22"/>
      <c r="LZ33" s="22"/>
      <c r="MA33" s="22"/>
      <c r="MB33" s="22"/>
      <c r="MC33" s="22"/>
      <c r="MD33" s="22"/>
      <c r="ME33" s="22"/>
      <c r="MF33" s="22"/>
      <c r="MG33" s="22"/>
      <c r="MH33" s="22"/>
      <c r="MI33" s="22"/>
      <c r="MJ33" s="22"/>
      <c r="MK33" s="22"/>
      <c r="ML33" s="22"/>
      <c r="MM33" s="22"/>
      <c r="MN33" s="22"/>
      <c r="MO33" s="22"/>
      <c r="MP33" s="22"/>
      <c r="MQ33" s="22"/>
      <c r="MR33" s="22"/>
      <c r="MS33" s="22"/>
      <c r="MT33" s="22"/>
      <c r="MU33" s="22"/>
      <c r="MV33" s="22"/>
      <c r="MW33" s="22"/>
      <c r="MX33" s="22"/>
      <c r="MY33" s="22"/>
      <c r="MZ33" s="22"/>
      <c r="NA33" s="22"/>
      <c r="NB33" s="22"/>
      <c r="NC33" s="22"/>
      <c r="ND33" s="22"/>
      <c r="NE33" s="22"/>
      <c r="NF33" s="22"/>
      <c r="NG33" s="22"/>
      <c r="NH33" s="22"/>
      <c r="NI33" s="22"/>
      <c r="NJ33" s="22"/>
      <c r="NK33" s="22"/>
      <c r="NL33" s="22"/>
      <c r="NM33" s="22"/>
      <c r="NN33" s="22"/>
      <c r="NO33" s="22"/>
      <c r="NP33" s="22"/>
      <c r="NQ33" s="22"/>
      <c r="NR33" s="22"/>
      <c r="NS33" s="22"/>
      <c r="NT33" s="22"/>
      <c r="NU33" s="22"/>
      <c r="NV33" s="22"/>
      <c r="NW33" s="22"/>
      <c r="NX33" s="22"/>
      <c r="NY33" s="22"/>
      <c r="NZ33" s="22"/>
      <c r="OA33" s="22"/>
      <c r="OB33" s="22"/>
      <c r="OC33" s="22"/>
      <c r="OD33" s="22"/>
      <c r="OE33" s="22"/>
      <c r="OF33" s="22"/>
      <c r="OG33" s="22"/>
      <c r="OH33" s="22"/>
      <c r="OI33" s="22"/>
      <c r="OJ33" s="22"/>
      <c r="OK33" s="22"/>
      <c r="OL33" s="22"/>
      <c r="OM33" s="22"/>
      <c r="ON33" s="22"/>
      <c r="OO33" s="22"/>
      <c r="OP33" s="22"/>
      <c r="OQ33" s="22"/>
      <c r="OR33" s="22"/>
      <c r="OS33" s="22"/>
      <c r="OT33" s="22"/>
      <c r="OU33" s="22"/>
      <c r="OV33" s="22"/>
      <c r="OW33" s="22"/>
      <c r="OX33" s="22"/>
      <c r="OY33" s="22"/>
      <c r="OZ33" s="22"/>
      <c r="PA33" s="22"/>
      <c r="PB33" s="22"/>
      <c r="PC33" s="22"/>
      <c r="PD33" s="22"/>
      <c r="PE33" s="22"/>
      <c r="PF33" s="22"/>
      <c r="PG33" s="22"/>
      <c r="PH33" s="22"/>
      <c r="PI33" s="22"/>
      <c r="PJ33" s="22"/>
      <c r="PK33" s="22"/>
      <c r="PL33" s="22"/>
      <c r="PM33" s="22"/>
      <c r="PN33" s="22"/>
      <c r="PO33" s="22"/>
      <c r="PP33" s="22"/>
      <c r="PQ33" s="22"/>
      <c r="PR33" s="22"/>
      <c r="PS33" s="22"/>
      <c r="PT33" s="22"/>
      <c r="PU33" s="22"/>
      <c r="PV33" s="22"/>
      <c r="PW33" s="22"/>
      <c r="PX33" s="22"/>
      <c r="PY33" s="22"/>
      <c r="PZ33" s="22"/>
      <c r="QA33" s="22"/>
      <c r="QB33" s="22"/>
      <c r="QC33" s="22"/>
      <c r="QD33" s="22"/>
      <c r="QE33" s="22"/>
      <c r="QF33" s="22"/>
      <c r="QG33" s="22"/>
      <c r="QH33" s="22"/>
      <c r="QI33" s="22"/>
      <c r="QJ33" s="22"/>
      <c r="QK33" s="22"/>
      <c r="QL33" s="22"/>
      <c r="QM33" s="22"/>
      <c r="QN33" s="22"/>
      <c r="QO33" s="22"/>
      <c r="QP33" s="22"/>
      <c r="QQ33" s="22"/>
      <c r="QR33" s="22"/>
      <c r="QS33" s="22"/>
      <c r="QT33" s="22"/>
      <c r="QU33" s="22"/>
      <c r="QV33" s="22"/>
      <c r="QW33" s="22"/>
      <c r="QX33" s="22"/>
      <c r="QY33" s="22"/>
      <c r="QZ33" s="22"/>
      <c r="RA33" s="22"/>
      <c r="RB33" s="22"/>
      <c r="RC33" s="22"/>
    </row>
    <row r="34" hidden="1">
      <c r="A34" s="22" t="str">
        <f t="shared" si="53"/>
        <v>Habit 11</v>
      </c>
      <c r="B34" s="414" t="str">
        <f t="shared" si="54"/>
        <v/>
      </c>
      <c r="C34" s="414" t="str">
        <f t="shared" si="55"/>
        <v/>
      </c>
      <c r="D34" s="414" t="str">
        <f t="shared" si="56"/>
        <v/>
      </c>
      <c r="E34" s="414" t="str">
        <f t="shared" si="57"/>
        <v/>
      </c>
      <c r="F34" s="414" t="str">
        <f t="shared" si="58"/>
        <v/>
      </c>
      <c r="G34" s="414" t="str">
        <f t="shared" si="59"/>
        <v/>
      </c>
      <c r="H34" s="414" t="str">
        <f t="shared" si="60"/>
        <v/>
      </c>
      <c r="I34" s="414" t="str">
        <f t="shared" si="61"/>
        <v/>
      </c>
      <c r="J34" s="414" t="str">
        <f t="shared" si="62"/>
        <v/>
      </c>
      <c r="K34" s="414" t="str">
        <f t="shared" si="63"/>
        <v/>
      </c>
      <c r="L34" s="414" t="str">
        <f t="shared" si="64"/>
        <v/>
      </c>
      <c r="M34" s="414" t="str">
        <f t="shared" si="65"/>
        <v/>
      </c>
      <c r="N34" s="414" t="str">
        <f t="shared" si="66"/>
        <v/>
      </c>
      <c r="O34" s="414" t="str">
        <f t="shared" si="67"/>
        <v/>
      </c>
      <c r="P34" s="414" t="str">
        <f t="shared" si="68"/>
        <v/>
      </c>
      <c r="Q34" s="414" t="str">
        <f t="shared" si="69"/>
        <v/>
      </c>
      <c r="R34" s="414" t="str">
        <f t="shared" si="70"/>
        <v/>
      </c>
      <c r="S34" s="414" t="str">
        <f t="shared" si="71"/>
        <v/>
      </c>
      <c r="T34" s="414" t="str">
        <f t="shared" si="72"/>
        <v/>
      </c>
      <c r="U34" s="414" t="str">
        <f t="shared" si="73"/>
        <v/>
      </c>
      <c r="V34" s="414" t="str">
        <f t="shared" si="74"/>
        <v/>
      </c>
      <c r="W34" s="414" t="str">
        <f t="shared" si="75"/>
        <v/>
      </c>
      <c r="X34" s="414" t="str">
        <f t="shared" si="76"/>
        <v/>
      </c>
      <c r="Y34" s="414" t="str">
        <f t="shared" si="77"/>
        <v/>
      </c>
      <c r="Z34" s="414" t="str">
        <f t="shared" si="78"/>
        <v/>
      </c>
      <c r="AA34" s="414" t="str">
        <f t="shared" si="79"/>
        <v/>
      </c>
      <c r="AB34" s="414" t="str">
        <f t="shared" si="80"/>
        <v/>
      </c>
      <c r="AC34" s="414" t="str">
        <f t="shared" si="81"/>
        <v/>
      </c>
      <c r="AD34" s="414" t="str">
        <f t="shared" si="82"/>
        <v/>
      </c>
      <c r="AE34" s="414" t="str">
        <f t="shared" si="83"/>
        <v/>
      </c>
      <c r="AF34" s="414" t="str">
        <f t="shared" si="84"/>
        <v/>
      </c>
      <c r="AG34" s="414" t="str">
        <f t="shared" si="85"/>
        <v/>
      </c>
      <c r="AH34" s="414" t="str">
        <f t="shared" si="86"/>
        <v/>
      </c>
      <c r="AI34" s="414" t="str">
        <f t="shared" si="87"/>
        <v/>
      </c>
      <c r="AJ34" s="414" t="str">
        <f t="shared" si="88"/>
        <v/>
      </c>
      <c r="AK34" s="414" t="str">
        <f t="shared" si="89"/>
        <v/>
      </c>
      <c r="AL34" s="414" t="str">
        <f t="shared" si="90"/>
        <v/>
      </c>
      <c r="AM34" s="414" t="str">
        <f t="shared" si="91"/>
        <v/>
      </c>
      <c r="AN34" s="414" t="str">
        <f t="shared" si="92"/>
        <v/>
      </c>
      <c r="AO34" s="414" t="str">
        <f t="shared" si="93"/>
        <v/>
      </c>
      <c r="AP34" s="414" t="str">
        <f t="shared" si="94"/>
        <v/>
      </c>
      <c r="AQ34" s="414" t="str">
        <f t="shared" si="95"/>
        <v/>
      </c>
      <c r="AR34" s="414" t="str">
        <f t="shared" si="96"/>
        <v/>
      </c>
      <c r="AS34" s="414" t="str">
        <f t="shared" si="97"/>
        <v/>
      </c>
      <c r="AT34" s="414" t="str">
        <f t="shared" si="98"/>
        <v/>
      </c>
      <c r="AU34" s="414" t="str">
        <f t="shared" si="99"/>
        <v/>
      </c>
      <c r="AV34" s="414" t="str">
        <f t="shared" si="100"/>
        <v/>
      </c>
      <c r="AW34" s="414" t="str">
        <f t="shared" si="101"/>
        <v/>
      </c>
      <c r="AX34" s="414" t="str">
        <f t="shared" si="102"/>
        <v/>
      </c>
      <c r="AY34" s="414" t="str">
        <f t="shared" si="103"/>
        <v/>
      </c>
      <c r="AZ34" s="414" t="str">
        <f t="shared" si="104"/>
        <v/>
      </c>
      <c r="BA34" s="414" t="str">
        <f t="shared" si="105"/>
        <v/>
      </c>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c r="IU34" s="22"/>
      <c r="IV34" s="22"/>
      <c r="IW34" s="22"/>
      <c r="IX34" s="22"/>
      <c r="IY34" s="22"/>
      <c r="IZ34" s="22"/>
      <c r="JA34" s="22"/>
      <c r="JB34" s="22"/>
      <c r="JC34" s="22"/>
      <c r="JD34" s="22"/>
      <c r="JE34" s="22"/>
      <c r="JF34" s="22"/>
      <c r="JG34" s="22"/>
      <c r="JH34" s="22"/>
      <c r="JI34" s="22"/>
      <c r="JJ34" s="22"/>
      <c r="JK34" s="22"/>
      <c r="JL34" s="22"/>
      <c r="JM34" s="22"/>
      <c r="JN34" s="22"/>
      <c r="JO34" s="22"/>
      <c r="JP34" s="22"/>
      <c r="JQ34" s="22"/>
      <c r="JR34" s="22"/>
      <c r="JS34" s="22"/>
      <c r="JT34" s="22"/>
      <c r="JU34" s="22"/>
      <c r="JV34" s="22"/>
      <c r="JW34" s="22"/>
      <c r="JX34" s="22"/>
      <c r="JY34" s="22"/>
      <c r="JZ34" s="22"/>
      <c r="KA34" s="22"/>
      <c r="KB34" s="22"/>
      <c r="KC34" s="22"/>
      <c r="KD34" s="22"/>
      <c r="KE34" s="22"/>
      <c r="KF34" s="22"/>
      <c r="KG34" s="22"/>
      <c r="KH34" s="22"/>
      <c r="KI34" s="22"/>
      <c r="KJ34" s="22"/>
      <c r="KK34" s="22"/>
      <c r="KL34" s="22"/>
      <c r="KM34" s="22"/>
      <c r="KN34" s="22"/>
      <c r="KO34" s="22"/>
      <c r="KP34" s="22"/>
      <c r="KQ34" s="22"/>
      <c r="KR34" s="22"/>
      <c r="KS34" s="22"/>
      <c r="KT34" s="22"/>
      <c r="KU34" s="22"/>
      <c r="KV34" s="22"/>
      <c r="KW34" s="22"/>
      <c r="KX34" s="22"/>
      <c r="KY34" s="22"/>
      <c r="KZ34" s="22"/>
      <c r="LA34" s="22"/>
      <c r="LB34" s="22"/>
      <c r="LC34" s="22"/>
      <c r="LD34" s="22"/>
      <c r="LE34" s="22"/>
      <c r="LF34" s="22"/>
      <c r="LG34" s="22"/>
      <c r="LH34" s="22"/>
      <c r="LI34" s="22"/>
      <c r="LJ34" s="22"/>
      <c r="LK34" s="22"/>
      <c r="LL34" s="22"/>
      <c r="LM34" s="22"/>
      <c r="LN34" s="22"/>
      <c r="LO34" s="22"/>
      <c r="LP34" s="22"/>
      <c r="LQ34" s="22"/>
      <c r="LR34" s="22"/>
      <c r="LS34" s="22"/>
      <c r="LT34" s="22"/>
      <c r="LU34" s="22"/>
      <c r="LV34" s="22"/>
      <c r="LW34" s="22"/>
      <c r="LX34" s="22"/>
      <c r="LY34" s="22"/>
      <c r="LZ34" s="22"/>
      <c r="MA34" s="22"/>
      <c r="MB34" s="22"/>
      <c r="MC34" s="22"/>
      <c r="MD34" s="22"/>
      <c r="ME34" s="22"/>
      <c r="MF34" s="22"/>
      <c r="MG34" s="22"/>
      <c r="MH34" s="22"/>
      <c r="MI34" s="22"/>
      <c r="MJ34" s="22"/>
      <c r="MK34" s="22"/>
      <c r="ML34" s="22"/>
      <c r="MM34" s="22"/>
      <c r="MN34" s="22"/>
      <c r="MO34" s="22"/>
      <c r="MP34" s="22"/>
      <c r="MQ34" s="22"/>
      <c r="MR34" s="22"/>
      <c r="MS34" s="22"/>
      <c r="MT34" s="22"/>
      <c r="MU34" s="22"/>
      <c r="MV34" s="22"/>
      <c r="MW34" s="22"/>
      <c r="MX34" s="22"/>
      <c r="MY34" s="22"/>
      <c r="MZ34" s="22"/>
      <c r="NA34" s="22"/>
      <c r="NB34" s="22"/>
      <c r="NC34" s="22"/>
      <c r="ND34" s="22"/>
      <c r="NE34" s="22"/>
      <c r="NF34" s="22"/>
      <c r="NG34" s="22"/>
      <c r="NH34" s="22"/>
      <c r="NI34" s="22"/>
      <c r="NJ34" s="22"/>
      <c r="NK34" s="22"/>
      <c r="NL34" s="22"/>
      <c r="NM34" s="22"/>
      <c r="NN34" s="22"/>
      <c r="NO34" s="22"/>
      <c r="NP34" s="22"/>
      <c r="NQ34" s="22"/>
      <c r="NR34" s="22"/>
      <c r="NS34" s="22"/>
      <c r="NT34" s="22"/>
      <c r="NU34" s="22"/>
      <c r="NV34" s="22"/>
      <c r="NW34" s="22"/>
      <c r="NX34" s="22"/>
      <c r="NY34" s="22"/>
      <c r="NZ34" s="22"/>
      <c r="OA34" s="22"/>
      <c r="OB34" s="22"/>
      <c r="OC34" s="22"/>
      <c r="OD34" s="22"/>
      <c r="OE34" s="22"/>
      <c r="OF34" s="22"/>
      <c r="OG34" s="22"/>
      <c r="OH34" s="22"/>
      <c r="OI34" s="22"/>
      <c r="OJ34" s="22"/>
      <c r="OK34" s="22"/>
      <c r="OL34" s="22"/>
      <c r="OM34" s="22"/>
      <c r="ON34" s="22"/>
      <c r="OO34" s="22"/>
      <c r="OP34" s="22"/>
      <c r="OQ34" s="22"/>
      <c r="OR34" s="22"/>
      <c r="OS34" s="22"/>
      <c r="OT34" s="22"/>
      <c r="OU34" s="22"/>
      <c r="OV34" s="22"/>
      <c r="OW34" s="22"/>
      <c r="OX34" s="22"/>
      <c r="OY34" s="22"/>
      <c r="OZ34" s="22"/>
      <c r="PA34" s="22"/>
      <c r="PB34" s="22"/>
      <c r="PC34" s="22"/>
      <c r="PD34" s="22"/>
      <c r="PE34" s="22"/>
      <c r="PF34" s="22"/>
      <c r="PG34" s="22"/>
      <c r="PH34" s="22"/>
      <c r="PI34" s="22"/>
      <c r="PJ34" s="22"/>
      <c r="PK34" s="22"/>
      <c r="PL34" s="22"/>
      <c r="PM34" s="22"/>
      <c r="PN34" s="22"/>
      <c r="PO34" s="22"/>
      <c r="PP34" s="22"/>
      <c r="PQ34" s="22"/>
      <c r="PR34" s="22"/>
      <c r="PS34" s="22"/>
      <c r="PT34" s="22"/>
      <c r="PU34" s="22"/>
      <c r="PV34" s="22"/>
      <c r="PW34" s="22"/>
      <c r="PX34" s="22"/>
      <c r="PY34" s="22"/>
      <c r="PZ34" s="22"/>
      <c r="QA34" s="22"/>
      <c r="QB34" s="22"/>
      <c r="QC34" s="22"/>
      <c r="QD34" s="22"/>
      <c r="QE34" s="22"/>
      <c r="QF34" s="22"/>
      <c r="QG34" s="22"/>
      <c r="QH34" s="22"/>
      <c r="QI34" s="22"/>
      <c r="QJ34" s="22"/>
      <c r="QK34" s="22"/>
      <c r="QL34" s="22"/>
      <c r="QM34" s="22"/>
      <c r="QN34" s="22"/>
      <c r="QO34" s="22"/>
      <c r="QP34" s="22"/>
      <c r="QQ34" s="22"/>
      <c r="QR34" s="22"/>
      <c r="QS34" s="22"/>
      <c r="QT34" s="22"/>
      <c r="QU34" s="22"/>
      <c r="QV34" s="22"/>
      <c r="QW34" s="22"/>
      <c r="QX34" s="22"/>
      <c r="QY34" s="22"/>
      <c r="QZ34" s="22"/>
      <c r="RA34" s="22"/>
      <c r="RB34" s="22"/>
      <c r="RC34" s="22"/>
    </row>
    <row r="35" hidden="1">
      <c r="A35" s="22" t="str">
        <f t="shared" si="53"/>
        <v>Habit 12</v>
      </c>
      <c r="B35" s="414" t="str">
        <f t="shared" si="54"/>
        <v/>
      </c>
      <c r="C35" s="414" t="str">
        <f t="shared" si="55"/>
        <v/>
      </c>
      <c r="D35" s="414" t="str">
        <f t="shared" si="56"/>
        <v/>
      </c>
      <c r="E35" s="414" t="str">
        <f t="shared" si="57"/>
        <v/>
      </c>
      <c r="F35" s="414" t="str">
        <f t="shared" si="58"/>
        <v/>
      </c>
      <c r="G35" s="414" t="str">
        <f t="shared" si="59"/>
        <v/>
      </c>
      <c r="H35" s="414" t="str">
        <f t="shared" si="60"/>
        <v/>
      </c>
      <c r="I35" s="414" t="str">
        <f t="shared" si="61"/>
        <v/>
      </c>
      <c r="J35" s="414" t="str">
        <f t="shared" si="62"/>
        <v/>
      </c>
      <c r="K35" s="414" t="str">
        <f t="shared" si="63"/>
        <v/>
      </c>
      <c r="L35" s="414" t="str">
        <f t="shared" si="64"/>
        <v/>
      </c>
      <c r="M35" s="414" t="str">
        <f t="shared" si="65"/>
        <v/>
      </c>
      <c r="N35" s="414" t="str">
        <f t="shared" si="66"/>
        <v/>
      </c>
      <c r="O35" s="414" t="str">
        <f t="shared" si="67"/>
        <v/>
      </c>
      <c r="P35" s="414" t="str">
        <f t="shared" si="68"/>
        <v/>
      </c>
      <c r="Q35" s="414" t="str">
        <f t="shared" si="69"/>
        <v/>
      </c>
      <c r="R35" s="414" t="str">
        <f t="shared" si="70"/>
        <v/>
      </c>
      <c r="S35" s="414" t="str">
        <f t="shared" si="71"/>
        <v/>
      </c>
      <c r="T35" s="414" t="str">
        <f t="shared" si="72"/>
        <v/>
      </c>
      <c r="U35" s="414" t="str">
        <f t="shared" si="73"/>
        <v/>
      </c>
      <c r="V35" s="414" t="str">
        <f t="shared" si="74"/>
        <v/>
      </c>
      <c r="W35" s="414" t="str">
        <f t="shared" si="75"/>
        <v/>
      </c>
      <c r="X35" s="414" t="str">
        <f t="shared" si="76"/>
        <v/>
      </c>
      <c r="Y35" s="414" t="str">
        <f t="shared" si="77"/>
        <v/>
      </c>
      <c r="Z35" s="414" t="str">
        <f t="shared" si="78"/>
        <v/>
      </c>
      <c r="AA35" s="414" t="str">
        <f t="shared" si="79"/>
        <v/>
      </c>
      <c r="AB35" s="414" t="str">
        <f t="shared" si="80"/>
        <v/>
      </c>
      <c r="AC35" s="414" t="str">
        <f t="shared" si="81"/>
        <v/>
      </c>
      <c r="AD35" s="414" t="str">
        <f t="shared" si="82"/>
        <v/>
      </c>
      <c r="AE35" s="414" t="str">
        <f t="shared" si="83"/>
        <v/>
      </c>
      <c r="AF35" s="414" t="str">
        <f t="shared" si="84"/>
        <v/>
      </c>
      <c r="AG35" s="414" t="str">
        <f t="shared" si="85"/>
        <v/>
      </c>
      <c r="AH35" s="414" t="str">
        <f t="shared" si="86"/>
        <v/>
      </c>
      <c r="AI35" s="414" t="str">
        <f t="shared" si="87"/>
        <v/>
      </c>
      <c r="AJ35" s="414" t="str">
        <f t="shared" si="88"/>
        <v/>
      </c>
      <c r="AK35" s="414" t="str">
        <f t="shared" si="89"/>
        <v/>
      </c>
      <c r="AL35" s="414" t="str">
        <f t="shared" si="90"/>
        <v/>
      </c>
      <c r="AM35" s="414" t="str">
        <f t="shared" si="91"/>
        <v/>
      </c>
      <c r="AN35" s="414" t="str">
        <f t="shared" si="92"/>
        <v/>
      </c>
      <c r="AO35" s="414" t="str">
        <f t="shared" si="93"/>
        <v/>
      </c>
      <c r="AP35" s="414" t="str">
        <f t="shared" si="94"/>
        <v/>
      </c>
      <c r="AQ35" s="414" t="str">
        <f t="shared" si="95"/>
        <v/>
      </c>
      <c r="AR35" s="414" t="str">
        <f t="shared" si="96"/>
        <v/>
      </c>
      <c r="AS35" s="414" t="str">
        <f t="shared" si="97"/>
        <v/>
      </c>
      <c r="AT35" s="414" t="str">
        <f t="shared" si="98"/>
        <v/>
      </c>
      <c r="AU35" s="414" t="str">
        <f t="shared" si="99"/>
        <v/>
      </c>
      <c r="AV35" s="414" t="str">
        <f t="shared" si="100"/>
        <v/>
      </c>
      <c r="AW35" s="414" t="str">
        <f t="shared" si="101"/>
        <v/>
      </c>
      <c r="AX35" s="414" t="str">
        <f t="shared" si="102"/>
        <v/>
      </c>
      <c r="AY35" s="414" t="str">
        <f t="shared" si="103"/>
        <v/>
      </c>
      <c r="AZ35" s="414" t="str">
        <f t="shared" si="104"/>
        <v/>
      </c>
      <c r="BA35" s="414" t="str">
        <f t="shared" si="105"/>
        <v/>
      </c>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c r="IU36" s="22"/>
      <c r="IV36" s="22"/>
      <c r="IW36" s="22"/>
      <c r="IX36" s="22"/>
      <c r="IY36" s="22"/>
      <c r="IZ36" s="22"/>
      <c r="JA36" s="22"/>
      <c r="JB36" s="22"/>
      <c r="JC36" s="22"/>
      <c r="JD36" s="22"/>
      <c r="JE36" s="22"/>
      <c r="JF36" s="22"/>
      <c r="JG36" s="22"/>
      <c r="JH36" s="22"/>
      <c r="JI36" s="22"/>
      <c r="JJ36" s="22"/>
      <c r="JK36" s="22"/>
      <c r="JL36" s="22"/>
      <c r="JM36" s="22"/>
      <c r="JN36" s="22"/>
      <c r="JO36" s="22"/>
      <c r="JP36" s="22"/>
      <c r="JQ36" s="22"/>
      <c r="JR36" s="22"/>
      <c r="JS36" s="22"/>
      <c r="JT36" s="22"/>
      <c r="JU36" s="22"/>
      <c r="JV36" s="22"/>
      <c r="JW36" s="22"/>
      <c r="JX36" s="22"/>
      <c r="JY36" s="22"/>
      <c r="JZ36" s="22"/>
      <c r="KA36" s="22"/>
      <c r="KB36" s="22"/>
      <c r="KC36" s="22"/>
      <c r="KD36" s="22"/>
      <c r="KE36" s="22"/>
      <c r="KF36" s="22"/>
      <c r="KG36" s="22"/>
      <c r="KH36" s="22"/>
      <c r="KI36" s="22"/>
      <c r="KJ36" s="22"/>
      <c r="KK36" s="22"/>
      <c r="KL36" s="22"/>
      <c r="KM36" s="22"/>
      <c r="KN36" s="22"/>
      <c r="KO36" s="22"/>
      <c r="KP36" s="22"/>
      <c r="KQ36" s="22"/>
      <c r="KR36" s="22"/>
      <c r="KS36" s="22"/>
      <c r="KT36" s="22"/>
      <c r="KU36" s="22"/>
      <c r="KV36" s="22"/>
      <c r="KW36" s="22"/>
      <c r="KX36" s="22"/>
      <c r="KY36" s="22"/>
      <c r="KZ36" s="22"/>
      <c r="LA36" s="22"/>
      <c r="LB36" s="22"/>
      <c r="LC36" s="22"/>
      <c r="LD36" s="22"/>
      <c r="LE36" s="22"/>
      <c r="LF36" s="22"/>
      <c r="LG36" s="22"/>
      <c r="LH36" s="22"/>
      <c r="LI36" s="22"/>
      <c r="LJ36" s="22"/>
      <c r="LK36" s="22"/>
      <c r="LL36" s="22"/>
      <c r="LM36" s="22"/>
      <c r="LN36" s="22"/>
      <c r="LO36" s="22"/>
      <c r="LP36" s="22"/>
      <c r="LQ36" s="22"/>
      <c r="LR36" s="22"/>
      <c r="LS36" s="22"/>
      <c r="LT36" s="22"/>
      <c r="LU36" s="22"/>
      <c r="LV36" s="22"/>
      <c r="LW36" s="22"/>
      <c r="LX36" s="22"/>
      <c r="LY36" s="22"/>
      <c r="LZ36" s="22"/>
      <c r="MA36" s="22"/>
      <c r="MB36" s="22"/>
      <c r="MC36" s="22"/>
      <c r="MD36" s="22"/>
      <c r="ME36" s="22"/>
      <c r="MF36" s="22"/>
      <c r="MG36" s="22"/>
      <c r="MH36" s="22"/>
      <c r="MI36" s="22"/>
      <c r="MJ36" s="22"/>
      <c r="MK36" s="22"/>
      <c r="ML36" s="22"/>
      <c r="MM36" s="22"/>
      <c r="MN36" s="22"/>
      <c r="MO36" s="22"/>
      <c r="MP36" s="22"/>
      <c r="MQ36" s="22"/>
      <c r="MR36" s="22"/>
      <c r="MS36" s="22"/>
      <c r="MT36" s="22"/>
      <c r="MU36" s="22"/>
      <c r="MV36" s="22"/>
      <c r="MW36" s="22"/>
      <c r="MX36" s="22"/>
      <c r="MY36" s="22"/>
      <c r="MZ36" s="22"/>
      <c r="NA36" s="22"/>
      <c r="NB36" s="22"/>
      <c r="NC36" s="22"/>
      <c r="ND36" s="22"/>
      <c r="NE36" s="22"/>
      <c r="NF36" s="22"/>
      <c r="NG36" s="22"/>
      <c r="NH36" s="22"/>
      <c r="NI36" s="22"/>
      <c r="NJ36" s="22"/>
      <c r="NK36" s="22"/>
      <c r="NL36" s="22"/>
      <c r="NM36" s="22"/>
      <c r="NN36" s="22"/>
      <c r="NO36" s="22"/>
      <c r="NP36" s="22"/>
      <c r="NQ36" s="22"/>
      <c r="NR36" s="22"/>
      <c r="NS36" s="22"/>
      <c r="NT36" s="22"/>
      <c r="NU36" s="22"/>
      <c r="NV36" s="22"/>
      <c r="NW36" s="22"/>
      <c r="NX36" s="22"/>
      <c r="NY36" s="22"/>
      <c r="NZ36" s="22"/>
      <c r="OA36" s="22"/>
      <c r="OB36" s="22"/>
      <c r="OC36" s="22"/>
      <c r="OD36" s="22"/>
      <c r="OE36" s="22"/>
      <c r="OF36" s="22"/>
      <c r="OG36" s="22"/>
      <c r="OH36" s="22"/>
      <c r="OI36" s="22"/>
      <c r="OJ36" s="22"/>
      <c r="OK36" s="22"/>
      <c r="OL36" s="22"/>
      <c r="OM36" s="22"/>
      <c r="ON36" s="22"/>
      <c r="OO36" s="22"/>
      <c r="OP36" s="22"/>
      <c r="OQ36" s="22"/>
      <c r="OR36" s="22"/>
      <c r="OS36" s="22"/>
      <c r="OT36" s="22"/>
      <c r="OU36" s="22"/>
      <c r="OV36" s="22"/>
      <c r="OW36" s="22"/>
      <c r="OX36" s="22"/>
      <c r="OY36" s="22"/>
      <c r="OZ36" s="22"/>
      <c r="PA36" s="22"/>
      <c r="PB36" s="22"/>
      <c r="PC36" s="22"/>
      <c r="PD36" s="22"/>
      <c r="PE36" s="22"/>
      <c r="PF36" s="22"/>
      <c r="PG36" s="22"/>
      <c r="PH36" s="22"/>
      <c r="PI36" s="22"/>
      <c r="PJ36" s="22"/>
      <c r="PK36" s="22"/>
      <c r="PL36" s="22"/>
      <c r="PM36" s="22"/>
      <c r="PN36" s="22"/>
      <c r="PO36" s="22"/>
      <c r="PP36" s="22"/>
      <c r="PQ36" s="22"/>
      <c r="PR36" s="22"/>
      <c r="PS36" s="22"/>
      <c r="PT36" s="22"/>
      <c r="PU36" s="22"/>
      <c r="PV36" s="22"/>
      <c r="PW36" s="22"/>
      <c r="PX36" s="22"/>
      <c r="PY36" s="22"/>
      <c r="PZ36" s="22"/>
      <c r="QA36" s="22"/>
      <c r="QB36" s="22"/>
      <c r="QC36" s="22"/>
      <c r="QD36" s="22"/>
      <c r="QE36" s="22"/>
      <c r="QF36" s="22"/>
      <c r="QG36" s="22"/>
      <c r="QH36" s="22"/>
      <c r="QI36" s="22"/>
      <c r="QJ36" s="22"/>
      <c r="QK36" s="22"/>
      <c r="QL36" s="22"/>
      <c r="QM36" s="22"/>
      <c r="QN36" s="22"/>
      <c r="QO36" s="22"/>
      <c r="QP36" s="22"/>
      <c r="QQ36" s="22"/>
      <c r="QR36" s="22"/>
      <c r="QS36" s="22"/>
      <c r="QT36" s="22"/>
      <c r="QU36" s="22"/>
      <c r="QV36" s="22"/>
      <c r="QW36" s="22"/>
      <c r="QX36" s="22"/>
      <c r="QY36" s="22"/>
      <c r="QZ36" s="22"/>
      <c r="RA36" s="22"/>
      <c r="RB36" s="22"/>
      <c r="RC36" s="22"/>
    </row>
    <row r="37">
      <c r="A37" s="402" t="s">
        <v>453</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c r="IU37" s="22"/>
      <c r="IV37" s="22"/>
      <c r="IW37" s="22"/>
      <c r="IX37" s="22"/>
      <c r="IY37" s="22"/>
      <c r="IZ37" s="22"/>
      <c r="JA37" s="22"/>
      <c r="JB37" s="22"/>
      <c r="JC37" s="22"/>
      <c r="JD37" s="22"/>
      <c r="JE37" s="22"/>
      <c r="JF37" s="22"/>
      <c r="JG37" s="22"/>
      <c r="JH37" s="22"/>
      <c r="JI37" s="22"/>
      <c r="JJ37" s="22"/>
      <c r="JK37" s="22"/>
      <c r="JL37" s="22"/>
      <c r="JM37" s="22"/>
      <c r="JN37" s="22"/>
      <c r="JO37" s="22"/>
      <c r="JP37" s="22"/>
      <c r="JQ37" s="22"/>
      <c r="JR37" s="22"/>
      <c r="JS37" s="22"/>
      <c r="JT37" s="22"/>
      <c r="JU37" s="22"/>
      <c r="JV37" s="22"/>
      <c r="JW37" s="22"/>
      <c r="JX37" s="22"/>
      <c r="JY37" s="22"/>
      <c r="JZ37" s="22"/>
      <c r="KA37" s="22"/>
      <c r="KB37" s="22"/>
      <c r="KC37" s="22"/>
      <c r="KD37" s="22"/>
      <c r="KE37" s="22"/>
      <c r="KF37" s="22"/>
      <c r="KG37" s="22"/>
      <c r="KH37" s="22"/>
      <c r="KI37" s="22"/>
      <c r="KJ37" s="22"/>
      <c r="KK37" s="22"/>
      <c r="KL37" s="22"/>
      <c r="KM37" s="22"/>
      <c r="KN37" s="22"/>
      <c r="KO37" s="22"/>
      <c r="KP37" s="22"/>
      <c r="KQ37" s="22"/>
      <c r="KR37" s="22"/>
      <c r="KS37" s="22"/>
      <c r="KT37" s="22"/>
      <c r="KU37" s="22"/>
      <c r="KV37" s="22"/>
      <c r="KW37" s="22"/>
      <c r="KX37" s="22"/>
      <c r="KY37" s="22"/>
      <c r="KZ37" s="22"/>
      <c r="LA37" s="22"/>
      <c r="LB37" s="22"/>
      <c r="LC37" s="22"/>
      <c r="LD37" s="22"/>
      <c r="LE37" s="22"/>
      <c r="LF37" s="22"/>
      <c r="LG37" s="22"/>
      <c r="LH37" s="22"/>
      <c r="LI37" s="22"/>
      <c r="LJ37" s="22"/>
      <c r="LK37" s="22"/>
      <c r="LL37" s="22"/>
      <c r="LM37" s="22"/>
      <c r="LN37" s="22"/>
      <c r="LO37" s="22"/>
      <c r="LP37" s="22"/>
      <c r="LQ37" s="22"/>
      <c r="LR37" s="22"/>
      <c r="LS37" s="22"/>
      <c r="LT37" s="22"/>
      <c r="LU37" s="22"/>
      <c r="LV37" s="22"/>
      <c r="LW37" s="22"/>
      <c r="LX37" s="22"/>
      <c r="LY37" s="22"/>
      <c r="LZ37" s="22"/>
      <c r="MA37" s="22"/>
      <c r="MB37" s="22"/>
      <c r="MC37" s="22"/>
      <c r="MD37" s="22"/>
      <c r="ME37" s="22"/>
      <c r="MF37" s="22"/>
      <c r="MG37" s="22"/>
      <c r="MH37" s="22"/>
      <c r="MI37" s="22"/>
      <c r="MJ37" s="22"/>
      <c r="MK37" s="22"/>
      <c r="ML37" s="22"/>
      <c r="MM37" s="22"/>
      <c r="MN37" s="22"/>
      <c r="MO37" s="22"/>
      <c r="MP37" s="22"/>
      <c r="MQ37" s="22"/>
      <c r="MR37" s="22"/>
      <c r="MS37" s="22"/>
      <c r="MT37" s="22"/>
      <c r="MU37" s="22"/>
      <c r="MV37" s="22"/>
      <c r="MW37" s="22"/>
      <c r="MX37" s="22"/>
      <c r="MY37" s="22"/>
      <c r="MZ37" s="22"/>
      <c r="NA37" s="22"/>
      <c r="NB37" s="22"/>
      <c r="NC37" s="22"/>
      <c r="ND37" s="22"/>
      <c r="NE37" s="22"/>
      <c r="NF37" s="22"/>
      <c r="NG37" s="22"/>
      <c r="NH37" s="22"/>
      <c r="NI37" s="22"/>
      <c r="NJ37" s="22"/>
      <c r="NK37" s="22"/>
      <c r="NL37" s="22"/>
      <c r="NM37" s="22"/>
      <c r="NN37" s="22"/>
      <c r="NO37" s="22"/>
      <c r="NP37" s="22"/>
      <c r="NQ37" s="22"/>
      <c r="NR37" s="22"/>
      <c r="NS37" s="22"/>
      <c r="NT37" s="22"/>
      <c r="NU37" s="22"/>
      <c r="NV37" s="22"/>
      <c r="NW37" s="22"/>
      <c r="NX37" s="22"/>
      <c r="NY37" s="22"/>
      <c r="NZ37" s="22"/>
      <c r="OA37" s="22"/>
      <c r="OB37" s="22"/>
      <c r="OC37" s="22"/>
      <c r="OD37" s="22"/>
      <c r="OE37" s="22"/>
      <c r="OF37" s="22"/>
      <c r="OG37" s="22"/>
      <c r="OH37" s="22"/>
      <c r="OI37" s="22"/>
      <c r="OJ37" s="22"/>
      <c r="OK37" s="22"/>
      <c r="OL37" s="22"/>
      <c r="OM37" s="22"/>
      <c r="ON37" s="22"/>
      <c r="OO37" s="22"/>
      <c r="OP37" s="22"/>
      <c r="OQ37" s="22"/>
      <c r="OR37" s="22"/>
      <c r="OS37" s="22"/>
      <c r="OT37" s="22"/>
      <c r="OU37" s="22"/>
      <c r="OV37" s="22"/>
      <c r="OW37" s="22"/>
      <c r="OX37" s="22"/>
      <c r="OY37" s="22"/>
      <c r="OZ37" s="22"/>
      <c r="PA37" s="22"/>
      <c r="PB37" s="22"/>
      <c r="PC37" s="22"/>
      <c r="PD37" s="22"/>
      <c r="PE37" s="22"/>
      <c r="PF37" s="22"/>
      <c r="PG37" s="22"/>
      <c r="PH37" s="22"/>
      <c r="PI37" s="22"/>
      <c r="PJ37" s="22"/>
      <c r="PK37" s="22"/>
      <c r="PL37" s="22"/>
      <c r="PM37" s="22"/>
      <c r="PN37" s="22"/>
      <c r="PO37" s="22"/>
      <c r="PP37" s="22"/>
      <c r="PQ37" s="22"/>
      <c r="PR37" s="22"/>
      <c r="PS37" s="22"/>
      <c r="PT37" s="22"/>
      <c r="PU37" s="22"/>
      <c r="PV37" s="22"/>
      <c r="PW37" s="22"/>
      <c r="PX37" s="22"/>
      <c r="PY37" s="22"/>
      <c r="PZ37" s="22"/>
      <c r="QA37" s="22"/>
      <c r="QB37" s="22"/>
      <c r="QC37" s="22"/>
      <c r="QD37" s="22"/>
      <c r="QE37" s="22"/>
      <c r="QF37" s="22"/>
      <c r="QG37" s="22"/>
      <c r="QH37" s="22"/>
      <c r="QI37" s="22"/>
      <c r="QJ37" s="22"/>
      <c r="QK37" s="22"/>
      <c r="QL37" s="22"/>
      <c r="QM37" s="22"/>
      <c r="QN37" s="22"/>
      <c r="QO37" s="22"/>
      <c r="QP37" s="22"/>
      <c r="QQ37" s="22"/>
      <c r="QR37" s="22"/>
      <c r="QS37" s="22"/>
      <c r="QT37" s="22"/>
      <c r="QU37" s="22"/>
      <c r="QV37" s="22"/>
      <c r="QW37" s="22"/>
      <c r="QX37" s="22"/>
      <c r="QY37" s="22"/>
      <c r="QZ37" s="22"/>
      <c r="RA37" s="22"/>
      <c r="RB37" s="22"/>
      <c r="RC37" s="22"/>
    </row>
    <row r="38">
      <c r="A38" s="415" t="s">
        <v>454</v>
      </c>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c r="IU38" s="22"/>
      <c r="IV38" s="22"/>
      <c r="IW38" s="22"/>
      <c r="IX38" s="22"/>
      <c r="IY38" s="22"/>
      <c r="IZ38" s="22"/>
      <c r="JA38" s="22"/>
      <c r="JB38" s="22"/>
      <c r="JC38" s="22"/>
      <c r="JD38" s="22"/>
      <c r="JE38" s="22"/>
      <c r="JF38" s="22"/>
      <c r="JG38" s="22"/>
      <c r="JH38" s="22"/>
      <c r="JI38" s="22"/>
      <c r="JJ38" s="22"/>
      <c r="JK38" s="22"/>
      <c r="JL38" s="22"/>
      <c r="JM38" s="22"/>
      <c r="JN38" s="22"/>
      <c r="JO38" s="22"/>
      <c r="JP38" s="22"/>
      <c r="JQ38" s="22"/>
      <c r="JR38" s="22"/>
      <c r="JS38" s="22"/>
      <c r="JT38" s="22"/>
      <c r="JU38" s="22"/>
      <c r="JV38" s="22"/>
      <c r="JW38" s="22"/>
      <c r="JX38" s="22"/>
      <c r="JY38" s="22"/>
      <c r="JZ38" s="22"/>
      <c r="KA38" s="22"/>
      <c r="KB38" s="22"/>
      <c r="KC38" s="22"/>
      <c r="KD38" s="22"/>
      <c r="KE38" s="22"/>
      <c r="KF38" s="22"/>
      <c r="KG38" s="22"/>
      <c r="KH38" s="22"/>
      <c r="KI38" s="22"/>
      <c r="KJ38" s="22"/>
      <c r="KK38" s="22"/>
      <c r="KL38" s="22"/>
      <c r="KM38" s="22"/>
      <c r="KN38" s="22"/>
      <c r="KO38" s="22"/>
      <c r="KP38" s="22"/>
      <c r="KQ38" s="22"/>
      <c r="KR38" s="22"/>
      <c r="KS38" s="22"/>
      <c r="KT38" s="22"/>
      <c r="KU38" s="22"/>
      <c r="KV38" s="22"/>
      <c r="KW38" s="22"/>
      <c r="KX38" s="22"/>
      <c r="KY38" s="22"/>
      <c r="KZ38" s="22"/>
      <c r="LA38" s="22"/>
      <c r="LB38" s="22"/>
      <c r="LC38" s="22"/>
      <c r="LD38" s="22"/>
      <c r="LE38" s="22"/>
      <c r="LF38" s="22"/>
      <c r="LG38" s="22"/>
      <c r="LH38" s="22"/>
      <c r="LI38" s="22"/>
      <c r="LJ38" s="22"/>
      <c r="LK38" s="22"/>
      <c r="LL38" s="22"/>
      <c r="LM38" s="22"/>
      <c r="LN38" s="22"/>
      <c r="LO38" s="22"/>
      <c r="LP38" s="22"/>
      <c r="LQ38" s="22"/>
      <c r="LR38" s="22"/>
      <c r="LS38" s="22"/>
      <c r="LT38" s="22"/>
      <c r="LU38" s="22"/>
      <c r="LV38" s="22"/>
      <c r="LW38" s="22"/>
      <c r="LX38" s="22"/>
      <c r="LY38" s="22"/>
      <c r="LZ38" s="22"/>
      <c r="MA38" s="22"/>
      <c r="MB38" s="22"/>
      <c r="MC38" s="22"/>
      <c r="MD38" s="22"/>
      <c r="ME38" s="22"/>
      <c r="MF38" s="22"/>
      <c r="MG38" s="22"/>
      <c r="MH38" s="22"/>
      <c r="MI38" s="22"/>
      <c r="MJ38" s="22"/>
      <c r="MK38" s="22"/>
      <c r="ML38" s="22"/>
      <c r="MM38" s="22"/>
      <c r="MN38" s="22"/>
      <c r="MO38" s="22"/>
      <c r="MP38" s="22"/>
      <c r="MQ38" s="22"/>
      <c r="MR38" s="22"/>
      <c r="MS38" s="22"/>
      <c r="MT38" s="22"/>
      <c r="MU38" s="22"/>
      <c r="MV38" s="22"/>
      <c r="MW38" s="22"/>
      <c r="MX38" s="22"/>
      <c r="MY38" s="22"/>
      <c r="MZ38" s="22"/>
      <c r="NA38" s="22"/>
      <c r="NB38" s="22"/>
      <c r="NC38" s="22"/>
      <c r="ND38" s="22"/>
      <c r="NE38" s="22"/>
      <c r="NF38" s="22"/>
      <c r="NG38" s="22"/>
      <c r="NH38" s="22"/>
      <c r="NI38" s="22"/>
      <c r="NJ38" s="22"/>
      <c r="NK38" s="22"/>
      <c r="NL38" s="22"/>
      <c r="NM38" s="22"/>
      <c r="NN38" s="22"/>
      <c r="NO38" s="22"/>
      <c r="NP38" s="22"/>
      <c r="NQ38" s="22"/>
      <c r="NR38" s="22"/>
      <c r="NS38" s="22"/>
      <c r="NT38" s="22"/>
      <c r="NU38" s="22"/>
      <c r="NV38" s="22"/>
      <c r="NW38" s="22"/>
      <c r="NX38" s="22"/>
      <c r="NY38" s="22"/>
      <c r="NZ38" s="22"/>
      <c r="OA38" s="22"/>
      <c r="OB38" s="22"/>
      <c r="OC38" s="22"/>
      <c r="OD38" s="22"/>
      <c r="OE38" s="22"/>
      <c r="OF38" s="22"/>
      <c r="OG38" s="22"/>
      <c r="OH38" s="22"/>
      <c r="OI38" s="22"/>
      <c r="OJ38" s="22"/>
      <c r="OK38" s="22"/>
      <c r="OL38" s="22"/>
      <c r="OM38" s="22"/>
      <c r="ON38" s="22"/>
      <c r="OO38" s="22"/>
      <c r="OP38" s="22"/>
      <c r="OQ38" s="22"/>
      <c r="OR38" s="22"/>
      <c r="OS38" s="22"/>
      <c r="OT38" s="22"/>
      <c r="OU38" s="22"/>
      <c r="OV38" s="22"/>
      <c r="OW38" s="22"/>
      <c r="OX38" s="22"/>
      <c r="OY38" s="22"/>
      <c r="OZ38" s="22"/>
      <c r="PA38" s="22"/>
      <c r="PB38" s="22"/>
      <c r="PC38" s="22"/>
      <c r="PD38" s="22"/>
      <c r="PE38" s="22"/>
      <c r="PF38" s="22"/>
      <c r="PG38" s="22"/>
      <c r="PH38" s="22"/>
      <c r="PI38" s="22"/>
      <c r="PJ38" s="22"/>
      <c r="PK38" s="22"/>
      <c r="PL38" s="22"/>
      <c r="PM38" s="22"/>
      <c r="PN38" s="22"/>
      <c r="PO38" s="22"/>
      <c r="PP38" s="22"/>
      <c r="PQ38" s="22"/>
      <c r="PR38" s="22"/>
      <c r="PS38" s="22"/>
      <c r="PT38" s="22"/>
      <c r="PU38" s="22"/>
      <c r="PV38" s="22"/>
      <c r="PW38" s="22"/>
      <c r="PX38" s="22"/>
      <c r="PY38" s="22"/>
      <c r="PZ38" s="22"/>
      <c r="QA38" s="22"/>
      <c r="QB38" s="22"/>
      <c r="QC38" s="22"/>
      <c r="QD38" s="22"/>
      <c r="QE38" s="22"/>
      <c r="QF38" s="22"/>
      <c r="QG38" s="22"/>
      <c r="QH38" s="22"/>
      <c r="QI38" s="22"/>
      <c r="QJ38" s="22"/>
      <c r="QK38" s="22"/>
      <c r="QL38" s="22"/>
      <c r="QM38" s="22"/>
      <c r="QN38" s="22"/>
      <c r="QO38" s="22"/>
      <c r="QP38" s="22"/>
      <c r="QQ38" s="22"/>
      <c r="QR38" s="22"/>
      <c r="QS38" s="22"/>
      <c r="QT38" s="22"/>
      <c r="QU38" s="22"/>
      <c r="QV38" s="22"/>
      <c r="QW38" s="22"/>
      <c r="QX38" s="22"/>
      <c r="QY38" s="22"/>
      <c r="QZ38" s="22"/>
      <c r="RA38" s="22"/>
      <c r="RB38" s="22"/>
      <c r="RC38" s="22"/>
    </row>
    <row r="39">
      <c r="A39" s="415" t="s">
        <v>53</v>
      </c>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c r="IU39" s="22"/>
      <c r="IV39" s="22"/>
      <c r="IW39" s="22"/>
      <c r="IX39" s="22"/>
      <c r="IY39" s="22"/>
      <c r="IZ39" s="22"/>
      <c r="JA39" s="22"/>
      <c r="JB39" s="22"/>
      <c r="JC39" s="22"/>
      <c r="JD39" s="22"/>
      <c r="JE39" s="22"/>
      <c r="JF39" s="22"/>
      <c r="JG39" s="22"/>
      <c r="JH39" s="22"/>
      <c r="JI39" s="22"/>
      <c r="JJ39" s="22"/>
      <c r="JK39" s="22"/>
      <c r="JL39" s="22"/>
      <c r="JM39" s="22"/>
      <c r="JN39" s="22"/>
      <c r="JO39" s="22"/>
      <c r="JP39" s="22"/>
      <c r="JQ39" s="22"/>
      <c r="JR39" s="22"/>
      <c r="JS39" s="22"/>
      <c r="JT39" s="22"/>
      <c r="JU39" s="22"/>
      <c r="JV39" s="22"/>
      <c r="JW39" s="22"/>
      <c r="JX39" s="22"/>
      <c r="JY39" s="22"/>
      <c r="JZ39" s="22"/>
      <c r="KA39" s="22"/>
      <c r="KB39" s="22"/>
      <c r="KC39" s="22"/>
      <c r="KD39" s="22"/>
      <c r="KE39" s="22"/>
      <c r="KF39" s="22"/>
      <c r="KG39" s="22"/>
      <c r="KH39" s="22"/>
      <c r="KI39" s="22"/>
      <c r="KJ39" s="22"/>
      <c r="KK39" s="22"/>
      <c r="KL39" s="22"/>
      <c r="KM39" s="22"/>
      <c r="KN39" s="22"/>
      <c r="KO39" s="22"/>
      <c r="KP39" s="22"/>
      <c r="KQ39" s="22"/>
      <c r="KR39" s="22"/>
      <c r="KS39" s="22"/>
      <c r="KT39" s="22"/>
      <c r="KU39" s="22"/>
      <c r="KV39" s="22"/>
      <c r="KW39" s="22"/>
      <c r="KX39" s="22"/>
      <c r="KY39" s="22"/>
      <c r="KZ39" s="22"/>
      <c r="LA39" s="22"/>
      <c r="LB39" s="22"/>
      <c r="LC39" s="22"/>
      <c r="LD39" s="22"/>
      <c r="LE39" s="22"/>
      <c r="LF39" s="22"/>
      <c r="LG39" s="22"/>
      <c r="LH39" s="22"/>
      <c r="LI39" s="22"/>
      <c r="LJ39" s="22"/>
      <c r="LK39" s="22"/>
      <c r="LL39" s="22"/>
      <c r="LM39" s="22"/>
      <c r="LN39" s="22"/>
      <c r="LO39" s="22"/>
      <c r="LP39" s="22"/>
      <c r="LQ39" s="22"/>
      <c r="LR39" s="22"/>
      <c r="LS39" s="22"/>
      <c r="LT39" s="22"/>
      <c r="LU39" s="22"/>
      <c r="LV39" s="22"/>
      <c r="LW39" s="22"/>
      <c r="LX39" s="22"/>
      <c r="LY39" s="22"/>
      <c r="LZ39" s="22"/>
      <c r="MA39" s="22"/>
      <c r="MB39" s="22"/>
      <c r="MC39" s="22"/>
      <c r="MD39" s="22"/>
      <c r="ME39" s="22"/>
      <c r="MF39" s="22"/>
      <c r="MG39" s="22"/>
      <c r="MH39" s="22"/>
      <c r="MI39" s="22"/>
      <c r="MJ39" s="22"/>
      <c r="MK39" s="22"/>
      <c r="ML39" s="22"/>
      <c r="MM39" s="22"/>
      <c r="MN39" s="22"/>
      <c r="MO39" s="22"/>
      <c r="MP39" s="22"/>
      <c r="MQ39" s="22"/>
      <c r="MR39" s="22"/>
      <c r="MS39" s="22"/>
      <c r="MT39" s="22"/>
      <c r="MU39" s="22"/>
      <c r="MV39" s="22"/>
      <c r="MW39" s="22"/>
      <c r="MX39" s="22"/>
      <c r="MY39" s="22"/>
      <c r="MZ39" s="22"/>
      <c r="NA39" s="22"/>
      <c r="NB39" s="22"/>
      <c r="NC39" s="22"/>
      <c r="ND39" s="22"/>
      <c r="NE39" s="22"/>
      <c r="NF39" s="22"/>
      <c r="NG39" s="22"/>
      <c r="NH39" s="22"/>
      <c r="NI39" s="22"/>
      <c r="NJ39" s="22"/>
      <c r="NK39" s="22"/>
      <c r="NL39" s="22"/>
      <c r="NM39" s="22"/>
      <c r="NN39" s="22"/>
      <c r="NO39" s="22"/>
      <c r="NP39" s="22"/>
      <c r="NQ39" s="22"/>
      <c r="NR39" s="22"/>
      <c r="NS39" s="22"/>
      <c r="NT39" s="22"/>
      <c r="NU39" s="22"/>
      <c r="NV39" s="22"/>
      <c r="NW39" s="22"/>
      <c r="NX39" s="22"/>
      <c r="NY39" s="22"/>
      <c r="NZ39" s="22"/>
      <c r="OA39" s="22"/>
      <c r="OB39" s="22"/>
      <c r="OC39" s="22"/>
      <c r="OD39" s="22"/>
      <c r="OE39" s="22"/>
      <c r="OF39" s="22"/>
      <c r="OG39" s="22"/>
      <c r="OH39" s="22"/>
      <c r="OI39" s="22"/>
      <c r="OJ39" s="22"/>
      <c r="OK39" s="22"/>
      <c r="OL39" s="22"/>
      <c r="OM39" s="22"/>
      <c r="ON39" s="22"/>
      <c r="OO39" s="22"/>
      <c r="OP39" s="22"/>
      <c r="OQ39" s="22"/>
      <c r="OR39" s="22"/>
      <c r="OS39" s="22"/>
      <c r="OT39" s="22"/>
      <c r="OU39" s="22"/>
      <c r="OV39" s="22"/>
      <c r="OW39" s="22"/>
      <c r="OX39" s="22"/>
      <c r="OY39" s="22"/>
      <c r="OZ39" s="22"/>
      <c r="PA39" s="22"/>
      <c r="PB39" s="22"/>
      <c r="PC39" s="22"/>
      <c r="PD39" s="22"/>
      <c r="PE39" s="22"/>
      <c r="PF39" s="22"/>
      <c r="PG39" s="22"/>
      <c r="PH39" s="22"/>
      <c r="PI39" s="22"/>
      <c r="PJ39" s="22"/>
      <c r="PK39" s="22"/>
      <c r="PL39" s="22"/>
      <c r="PM39" s="22"/>
      <c r="PN39" s="22"/>
      <c r="PO39" s="22"/>
      <c r="PP39" s="22"/>
      <c r="PQ39" s="22"/>
      <c r="PR39" s="22"/>
      <c r="PS39" s="22"/>
      <c r="PT39" s="22"/>
      <c r="PU39" s="22"/>
      <c r="PV39" s="22"/>
      <c r="PW39" s="22"/>
      <c r="PX39" s="22"/>
      <c r="PY39" s="22"/>
      <c r="PZ39" s="22"/>
      <c r="QA39" s="22"/>
      <c r="QB39" s="22"/>
      <c r="QC39" s="22"/>
      <c r="QD39" s="22"/>
      <c r="QE39" s="22"/>
      <c r="QF39" s="22"/>
      <c r="QG39" s="22"/>
      <c r="QH39" s="22"/>
      <c r="QI39" s="22"/>
      <c r="QJ39" s="22"/>
      <c r="QK39" s="22"/>
      <c r="QL39" s="22"/>
      <c r="QM39" s="22"/>
      <c r="QN39" s="22"/>
      <c r="QO39" s="22"/>
      <c r="QP39" s="22"/>
      <c r="QQ39" s="22"/>
      <c r="QR39" s="22"/>
      <c r="QS39" s="22"/>
      <c r="QT39" s="22"/>
      <c r="QU39" s="22"/>
      <c r="QV39" s="22"/>
      <c r="QW39" s="22"/>
      <c r="QX39" s="22"/>
      <c r="QY39" s="22"/>
      <c r="QZ39" s="22"/>
      <c r="RA39" s="22"/>
      <c r="RB39" s="22"/>
      <c r="RC39" s="22"/>
    </row>
    <row r="40">
      <c r="A40" s="415" t="s">
        <v>53</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c r="IU40" s="22"/>
      <c r="IV40" s="22"/>
      <c r="IW40" s="22"/>
      <c r="IX40" s="22"/>
      <c r="IY40" s="22"/>
      <c r="IZ40" s="22"/>
      <c r="JA40" s="22"/>
      <c r="JB40" s="22"/>
      <c r="JC40" s="22"/>
      <c r="JD40" s="22"/>
      <c r="JE40" s="22"/>
      <c r="JF40" s="22"/>
      <c r="JG40" s="22"/>
      <c r="JH40" s="22"/>
      <c r="JI40" s="22"/>
      <c r="JJ40" s="22"/>
      <c r="JK40" s="22"/>
      <c r="JL40" s="22"/>
      <c r="JM40" s="22"/>
      <c r="JN40" s="22"/>
      <c r="JO40" s="22"/>
      <c r="JP40" s="22"/>
      <c r="JQ40" s="22"/>
      <c r="JR40" s="22"/>
      <c r="JS40" s="22"/>
      <c r="JT40" s="22"/>
      <c r="JU40" s="22"/>
      <c r="JV40" s="22"/>
      <c r="JW40" s="22"/>
      <c r="JX40" s="22"/>
      <c r="JY40" s="22"/>
      <c r="JZ40" s="22"/>
      <c r="KA40" s="22"/>
      <c r="KB40" s="22"/>
      <c r="KC40" s="22"/>
      <c r="KD40" s="22"/>
      <c r="KE40" s="22"/>
      <c r="KF40" s="22"/>
      <c r="KG40" s="22"/>
      <c r="KH40" s="22"/>
      <c r="KI40" s="22"/>
      <c r="KJ40" s="22"/>
      <c r="KK40" s="22"/>
      <c r="KL40" s="22"/>
      <c r="KM40" s="22"/>
      <c r="KN40" s="22"/>
      <c r="KO40" s="22"/>
      <c r="KP40" s="22"/>
      <c r="KQ40" s="22"/>
      <c r="KR40" s="22"/>
      <c r="KS40" s="22"/>
      <c r="KT40" s="22"/>
      <c r="KU40" s="22"/>
      <c r="KV40" s="22"/>
      <c r="KW40" s="22"/>
      <c r="KX40" s="22"/>
      <c r="KY40" s="22"/>
      <c r="KZ40" s="22"/>
      <c r="LA40" s="22"/>
      <c r="LB40" s="22"/>
      <c r="LC40" s="22"/>
      <c r="LD40" s="22"/>
      <c r="LE40" s="22"/>
      <c r="LF40" s="22"/>
      <c r="LG40" s="22"/>
      <c r="LH40" s="22"/>
      <c r="LI40" s="22"/>
      <c r="LJ40" s="22"/>
      <c r="LK40" s="22"/>
      <c r="LL40" s="22"/>
      <c r="LM40" s="22"/>
      <c r="LN40" s="22"/>
      <c r="LO40" s="22"/>
      <c r="LP40" s="22"/>
      <c r="LQ40" s="22"/>
      <c r="LR40" s="22"/>
      <c r="LS40" s="22"/>
      <c r="LT40" s="22"/>
      <c r="LU40" s="22"/>
      <c r="LV40" s="22"/>
      <c r="LW40" s="22"/>
      <c r="LX40" s="22"/>
      <c r="LY40" s="22"/>
      <c r="LZ40" s="22"/>
      <c r="MA40" s="22"/>
      <c r="MB40" s="22"/>
      <c r="MC40" s="22"/>
      <c r="MD40" s="22"/>
      <c r="ME40" s="22"/>
      <c r="MF40" s="22"/>
      <c r="MG40" s="22"/>
      <c r="MH40" s="22"/>
      <c r="MI40" s="22"/>
      <c r="MJ40" s="22"/>
      <c r="MK40" s="22"/>
      <c r="ML40" s="22"/>
      <c r="MM40" s="22"/>
      <c r="MN40" s="22"/>
      <c r="MO40" s="22"/>
      <c r="MP40" s="22"/>
      <c r="MQ40" s="22"/>
      <c r="MR40" s="22"/>
      <c r="MS40" s="22"/>
      <c r="MT40" s="22"/>
      <c r="MU40" s="22"/>
      <c r="MV40" s="22"/>
      <c r="MW40" s="22"/>
      <c r="MX40" s="22"/>
      <c r="MY40" s="22"/>
      <c r="MZ40" s="22"/>
      <c r="NA40" s="22"/>
      <c r="NB40" s="22"/>
      <c r="NC40" s="22"/>
      <c r="ND40" s="22"/>
      <c r="NE40" s="22"/>
      <c r="NF40" s="22"/>
      <c r="NG40" s="22"/>
      <c r="NH40" s="22"/>
      <c r="NI40" s="22"/>
      <c r="NJ40" s="22"/>
      <c r="NK40" s="22"/>
      <c r="NL40" s="22"/>
      <c r="NM40" s="22"/>
      <c r="NN40" s="22"/>
      <c r="NO40" s="22"/>
      <c r="NP40" s="22"/>
      <c r="NQ40" s="22"/>
      <c r="NR40" s="22"/>
      <c r="NS40" s="22"/>
      <c r="NT40" s="22"/>
      <c r="NU40" s="22"/>
      <c r="NV40" s="22"/>
      <c r="NW40" s="22"/>
      <c r="NX40" s="22"/>
      <c r="NY40" s="22"/>
      <c r="NZ40" s="22"/>
      <c r="OA40" s="22"/>
      <c r="OB40" s="22"/>
      <c r="OC40" s="22"/>
      <c r="OD40" s="22"/>
      <c r="OE40" s="22"/>
      <c r="OF40" s="22"/>
      <c r="OG40" s="22"/>
      <c r="OH40" s="22"/>
      <c r="OI40" s="22"/>
      <c r="OJ40" s="22"/>
      <c r="OK40" s="22"/>
      <c r="OL40" s="22"/>
      <c r="OM40" s="22"/>
      <c r="ON40" s="22"/>
      <c r="OO40" s="22"/>
      <c r="OP40" s="22"/>
      <c r="OQ40" s="22"/>
      <c r="OR40" s="22"/>
      <c r="OS40" s="22"/>
      <c r="OT40" s="22"/>
      <c r="OU40" s="22"/>
      <c r="OV40" s="22"/>
      <c r="OW40" s="22"/>
      <c r="OX40" s="22"/>
      <c r="OY40" s="22"/>
      <c r="OZ40" s="22"/>
      <c r="PA40" s="22"/>
      <c r="PB40" s="22"/>
      <c r="PC40" s="22"/>
      <c r="PD40" s="22"/>
      <c r="PE40" s="22"/>
      <c r="PF40" s="22"/>
      <c r="PG40" s="22"/>
      <c r="PH40" s="22"/>
      <c r="PI40" s="22"/>
      <c r="PJ40" s="22"/>
      <c r="PK40" s="22"/>
      <c r="PL40" s="22"/>
      <c r="PM40" s="22"/>
      <c r="PN40" s="22"/>
      <c r="PO40" s="22"/>
      <c r="PP40" s="22"/>
      <c r="PQ40" s="22"/>
      <c r="PR40" s="22"/>
      <c r="PS40" s="22"/>
      <c r="PT40" s="22"/>
      <c r="PU40" s="22"/>
      <c r="PV40" s="22"/>
      <c r="PW40" s="22"/>
      <c r="PX40" s="22"/>
      <c r="PY40" s="22"/>
      <c r="PZ40" s="22"/>
      <c r="QA40" s="22"/>
      <c r="QB40" s="22"/>
      <c r="QC40" s="22"/>
      <c r="QD40" s="22"/>
      <c r="QE40" s="22"/>
      <c r="QF40" s="22"/>
      <c r="QG40" s="22"/>
      <c r="QH40" s="22"/>
      <c r="QI40" s="22"/>
      <c r="QJ40" s="22"/>
      <c r="QK40" s="22"/>
      <c r="QL40" s="22"/>
      <c r="QM40" s="22"/>
      <c r="QN40" s="22"/>
      <c r="QO40" s="22"/>
      <c r="QP40" s="22"/>
      <c r="QQ40" s="22"/>
      <c r="QR40" s="22"/>
      <c r="QS40" s="22"/>
      <c r="QT40" s="22"/>
      <c r="QU40" s="22"/>
      <c r="QV40" s="22"/>
      <c r="QW40" s="22"/>
      <c r="QX40" s="22"/>
      <c r="QY40" s="22"/>
      <c r="QZ40" s="22"/>
      <c r="RA40" s="22"/>
      <c r="RB40" s="22"/>
      <c r="RC40" s="22"/>
    </row>
    <row r="41">
      <c r="A41" s="415" t="s">
        <v>53</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c r="IU41" s="22"/>
      <c r="IV41" s="22"/>
      <c r="IW41" s="22"/>
      <c r="IX41" s="22"/>
      <c r="IY41" s="22"/>
      <c r="IZ41" s="22"/>
      <c r="JA41" s="22"/>
      <c r="JB41" s="22"/>
      <c r="JC41" s="22"/>
      <c r="JD41" s="22"/>
      <c r="JE41" s="22"/>
      <c r="JF41" s="22"/>
      <c r="JG41" s="22"/>
      <c r="JH41" s="22"/>
      <c r="JI41" s="22"/>
      <c r="JJ41" s="22"/>
      <c r="JK41" s="22"/>
      <c r="JL41" s="22"/>
      <c r="JM41" s="22"/>
      <c r="JN41" s="22"/>
      <c r="JO41" s="22"/>
      <c r="JP41" s="22"/>
      <c r="JQ41" s="22"/>
      <c r="JR41" s="22"/>
      <c r="JS41" s="22"/>
      <c r="JT41" s="22"/>
      <c r="JU41" s="22"/>
      <c r="JV41" s="22"/>
      <c r="JW41" s="22"/>
      <c r="JX41" s="22"/>
      <c r="JY41" s="22"/>
      <c r="JZ41" s="22"/>
      <c r="KA41" s="22"/>
      <c r="KB41" s="22"/>
      <c r="KC41" s="22"/>
      <c r="KD41" s="22"/>
      <c r="KE41" s="22"/>
      <c r="KF41" s="22"/>
      <c r="KG41" s="22"/>
      <c r="KH41" s="22"/>
      <c r="KI41" s="22"/>
      <c r="KJ41" s="22"/>
      <c r="KK41" s="22"/>
      <c r="KL41" s="22"/>
      <c r="KM41" s="22"/>
      <c r="KN41" s="22"/>
      <c r="KO41" s="22"/>
      <c r="KP41" s="22"/>
      <c r="KQ41" s="22"/>
      <c r="KR41" s="22"/>
      <c r="KS41" s="22"/>
      <c r="KT41" s="22"/>
      <c r="KU41" s="22"/>
      <c r="KV41" s="22"/>
      <c r="KW41" s="22"/>
      <c r="KX41" s="22"/>
      <c r="KY41" s="22"/>
      <c r="KZ41" s="22"/>
      <c r="LA41" s="22"/>
      <c r="LB41" s="22"/>
      <c r="LC41" s="22"/>
      <c r="LD41" s="22"/>
      <c r="LE41" s="22"/>
      <c r="LF41" s="22"/>
      <c r="LG41" s="22"/>
      <c r="LH41" s="22"/>
      <c r="LI41" s="22"/>
      <c r="LJ41" s="22"/>
      <c r="LK41" s="22"/>
      <c r="LL41" s="22"/>
      <c r="LM41" s="22"/>
      <c r="LN41" s="22"/>
      <c r="LO41" s="22"/>
      <c r="LP41" s="22"/>
      <c r="LQ41" s="22"/>
      <c r="LR41" s="22"/>
      <c r="LS41" s="22"/>
      <c r="LT41" s="22"/>
      <c r="LU41" s="22"/>
      <c r="LV41" s="22"/>
      <c r="LW41" s="22"/>
      <c r="LX41" s="22"/>
      <c r="LY41" s="22"/>
      <c r="LZ41" s="22"/>
      <c r="MA41" s="22"/>
      <c r="MB41" s="22"/>
      <c r="MC41" s="22"/>
      <c r="MD41" s="22"/>
      <c r="ME41" s="22"/>
      <c r="MF41" s="22"/>
      <c r="MG41" s="22"/>
      <c r="MH41" s="22"/>
      <c r="MI41" s="22"/>
      <c r="MJ41" s="22"/>
      <c r="MK41" s="22"/>
      <c r="ML41" s="22"/>
      <c r="MM41" s="22"/>
      <c r="MN41" s="22"/>
      <c r="MO41" s="22"/>
      <c r="MP41" s="22"/>
      <c r="MQ41" s="22"/>
      <c r="MR41" s="22"/>
      <c r="MS41" s="22"/>
      <c r="MT41" s="22"/>
      <c r="MU41" s="22"/>
      <c r="MV41" s="22"/>
      <c r="MW41" s="22"/>
      <c r="MX41" s="22"/>
      <c r="MY41" s="22"/>
      <c r="MZ41" s="22"/>
      <c r="NA41" s="22"/>
      <c r="NB41" s="22"/>
      <c r="NC41" s="22"/>
      <c r="ND41" s="22"/>
      <c r="NE41" s="22"/>
      <c r="NF41" s="22"/>
      <c r="NG41" s="22"/>
      <c r="NH41" s="22"/>
      <c r="NI41" s="22"/>
      <c r="NJ41" s="22"/>
      <c r="NK41" s="22"/>
      <c r="NL41" s="22"/>
      <c r="NM41" s="22"/>
      <c r="NN41" s="22"/>
      <c r="NO41" s="22"/>
      <c r="NP41" s="22"/>
      <c r="NQ41" s="22"/>
      <c r="NR41" s="22"/>
      <c r="NS41" s="22"/>
      <c r="NT41" s="22"/>
      <c r="NU41" s="22"/>
      <c r="NV41" s="22"/>
      <c r="NW41" s="22"/>
      <c r="NX41" s="22"/>
      <c r="NY41" s="22"/>
      <c r="NZ41" s="22"/>
      <c r="OA41" s="22"/>
      <c r="OB41" s="22"/>
      <c r="OC41" s="22"/>
      <c r="OD41" s="22"/>
      <c r="OE41" s="22"/>
      <c r="OF41" s="22"/>
      <c r="OG41" s="22"/>
      <c r="OH41" s="22"/>
      <c r="OI41" s="22"/>
      <c r="OJ41" s="22"/>
      <c r="OK41" s="22"/>
      <c r="OL41" s="22"/>
      <c r="OM41" s="22"/>
      <c r="ON41" s="22"/>
      <c r="OO41" s="22"/>
      <c r="OP41" s="22"/>
      <c r="OQ41" s="22"/>
      <c r="OR41" s="22"/>
      <c r="OS41" s="22"/>
      <c r="OT41" s="22"/>
      <c r="OU41" s="22"/>
      <c r="OV41" s="22"/>
      <c r="OW41" s="22"/>
      <c r="OX41" s="22"/>
      <c r="OY41" s="22"/>
      <c r="OZ41" s="22"/>
      <c r="PA41" s="22"/>
      <c r="PB41" s="22"/>
      <c r="PC41" s="22"/>
      <c r="PD41" s="22"/>
      <c r="PE41" s="22"/>
      <c r="PF41" s="22"/>
      <c r="PG41" s="22"/>
      <c r="PH41" s="22"/>
      <c r="PI41" s="22"/>
      <c r="PJ41" s="22"/>
      <c r="PK41" s="22"/>
      <c r="PL41" s="22"/>
      <c r="PM41" s="22"/>
      <c r="PN41" s="22"/>
      <c r="PO41" s="22"/>
      <c r="PP41" s="22"/>
      <c r="PQ41" s="22"/>
      <c r="PR41" s="22"/>
      <c r="PS41" s="22"/>
      <c r="PT41" s="22"/>
      <c r="PU41" s="22"/>
      <c r="PV41" s="22"/>
      <c r="PW41" s="22"/>
      <c r="PX41" s="22"/>
      <c r="PY41" s="22"/>
      <c r="PZ41" s="22"/>
      <c r="QA41" s="22"/>
      <c r="QB41" s="22"/>
      <c r="QC41" s="22"/>
      <c r="QD41" s="22"/>
      <c r="QE41" s="22"/>
      <c r="QF41" s="22"/>
      <c r="QG41" s="22"/>
      <c r="QH41" s="22"/>
      <c r="QI41" s="22"/>
      <c r="QJ41" s="22"/>
      <c r="QK41" s="22"/>
      <c r="QL41" s="22"/>
      <c r="QM41" s="22"/>
      <c r="QN41" s="22"/>
      <c r="QO41" s="22"/>
      <c r="QP41" s="22"/>
      <c r="QQ41" s="22"/>
      <c r="QR41" s="22"/>
      <c r="QS41" s="22"/>
      <c r="QT41" s="22"/>
      <c r="QU41" s="22"/>
      <c r="QV41" s="22"/>
      <c r="QW41" s="22"/>
      <c r="QX41" s="22"/>
      <c r="QY41" s="22"/>
      <c r="QZ41" s="22"/>
      <c r="RA41" s="22"/>
      <c r="RB41" s="22"/>
      <c r="RC41" s="22"/>
    </row>
    <row r="42">
      <c r="A42" s="415" t="s">
        <v>53</v>
      </c>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c r="IU42" s="22"/>
      <c r="IV42" s="22"/>
      <c r="IW42" s="22"/>
      <c r="IX42" s="22"/>
      <c r="IY42" s="22"/>
      <c r="IZ42" s="22"/>
      <c r="JA42" s="22"/>
      <c r="JB42" s="22"/>
      <c r="JC42" s="22"/>
      <c r="JD42" s="22"/>
      <c r="JE42" s="22"/>
      <c r="JF42" s="22"/>
      <c r="JG42" s="22"/>
      <c r="JH42" s="22"/>
      <c r="JI42" s="22"/>
      <c r="JJ42" s="22"/>
      <c r="JK42" s="22"/>
      <c r="JL42" s="22"/>
      <c r="JM42" s="22"/>
      <c r="JN42" s="22"/>
      <c r="JO42" s="22"/>
      <c r="JP42" s="22"/>
      <c r="JQ42" s="22"/>
      <c r="JR42" s="22"/>
      <c r="JS42" s="22"/>
      <c r="JT42" s="22"/>
      <c r="JU42" s="22"/>
      <c r="JV42" s="22"/>
      <c r="JW42" s="22"/>
      <c r="JX42" s="22"/>
      <c r="JY42" s="22"/>
      <c r="JZ42" s="22"/>
      <c r="KA42" s="22"/>
      <c r="KB42" s="22"/>
      <c r="KC42" s="22"/>
      <c r="KD42" s="22"/>
      <c r="KE42" s="22"/>
      <c r="KF42" s="22"/>
      <c r="KG42" s="22"/>
      <c r="KH42" s="22"/>
      <c r="KI42" s="22"/>
      <c r="KJ42" s="22"/>
      <c r="KK42" s="22"/>
      <c r="KL42" s="22"/>
      <c r="KM42" s="22"/>
      <c r="KN42" s="22"/>
      <c r="KO42" s="22"/>
      <c r="KP42" s="22"/>
      <c r="KQ42" s="22"/>
      <c r="KR42" s="22"/>
      <c r="KS42" s="22"/>
      <c r="KT42" s="22"/>
      <c r="KU42" s="22"/>
      <c r="KV42" s="22"/>
      <c r="KW42" s="22"/>
      <c r="KX42" s="22"/>
      <c r="KY42" s="22"/>
      <c r="KZ42" s="22"/>
      <c r="LA42" s="22"/>
      <c r="LB42" s="22"/>
      <c r="LC42" s="22"/>
      <c r="LD42" s="22"/>
      <c r="LE42" s="22"/>
      <c r="LF42" s="22"/>
      <c r="LG42" s="22"/>
      <c r="LH42" s="22"/>
      <c r="LI42" s="22"/>
      <c r="LJ42" s="22"/>
      <c r="LK42" s="22"/>
      <c r="LL42" s="22"/>
      <c r="LM42" s="22"/>
      <c r="LN42" s="22"/>
      <c r="LO42" s="22"/>
      <c r="LP42" s="22"/>
      <c r="LQ42" s="22"/>
      <c r="LR42" s="22"/>
      <c r="LS42" s="22"/>
      <c r="LT42" s="22"/>
      <c r="LU42" s="22"/>
      <c r="LV42" s="22"/>
      <c r="LW42" s="22"/>
      <c r="LX42" s="22"/>
      <c r="LY42" s="22"/>
      <c r="LZ42" s="22"/>
      <c r="MA42" s="22"/>
      <c r="MB42" s="22"/>
      <c r="MC42" s="22"/>
      <c r="MD42" s="22"/>
      <c r="ME42" s="22"/>
      <c r="MF42" s="22"/>
      <c r="MG42" s="22"/>
      <c r="MH42" s="22"/>
      <c r="MI42" s="22"/>
      <c r="MJ42" s="22"/>
      <c r="MK42" s="22"/>
      <c r="ML42" s="22"/>
      <c r="MM42" s="22"/>
      <c r="MN42" s="22"/>
      <c r="MO42" s="22"/>
      <c r="MP42" s="22"/>
      <c r="MQ42" s="22"/>
      <c r="MR42" s="22"/>
      <c r="MS42" s="22"/>
      <c r="MT42" s="22"/>
      <c r="MU42" s="22"/>
      <c r="MV42" s="22"/>
      <c r="MW42" s="22"/>
      <c r="MX42" s="22"/>
      <c r="MY42" s="22"/>
      <c r="MZ42" s="22"/>
      <c r="NA42" s="22"/>
      <c r="NB42" s="22"/>
      <c r="NC42" s="22"/>
      <c r="ND42" s="22"/>
      <c r="NE42" s="22"/>
      <c r="NF42" s="22"/>
      <c r="NG42" s="22"/>
      <c r="NH42" s="22"/>
      <c r="NI42" s="22"/>
      <c r="NJ42" s="22"/>
      <c r="NK42" s="22"/>
      <c r="NL42" s="22"/>
      <c r="NM42" s="22"/>
      <c r="NN42" s="22"/>
      <c r="NO42" s="22"/>
      <c r="NP42" s="22"/>
      <c r="NQ42" s="22"/>
      <c r="NR42" s="22"/>
      <c r="NS42" s="22"/>
      <c r="NT42" s="22"/>
      <c r="NU42" s="22"/>
      <c r="NV42" s="22"/>
      <c r="NW42" s="22"/>
      <c r="NX42" s="22"/>
      <c r="NY42" s="22"/>
      <c r="NZ42" s="22"/>
      <c r="OA42" s="22"/>
      <c r="OB42" s="22"/>
      <c r="OC42" s="22"/>
      <c r="OD42" s="22"/>
      <c r="OE42" s="22"/>
      <c r="OF42" s="22"/>
      <c r="OG42" s="22"/>
      <c r="OH42" s="22"/>
      <c r="OI42" s="22"/>
      <c r="OJ42" s="22"/>
      <c r="OK42" s="22"/>
      <c r="OL42" s="22"/>
      <c r="OM42" s="22"/>
      <c r="ON42" s="22"/>
      <c r="OO42" s="22"/>
      <c r="OP42" s="22"/>
      <c r="OQ42" s="22"/>
      <c r="OR42" s="22"/>
      <c r="OS42" s="22"/>
      <c r="OT42" s="22"/>
      <c r="OU42" s="22"/>
      <c r="OV42" s="22"/>
      <c r="OW42" s="22"/>
      <c r="OX42" s="22"/>
      <c r="OY42" s="22"/>
      <c r="OZ42" s="22"/>
      <c r="PA42" s="22"/>
      <c r="PB42" s="22"/>
      <c r="PC42" s="22"/>
      <c r="PD42" s="22"/>
      <c r="PE42" s="22"/>
      <c r="PF42" s="22"/>
      <c r="PG42" s="22"/>
      <c r="PH42" s="22"/>
      <c r="PI42" s="22"/>
      <c r="PJ42" s="22"/>
      <c r="PK42" s="22"/>
      <c r="PL42" s="22"/>
      <c r="PM42" s="22"/>
      <c r="PN42" s="22"/>
      <c r="PO42" s="22"/>
      <c r="PP42" s="22"/>
      <c r="PQ42" s="22"/>
      <c r="PR42" s="22"/>
      <c r="PS42" s="22"/>
      <c r="PT42" s="22"/>
      <c r="PU42" s="22"/>
      <c r="PV42" s="22"/>
      <c r="PW42" s="22"/>
      <c r="PX42" s="22"/>
      <c r="PY42" s="22"/>
      <c r="PZ42" s="22"/>
      <c r="QA42" s="22"/>
      <c r="QB42" s="22"/>
      <c r="QC42" s="22"/>
      <c r="QD42" s="22"/>
      <c r="QE42" s="22"/>
      <c r="QF42" s="22"/>
      <c r="QG42" s="22"/>
      <c r="QH42" s="22"/>
      <c r="QI42" s="22"/>
      <c r="QJ42" s="22"/>
      <c r="QK42" s="22"/>
      <c r="QL42" s="22"/>
      <c r="QM42" s="22"/>
      <c r="QN42" s="22"/>
      <c r="QO42" s="22"/>
      <c r="QP42" s="22"/>
      <c r="QQ42" s="22"/>
      <c r="QR42" s="22"/>
      <c r="QS42" s="22"/>
      <c r="QT42" s="22"/>
      <c r="QU42" s="22"/>
      <c r="QV42" s="22"/>
      <c r="QW42" s="22"/>
      <c r="QX42" s="22"/>
      <c r="QY42" s="22"/>
      <c r="QZ42" s="22"/>
      <c r="RA42" s="22"/>
      <c r="RB42" s="22"/>
      <c r="RC42" s="22"/>
    </row>
    <row r="43">
      <c r="A43" s="415" t="s">
        <v>53</v>
      </c>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c r="IU43" s="22"/>
      <c r="IV43" s="22"/>
      <c r="IW43" s="22"/>
      <c r="IX43" s="22"/>
      <c r="IY43" s="22"/>
      <c r="IZ43" s="22"/>
      <c r="JA43" s="22"/>
      <c r="JB43" s="22"/>
      <c r="JC43" s="22"/>
      <c r="JD43" s="22"/>
      <c r="JE43" s="22"/>
      <c r="JF43" s="22"/>
      <c r="JG43" s="22"/>
      <c r="JH43" s="22"/>
      <c r="JI43" s="22"/>
      <c r="JJ43" s="22"/>
      <c r="JK43" s="22"/>
      <c r="JL43" s="22"/>
      <c r="JM43" s="22"/>
      <c r="JN43" s="22"/>
      <c r="JO43" s="22"/>
      <c r="JP43" s="22"/>
      <c r="JQ43" s="22"/>
      <c r="JR43" s="22"/>
      <c r="JS43" s="22"/>
      <c r="JT43" s="22"/>
      <c r="JU43" s="22"/>
      <c r="JV43" s="22"/>
      <c r="JW43" s="22"/>
      <c r="JX43" s="22"/>
      <c r="JY43" s="22"/>
      <c r="JZ43" s="22"/>
      <c r="KA43" s="22"/>
      <c r="KB43" s="22"/>
      <c r="KC43" s="22"/>
      <c r="KD43" s="22"/>
      <c r="KE43" s="22"/>
      <c r="KF43" s="22"/>
      <c r="KG43" s="22"/>
      <c r="KH43" s="22"/>
      <c r="KI43" s="22"/>
      <c r="KJ43" s="22"/>
      <c r="KK43" s="22"/>
      <c r="KL43" s="22"/>
      <c r="KM43" s="22"/>
      <c r="KN43" s="22"/>
      <c r="KO43" s="22"/>
      <c r="KP43" s="22"/>
      <c r="KQ43" s="22"/>
      <c r="KR43" s="22"/>
      <c r="KS43" s="22"/>
      <c r="KT43" s="22"/>
      <c r="KU43" s="22"/>
      <c r="KV43" s="22"/>
      <c r="KW43" s="22"/>
      <c r="KX43" s="22"/>
      <c r="KY43" s="22"/>
      <c r="KZ43" s="22"/>
      <c r="LA43" s="22"/>
      <c r="LB43" s="22"/>
      <c r="LC43" s="22"/>
      <c r="LD43" s="22"/>
      <c r="LE43" s="22"/>
      <c r="LF43" s="22"/>
      <c r="LG43" s="22"/>
      <c r="LH43" s="22"/>
      <c r="LI43" s="22"/>
      <c r="LJ43" s="22"/>
      <c r="LK43" s="22"/>
      <c r="LL43" s="22"/>
      <c r="LM43" s="22"/>
      <c r="LN43" s="22"/>
      <c r="LO43" s="22"/>
      <c r="LP43" s="22"/>
      <c r="LQ43" s="22"/>
      <c r="LR43" s="22"/>
      <c r="LS43" s="22"/>
      <c r="LT43" s="22"/>
      <c r="LU43" s="22"/>
      <c r="LV43" s="22"/>
      <c r="LW43" s="22"/>
      <c r="LX43" s="22"/>
      <c r="LY43" s="22"/>
      <c r="LZ43" s="22"/>
      <c r="MA43" s="22"/>
      <c r="MB43" s="22"/>
      <c r="MC43" s="22"/>
      <c r="MD43" s="22"/>
      <c r="ME43" s="22"/>
      <c r="MF43" s="22"/>
      <c r="MG43" s="22"/>
      <c r="MH43" s="22"/>
      <c r="MI43" s="22"/>
      <c r="MJ43" s="22"/>
      <c r="MK43" s="22"/>
      <c r="ML43" s="22"/>
      <c r="MM43" s="22"/>
      <c r="MN43" s="22"/>
      <c r="MO43" s="22"/>
      <c r="MP43" s="22"/>
      <c r="MQ43" s="22"/>
      <c r="MR43" s="22"/>
      <c r="MS43" s="22"/>
      <c r="MT43" s="22"/>
      <c r="MU43" s="22"/>
      <c r="MV43" s="22"/>
      <c r="MW43" s="22"/>
      <c r="MX43" s="22"/>
      <c r="MY43" s="22"/>
      <c r="MZ43" s="22"/>
      <c r="NA43" s="22"/>
      <c r="NB43" s="22"/>
      <c r="NC43" s="22"/>
      <c r="ND43" s="22"/>
      <c r="NE43" s="22"/>
      <c r="NF43" s="22"/>
      <c r="NG43" s="22"/>
      <c r="NH43" s="22"/>
      <c r="NI43" s="22"/>
      <c r="NJ43" s="22"/>
      <c r="NK43" s="22"/>
      <c r="NL43" s="22"/>
      <c r="NM43" s="22"/>
      <c r="NN43" s="22"/>
      <c r="NO43" s="22"/>
      <c r="NP43" s="22"/>
      <c r="NQ43" s="22"/>
      <c r="NR43" s="22"/>
      <c r="NS43" s="22"/>
      <c r="NT43" s="22"/>
      <c r="NU43" s="22"/>
      <c r="NV43" s="22"/>
      <c r="NW43" s="22"/>
      <c r="NX43" s="22"/>
      <c r="NY43" s="22"/>
      <c r="NZ43" s="22"/>
      <c r="OA43" s="22"/>
      <c r="OB43" s="22"/>
      <c r="OC43" s="22"/>
      <c r="OD43" s="22"/>
      <c r="OE43" s="22"/>
      <c r="OF43" s="22"/>
      <c r="OG43" s="22"/>
      <c r="OH43" s="22"/>
      <c r="OI43" s="22"/>
      <c r="OJ43" s="22"/>
      <c r="OK43" s="22"/>
      <c r="OL43" s="22"/>
      <c r="OM43" s="22"/>
      <c r="ON43" s="22"/>
      <c r="OO43" s="22"/>
      <c r="OP43" s="22"/>
      <c r="OQ43" s="22"/>
      <c r="OR43" s="22"/>
      <c r="OS43" s="22"/>
      <c r="OT43" s="22"/>
      <c r="OU43" s="22"/>
      <c r="OV43" s="22"/>
      <c r="OW43" s="22"/>
      <c r="OX43" s="22"/>
      <c r="OY43" s="22"/>
      <c r="OZ43" s="22"/>
      <c r="PA43" s="22"/>
      <c r="PB43" s="22"/>
      <c r="PC43" s="22"/>
      <c r="PD43" s="22"/>
      <c r="PE43" s="22"/>
      <c r="PF43" s="22"/>
      <c r="PG43" s="22"/>
      <c r="PH43" s="22"/>
      <c r="PI43" s="22"/>
      <c r="PJ43" s="22"/>
      <c r="PK43" s="22"/>
      <c r="PL43" s="22"/>
      <c r="PM43" s="22"/>
      <c r="PN43" s="22"/>
      <c r="PO43" s="22"/>
      <c r="PP43" s="22"/>
      <c r="PQ43" s="22"/>
      <c r="PR43" s="22"/>
      <c r="PS43" s="22"/>
      <c r="PT43" s="22"/>
      <c r="PU43" s="22"/>
      <c r="PV43" s="22"/>
      <c r="PW43" s="22"/>
      <c r="PX43" s="22"/>
      <c r="PY43" s="22"/>
      <c r="PZ43" s="22"/>
      <c r="QA43" s="22"/>
      <c r="QB43" s="22"/>
      <c r="QC43" s="22"/>
      <c r="QD43" s="22"/>
      <c r="QE43" s="22"/>
      <c r="QF43" s="22"/>
      <c r="QG43" s="22"/>
      <c r="QH43" s="22"/>
      <c r="QI43" s="22"/>
      <c r="QJ43" s="22"/>
      <c r="QK43" s="22"/>
      <c r="QL43" s="22"/>
      <c r="QM43" s="22"/>
      <c r="QN43" s="22"/>
      <c r="QO43" s="22"/>
      <c r="QP43" s="22"/>
      <c r="QQ43" s="22"/>
      <c r="QR43" s="22"/>
      <c r="QS43" s="22"/>
      <c r="QT43" s="22"/>
      <c r="QU43" s="22"/>
      <c r="QV43" s="22"/>
      <c r="QW43" s="22"/>
      <c r="QX43" s="22"/>
      <c r="QY43" s="22"/>
      <c r="QZ43" s="22"/>
      <c r="RA43" s="22"/>
      <c r="RB43" s="22"/>
      <c r="RC43" s="22"/>
    </row>
    <row r="44">
      <c r="A44" s="415" t="s">
        <v>53</v>
      </c>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c r="IU44" s="22"/>
      <c r="IV44" s="22"/>
      <c r="IW44" s="22"/>
      <c r="IX44" s="22"/>
      <c r="IY44" s="22"/>
      <c r="IZ44" s="22"/>
      <c r="JA44" s="22"/>
      <c r="JB44" s="22"/>
      <c r="JC44" s="22"/>
      <c r="JD44" s="22"/>
      <c r="JE44" s="22"/>
      <c r="JF44" s="22"/>
      <c r="JG44" s="22"/>
      <c r="JH44" s="22"/>
      <c r="JI44" s="22"/>
      <c r="JJ44" s="22"/>
      <c r="JK44" s="22"/>
      <c r="JL44" s="22"/>
      <c r="JM44" s="22"/>
      <c r="JN44" s="22"/>
      <c r="JO44" s="22"/>
      <c r="JP44" s="22"/>
      <c r="JQ44" s="22"/>
      <c r="JR44" s="22"/>
      <c r="JS44" s="22"/>
      <c r="JT44" s="22"/>
      <c r="JU44" s="22"/>
      <c r="JV44" s="22"/>
      <c r="JW44" s="22"/>
      <c r="JX44" s="22"/>
      <c r="JY44" s="22"/>
      <c r="JZ44" s="22"/>
      <c r="KA44" s="22"/>
      <c r="KB44" s="22"/>
      <c r="KC44" s="22"/>
      <c r="KD44" s="22"/>
      <c r="KE44" s="22"/>
      <c r="KF44" s="22"/>
      <c r="KG44" s="22"/>
      <c r="KH44" s="22"/>
      <c r="KI44" s="22"/>
      <c r="KJ44" s="22"/>
      <c r="KK44" s="22"/>
      <c r="KL44" s="22"/>
      <c r="KM44" s="22"/>
      <c r="KN44" s="22"/>
      <c r="KO44" s="22"/>
      <c r="KP44" s="22"/>
      <c r="KQ44" s="22"/>
      <c r="KR44" s="22"/>
      <c r="KS44" s="22"/>
      <c r="KT44" s="22"/>
      <c r="KU44" s="22"/>
      <c r="KV44" s="22"/>
      <c r="KW44" s="22"/>
      <c r="KX44" s="22"/>
      <c r="KY44" s="22"/>
      <c r="KZ44" s="22"/>
      <c r="LA44" s="22"/>
      <c r="LB44" s="22"/>
      <c r="LC44" s="22"/>
      <c r="LD44" s="22"/>
      <c r="LE44" s="22"/>
      <c r="LF44" s="22"/>
      <c r="LG44" s="22"/>
      <c r="LH44" s="22"/>
      <c r="LI44" s="22"/>
      <c r="LJ44" s="22"/>
      <c r="LK44" s="22"/>
      <c r="LL44" s="22"/>
      <c r="LM44" s="22"/>
      <c r="LN44" s="22"/>
      <c r="LO44" s="22"/>
      <c r="LP44" s="22"/>
      <c r="LQ44" s="22"/>
      <c r="LR44" s="22"/>
      <c r="LS44" s="22"/>
      <c r="LT44" s="22"/>
      <c r="LU44" s="22"/>
      <c r="LV44" s="22"/>
      <c r="LW44" s="22"/>
      <c r="LX44" s="22"/>
      <c r="LY44" s="22"/>
      <c r="LZ44" s="22"/>
      <c r="MA44" s="22"/>
      <c r="MB44" s="22"/>
      <c r="MC44" s="22"/>
      <c r="MD44" s="22"/>
      <c r="ME44" s="22"/>
      <c r="MF44" s="22"/>
      <c r="MG44" s="22"/>
      <c r="MH44" s="22"/>
      <c r="MI44" s="22"/>
      <c r="MJ44" s="22"/>
      <c r="MK44" s="22"/>
      <c r="ML44" s="22"/>
      <c r="MM44" s="22"/>
      <c r="MN44" s="22"/>
      <c r="MO44" s="22"/>
      <c r="MP44" s="22"/>
      <c r="MQ44" s="22"/>
      <c r="MR44" s="22"/>
      <c r="MS44" s="22"/>
      <c r="MT44" s="22"/>
      <c r="MU44" s="22"/>
      <c r="MV44" s="22"/>
      <c r="MW44" s="22"/>
      <c r="MX44" s="22"/>
      <c r="MY44" s="22"/>
      <c r="MZ44" s="22"/>
      <c r="NA44" s="22"/>
      <c r="NB44" s="22"/>
      <c r="NC44" s="22"/>
      <c r="ND44" s="22"/>
      <c r="NE44" s="22"/>
      <c r="NF44" s="22"/>
      <c r="NG44" s="22"/>
      <c r="NH44" s="22"/>
      <c r="NI44" s="22"/>
      <c r="NJ44" s="22"/>
      <c r="NK44" s="22"/>
      <c r="NL44" s="22"/>
      <c r="NM44" s="22"/>
      <c r="NN44" s="22"/>
      <c r="NO44" s="22"/>
      <c r="NP44" s="22"/>
      <c r="NQ44" s="22"/>
      <c r="NR44" s="22"/>
      <c r="NS44" s="22"/>
      <c r="NT44" s="22"/>
      <c r="NU44" s="22"/>
      <c r="NV44" s="22"/>
      <c r="NW44" s="22"/>
      <c r="NX44" s="22"/>
      <c r="NY44" s="22"/>
      <c r="NZ44" s="22"/>
      <c r="OA44" s="22"/>
      <c r="OB44" s="22"/>
      <c r="OC44" s="22"/>
      <c r="OD44" s="22"/>
      <c r="OE44" s="22"/>
      <c r="OF44" s="22"/>
      <c r="OG44" s="22"/>
      <c r="OH44" s="22"/>
      <c r="OI44" s="22"/>
      <c r="OJ44" s="22"/>
      <c r="OK44" s="22"/>
      <c r="OL44" s="22"/>
      <c r="OM44" s="22"/>
      <c r="ON44" s="22"/>
      <c r="OO44" s="22"/>
      <c r="OP44" s="22"/>
      <c r="OQ44" s="22"/>
      <c r="OR44" s="22"/>
      <c r="OS44" s="22"/>
      <c r="OT44" s="22"/>
      <c r="OU44" s="22"/>
      <c r="OV44" s="22"/>
      <c r="OW44" s="22"/>
      <c r="OX44" s="22"/>
      <c r="OY44" s="22"/>
      <c r="OZ44" s="22"/>
      <c r="PA44" s="22"/>
      <c r="PB44" s="22"/>
      <c r="PC44" s="22"/>
      <c r="PD44" s="22"/>
      <c r="PE44" s="22"/>
      <c r="PF44" s="22"/>
      <c r="PG44" s="22"/>
      <c r="PH44" s="22"/>
      <c r="PI44" s="22"/>
      <c r="PJ44" s="22"/>
      <c r="PK44" s="22"/>
      <c r="PL44" s="22"/>
      <c r="PM44" s="22"/>
      <c r="PN44" s="22"/>
      <c r="PO44" s="22"/>
      <c r="PP44" s="22"/>
      <c r="PQ44" s="22"/>
      <c r="PR44" s="22"/>
      <c r="PS44" s="22"/>
      <c r="PT44" s="22"/>
      <c r="PU44" s="22"/>
      <c r="PV44" s="22"/>
      <c r="PW44" s="22"/>
      <c r="PX44" s="22"/>
      <c r="PY44" s="22"/>
      <c r="PZ44" s="22"/>
      <c r="QA44" s="22"/>
      <c r="QB44" s="22"/>
      <c r="QC44" s="22"/>
      <c r="QD44" s="22"/>
      <c r="QE44" s="22"/>
      <c r="QF44" s="22"/>
      <c r="QG44" s="22"/>
      <c r="QH44" s="22"/>
      <c r="QI44" s="22"/>
      <c r="QJ44" s="22"/>
      <c r="QK44" s="22"/>
      <c r="QL44" s="22"/>
      <c r="QM44" s="22"/>
      <c r="QN44" s="22"/>
      <c r="QO44" s="22"/>
      <c r="QP44" s="22"/>
      <c r="QQ44" s="22"/>
      <c r="QR44" s="22"/>
      <c r="QS44" s="22"/>
      <c r="QT44" s="22"/>
      <c r="QU44" s="22"/>
      <c r="QV44" s="22"/>
      <c r="QW44" s="22"/>
      <c r="QX44" s="22"/>
      <c r="QY44" s="22"/>
      <c r="QZ44" s="22"/>
      <c r="RA44" s="22"/>
      <c r="RB44" s="22"/>
      <c r="RC44" s="22"/>
    </row>
    <row r="45">
      <c r="A45" s="415" t="s">
        <v>53</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c r="IU45" s="22"/>
      <c r="IV45" s="22"/>
      <c r="IW45" s="22"/>
      <c r="IX45" s="22"/>
      <c r="IY45" s="22"/>
      <c r="IZ45" s="22"/>
      <c r="JA45" s="22"/>
      <c r="JB45" s="22"/>
      <c r="JC45" s="22"/>
      <c r="JD45" s="22"/>
      <c r="JE45" s="22"/>
      <c r="JF45" s="22"/>
      <c r="JG45" s="22"/>
      <c r="JH45" s="22"/>
      <c r="JI45" s="22"/>
      <c r="JJ45" s="22"/>
      <c r="JK45" s="22"/>
      <c r="JL45" s="22"/>
      <c r="JM45" s="22"/>
      <c r="JN45" s="22"/>
      <c r="JO45" s="22"/>
      <c r="JP45" s="22"/>
      <c r="JQ45" s="22"/>
      <c r="JR45" s="22"/>
      <c r="JS45" s="22"/>
      <c r="JT45" s="22"/>
      <c r="JU45" s="22"/>
      <c r="JV45" s="22"/>
      <c r="JW45" s="22"/>
      <c r="JX45" s="22"/>
      <c r="JY45" s="22"/>
      <c r="JZ45" s="22"/>
      <c r="KA45" s="22"/>
      <c r="KB45" s="22"/>
      <c r="KC45" s="22"/>
      <c r="KD45" s="22"/>
      <c r="KE45" s="22"/>
      <c r="KF45" s="22"/>
      <c r="KG45" s="22"/>
      <c r="KH45" s="22"/>
      <c r="KI45" s="22"/>
      <c r="KJ45" s="22"/>
      <c r="KK45" s="22"/>
      <c r="KL45" s="22"/>
      <c r="KM45" s="22"/>
      <c r="KN45" s="22"/>
      <c r="KO45" s="22"/>
      <c r="KP45" s="22"/>
      <c r="KQ45" s="22"/>
      <c r="KR45" s="22"/>
      <c r="KS45" s="22"/>
      <c r="KT45" s="22"/>
      <c r="KU45" s="22"/>
      <c r="KV45" s="22"/>
      <c r="KW45" s="22"/>
      <c r="KX45" s="22"/>
      <c r="KY45" s="22"/>
      <c r="KZ45" s="22"/>
      <c r="LA45" s="22"/>
      <c r="LB45" s="22"/>
      <c r="LC45" s="22"/>
      <c r="LD45" s="22"/>
      <c r="LE45" s="22"/>
      <c r="LF45" s="22"/>
      <c r="LG45" s="22"/>
      <c r="LH45" s="22"/>
      <c r="LI45" s="22"/>
      <c r="LJ45" s="22"/>
      <c r="LK45" s="22"/>
      <c r="LL45" s="22"/>
      <c r="LM45" s="22"/>
      <c r="LN45" s="22"/>
      <c r="LO45" s="22"/>
      <c r="LP45" s="22"/>
      <c r="LQ45" s="22"/>
      <c r="LR45" s="22"/>
      <c r="LS45" s="22"/>
      <c r="LT45" s="22"/>
      <c r="LU45" s="22"/>
      <c r="LV45" s="22"/>
      <c r="LW45" s="22"/>
      <c r="LX45" s="22"/>
      <c r="LY45" s="22"/>
      <c r="LZ45" s="22"/>
      <c r="MA45" s="22"/>
      <c r="MB45" s="22"/>
      <c r="MC45" s="22"/>
      <c r="MD45" s="22"/>
      <c r="ME45" s="22"/>
      <c r="MF45" s="22"/>
      <c r="MG45" s="22"/>
      <c r="MH45" s="22"/>
      <c r="MI45" s="22"/>
      <c r="MJ45" s="22"/>
      <c r="MK45" s="22"/>
      <c r="ML45" s="22"/>
      <c r="MM45" s="22"/>
      <c r="MN45" s="22"/>
      <c r="MO45" s="22"/>
      <c r="MP45" s="22"/>
      <c r="MQ45" s="22"/>
      <c r="MR45" s="22"/>
      <c r="MS45" s="22"/>
      <c r="MT45" s="22"/>
      <c r="MU45" s="22"/>
      <c r="MV45" s="22"/>
      <c r="MW45" s="22"/>
      <c r="MX45" s="22"/>
      <c r="MY45" s="22"/>
      <c r="MZ45" s="22"/>
      <c r="NA45" s="22"/>
      <c r="NB45" s="22"/>
      <c r="NC45" s="22"/>
      <c r="ND45" s="22"/>
      <c r="NE45" s="22"/>
      <c r="NF45" s="22"/>
      <c r="NG45" s="22"/>
      <c r="NH45" s="22"/>
      <c r="NI45" s="22"/>
      <c r="NJ45" s="22"/>
      <c r="NK45" s="22"/>
      <c r="NL45" s="22"/>
      <c r="NM45" s="22"/>
      <c r="NN45" s="22"/>
      <c r="NO45" s="22"/>
      <c r="NP45" s="22"/>
      <c r="NQ45" s="22"/>
      <c r="NR45" s="22"/>
      <c r="NS45" s="22"/>
      <c r="NT45" s="22"/>
      <c r="NU45" s="22"/>
      <c r="NV45" s="22"/>
      <c r="NW45" s="22"/>
      <c r="NX45" s="22"/>
      <c r="NY45" s="22"/>
      <c r="NZ45" s="22"/>
      <c r="OA45" s="22"/>
      <c r="OB45" s="22"/>
      <c r="OC45" s="22"/>
      <c r="OD45" s="22"/>
      <c r="OE45" s="22"/>
      <c r="OF45" s="22"/>
      <c r="OG45" s="22"/>
      <c r="OH45" s="22"/>
      <c r="OI45" s="22"/>
      <c r="OJ45" s="22"/>
      <c r="OK45" s="22"/>
      <c r="OL45" s="22"/>
      <c r="OM45" s="22"/>
      <c r="ON45" s="22"/>
      <c r="OO45" s="22"/>
      <c r="OP45" s="22"/>
      <c r="OQ45" s="22"/>
      <c r="OR45" s="22"/>
      <c r="OS45" s="22"/>
      <c r="OT45" s="22"/>
      <c r="OU45" s="22"/>
      <c r="OV45" s="22"/>
      <c r="OW45" s="22"/>
      <c r="OX45" s="22"/>
      <c r="OY45" s="22"/>
      <c r="OZ45" s="22"/>
      <c r="PA45" s="22"/>
      <c r="PB45" s="22"/>
      <c r="PC45" s="22"/>
      <c r="PD45" s="22"/>
      <c r="PE45" s="22"/>
      <c r="PF45" s="22"/>
      <c r="PG45" s="22"/>
      <c r="PH45" s="22"/>
      <c r="PI45" s="22"/>
      <c r="PJ45" s="22"/>
      <c r="PK45" s="22"/>
      <c r="PL45" s="22"/>
      <c r="PM45" s="22"/>
      <c r="PN45" s="22"/>
      <c r="PO45" s="22"/>
      <c r="PP45" s="22"/>
      <c r="PQ45" s="22"/>
      <c r="PR45" s="22"/>
      <c r="PS45" s="22"/>
      <c r="PT45" s="22"/>
      <c r="PU45" s="22"/>
      <c r="PV45" s="22"/>
      <c r="PW45" s="22"/>
      <c r="PX45" s="22"/>
      <c r="PY45" s="22"/>
      <c r="PZ45" s="22"/>
      <c r="QA45" s="22"/>
      <c r="QB45" s="22"/>
      <c r="QC45" s="22"/>
      <c r="QD45" s="22"/>
      <c r="QE45" s="22"/>
      <c r="QF45" s="22"/>
      <c r="QG45" s="22"/>
      <c r="QH45" s="22"/>
      <c r="QI45" s="22"/>
      <c r="QJ45" s="22"/>
      <c r="QK45" s="22"/>
      <c r="QL45" s="22"/>
      <c r="QM45" s="22"/>
      <c r="QN45" s="22"/>
      <c r="QO45" s="22"/>
      <c r="QP45" s="22"/>
      <c r="QQ45" s="22"/>
      <c r="QR45" s="22"/>
      <c r="QS45" s="22"/>
      <c r="QT45" s="22"/>
      <c r="QU45" s="22"/>
      <c r="QV45" s="22"/>
      <c r="QW45" s="22"/>
      <c r="QX45" s="22"/>
      <c r="QY45" s="22"/>
      <c r="QZ45" s="22"/>
      <c r="RA45" s="22"/>
      <c r="RB45" s="22"/>
      <c r="RC45" s="22"/>
    </row>
    <row r="46">
      <c r="A46" s="415" t="s">
        <v>53</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c r="IU46" s="22"/>
      <c r="IV46" s="22"/>
      <c r="IW46" s="22"/>
      <c r="IX46" s="22"/>
      <c r="IY46" s="22"/>
      <c r="IZ46" s="22"/>
      <c r="JA46" s="22"/>
      <c r="JB46" s="22"/>
      <c r="JC46" s="22"/>
      <c r="JD46" s="22"/>
      <c r="JE46" s="22"/>
      <c r="JF46" s="22"/>
      <c r="JG46" s="22"/>
      <c r="JH46" s="22"/>
      <c r="JI46" s="22"/>
      <c r="JJ46" s="22"/>
      <c r="JK46" s="22"/>
      <c r="JL46" s="22"/>
      <c r="JM46" s="22"/>
      <c r="JN46" s="22"/>
      <c r="JO46" s="22"/>
      <c r="JP46" s="22"/>
      <c r="JQ46" s="22"/>
      <c r="JR46" s="22"/>
      <c r="JS46" s="22"/>
      <c r="JT46" s="22"/>
      <c r="JU46" s="22"/>
      <c r="JV46" s="22"/>
      <c r="JW46" s="22"/>
      <c r="JX46" s="22"/>
      <c r="JY46" s="22"/>
      <c r="JZ46" s="22"/>
      <c r="KA46" s="22"/>
      <c r="KB46" s="22"/>
      <c r="KC46" s="22"/>
      <c r="KD46" s="22"/>
      <c r="KE46" s="22"/>
      <c r="KF46" s="22"/>
      <c r="KG46" s="22"/>
      <c r="KH46" s="22"/>
      <c r="KI46" s="22"/>
      <c r="KJ46" s="22"/>
      <c r="KK46" s="22"/>
      <c r="KL46" s="22"/>
      <c r="KM46" s="22"/>
      <c r="KN46" s="22"/>
      <c r="KO46" s="22"/>
      <c r="KP46" s="22"/>
      <c r="KQ46" s="22"/>
      <c r="KR46" s="22"/>
      <c r="KS46" s="22"/>
      <c r="KT46" s="22"/>
      <c r="KU46" s="22"/>
      <c r="KV46" s="22"/>
      <c r="KW46" s="22"/>
      <c r="KX46" s="22"/>
      <c r="KY46" s="22"/>
      <c r="KZ46" s="22"/>
      <c r="LA46" s="22"/>
      <c r="LB46" s="22"/>
      <c r="LC46" s="22"/>
      <c r="LD46" s="22"/>
      <c r="LE46" s="22"/>
      <c r="LF46" s="22"/>
      <c r="LG46" s="22"/>
      <c r="LH46" s="22"/>
      <c r="LI46" s="22"/>
      <c r="LJ46" s="22"/>
      <c r="LK46" s="22"/>
      <c r="LL46" s="22"/>
      <c r="LM46" s="22"/>
      <c r="LN46" s="22"/>
      <c r="LO46" s="22"/>
      <c r="LP46" s="22"/>
      <c r="LQ46" s="22"/>
      <c r="LR46" s="22"/>
      <c r="LS46" s="22"/>
      <c r="LT46" s="22"/>
      <c r="LU46" s="22"/>
      <c r="LV46" s="22"/>
      <c r="LW46" s="22"/>
      <c r="LX46" s="22"/>
      <c r="LY46" s="22"/>
      <c r="LZ46" s="22"/>
      <c r="MA46" s="22"/>
      <c r="MB46" s="22"/>
      <c r="MC46" s="22"/>
      <c r="MD46" s="22"/>
      <c r="ME46" s="22"/>
      <c r="MF46" s="22"/>
      <c r="MG46" s="22"/>
      <c r="MH46" s="22"/>
      <c r="MI46" s="22"/>
      <c r="MJ46" s="22"/>
      <c r="MK46" s="22"/>
      <c r="ML46" s="22"/>
      <c r="MM46" s="22"/>
      <c r="MN46" s="22"/>
      <c r="MO46" s="22"/>
      <c r="MP46" s="22"/>
      <c r="MQ46" s="22"/>
      <c r="MR46" s="22"/>
      <c r="MS46" s="22"/>
      <c r="MT46" s="22"/>
      <c r="MU46" s="22"/>
      <c r="MV46" s="22"/>
      <c r="MW46" s="22"/>
      <c r="MX46" s="22"/>
      <c r="MY46" s="22"/>
      <c r="MZ46" s="22"/>
      <c r="NA46" s="22"/>
      <c r="NB46" s="22"/>
      <c r="NC46" s="22"/>
      <c r="ND46" s="22"/>
      <c r="NE46" s="22"/>
      <c r="NF46" s="22"/>
      <c r="NG46" s="22"/>
      <c r="NH46" s="22"/>
      <c r="NI46" s="22"/>
      <c r="NJ46" s="22"/>
      <c r="NK46" s="22"/>
      <c r="NL46" s="22"/>
      <c r="NM46" s="22"/>
      <c r="NN46" s="22"/>
      <c r="NO46" s="22"/>
      <c r="NP46" s="22"/>
      <c r="NQ46" s="22"/>
      <c r="NR46" s="22"/>
      <c r="NS46" s="22"/>
      <c r="NT46" s="22"/>
      <c r="NU46" s="22"/>
      <c r="NV46" s="22"/>
      <c r="NW46" s="22"/>
      <c r="NX46" s="22"/>
      <c r="NY46" s="22"/>
      <c r="NZ46" s="22"/>
      <c r="OA46" s="22"/>
      <c r="OB46" s="22"/>
      <c r="OC46" s="22"/>
      <c r="OD46" s="22"/>
      <c r="OE46" s="22"/>
      <c r="OF46" s="22"/>
      <c r="OG46" s="22"/>
      <c r="OH46" s="22"/>
      <c r="OI46" s="22"/>
      <c r="OJ46" s="22"/>
      <c r="OK46" s="22"/>
      <c r="OL46" s="22"/>
      <c r="OM46" s="22"/>
      <c r="ON46" s="22"/>
      <c r="OO46" s="22"/>
      <c r="OP46" s="22"/>
      <c r="OQ46" s="22"/>
      <c r="OR46" s="22"/>
      <c r="OS46" s="22"/>
      <c r="OT46" s="22"/>
      <c r="OU46" s="22"/>
      <c r="OV46" s="22"/>
      <c r="OW46" s="22"/>
      <c r="OX46" s="22"/>
      <c r="OY46" s="22"/>
      <c r="OZ46" s="22"/>
      <c r="PA46" s="22"/>
      <c r="PB46" s="22"/>
      <c r="PC46" s="22"/>
      <c r="PD46" s="22"/>
      <c r="PE46" s="22"/>
      <c r="PF46" s="22"/>
      <c r="PG46" s="22"/>
      <c r="PH46" s="22"/>
      <c r="PI46" s="22"/>
      <c r="PJ46" s="22"/>
      <c r="PK46" s="22"/>
      <c r="PL46" s="22"/>
      <c r="PM46" s="22"/>
      <c r="PN46" s="22"/>
      <c r="PO46" s="22"/>
      <c r="PP46" s="22"/>
      <c r="PQ46" s="22"/>
      <c r="PR46" s="22"/>
      <c r="PS46" s="22"/>
      <c r="PT46" s="22"/>
      <c r="PU46" s="22"/>
      <c r="PV46" s="22"/>
      <c r="PW46" s="22"/>
      <c r="PX46" s="22"/>
      <c r="PY46" s="22"/>
      <c r="PZ46" s="22"/>
      <c r="QA46" s="22"/>
      <c r="QB46" s="22"/>
      <c r="QC46" s="22"/>
      <c r="QD46" s="22"/>
      <c r="QE46" s="22"/>
      <c r="QF46" s="22"/>
      <c r="QG46" s="22"/>
      <c r="QH46" s="22"/>
      <c r="QI46" s="22"/>
      <c r="QJ46" s="22"/>
      <c r="QK46" s="22"/>
      <c r="QL46" s="22"/>
      <c r="QM46" s="22"/>
      <c r="QN46" s="22"/>
      <c r="QO46" s="22"/>
      <c r="QP46" s="22"/>
      <c r="QQ46" s="22"/>
      <c r="QR46" s="22"/>
      <c r="QS46" s="22"/>
      <c r="QT46" s="22"/>
      <c r="QU46" s="22"/>
      <c r="QV46" s="22"/>
      <c r="QW46" s="22"/>
      <c r="QX46" s="22"/>
      <c r="QY46" s="22"/>
      <c r="QZ46" s="22"/>
      <c r="RA46" s="22"/>
      <c r="RB46" s="22"/>
      <c r="RC46" s="22"/>
    </row>
    <row r="47">
      <c r="A47" s="415" t="s">
        <v>53</v>
      </c>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c r="IU47" s="22"/>
      <c r="IV47" s="22"/>
      <c r="IW47" s="22"/>
      <c r="IX47" s="22"/>
      <c r="IY47" s="22"/>
      <c r="IZ47" s="22"/>
      <c r="JA47" s="22"/>
      <c r="JB47" s="22"/>
      <c r="JC47" s="22"/>
      <c r="JD47" s="22"/>
      <c r="JE47" s="22"/>
      <c r="JF47" s="22"/>
      <c r="JG47" s="22"/>
      <c r="JH47" s="22"/>
      <c r="JI47" s="22"/>
      <c r="JJ47" s="22"/>
      <c r="JK47" s="22"/>
      <c r="JL47" s="22"/>
      <c r="JM47" s="22"/>
      <c r="JN47" s="22"/>
      <c r="JO47" s="22"/>
      <c r="JP47" s="22"/>
      <c r="JQ47" s="22"/>
      <c r="JR47" s="22"/>
      <c r="JS47" s="22"/>
      <c r="JT47" s="22"/>
      <c r="JU47" s="22"/>
      <c r="JV47" s="22"/>
      <c r="JW47" s="22"/>
      <c r="JX47" s="22"/>
      <c r="JY47" s="22"/>
      <c r="JZ47" s="22"/>
      <c r="KA47" s="22"/>
      <c r="KB47" s="22"/>
      <c r="KC47" s="22"/>
      <c r="KD47" s="22"/>
      <c r="KE47" s="22"/>
      <c r="KF47" s="22"/>
      <c r="KG47" s="22"/>
      <c r="KH47" s="22"/>
      <c r="KI47" s="22"/>
      <c r="KJ47" s="22"/>
      <c r="KK47" s="22"/>
      <c r="KL47" s="22"/>
      <c r="KM47" s="22"/>
      <c r="KN47" s="22"/>
      <c r="KO47" s="22"/>
      <c r="KP47" s="22"/>
      <c r="KQ47" s="22"/>
      <c r="KR47" s="22"/>
      <c r="KS47" s="22"/>
      <c r="KT47" s="22"/>
      <c r="KU47" s="22"/>
      <c r="KV47" s="22"/>
      <c r="KW47" s="22"/>
      <c r="KX47" s="22"/>
      <c r="KY47" s="22"/>
      <c r="KZ47" s="22"/>
      <c r="LA47" s="22"/>
      <c r="LB47" s="22"/>
      <c r="LC47" s="22"/>
      <c r="LD47" s="22"/>
      <c r="LE47" s="22"/>
      <c r="LF47" s="22"/>
      <c r="LG47" s="22"/>
      <c r="LH47" s="22"/>
      <c r="LI47" s="22"/>
      <c r="LJ47" s="22"/>
      <c r="LK47" s="22"/>
      <c r="LL47" s="22"/>
      <c r="LM47" s="22"/>
      <c r="LN47" s="22"/>
      <c r="LO47" s="22"/>
      <c r="LP47" s="22"/>
      <c r="LQ47" s="22"/>
      <c r="LR47" s="22"/>
      <c r="LS47" s="22"/>
      <c r="LT47" s="22"/>
      <c r="LU47" s="22"/>
      <c r="LV47" s="22"/>
      <c r="LW47" s="22"/>
      <c r="LX47" s="22"/>
      <c r="LY47" s="22"/>
      <c r="LZ47" s="22"/>
      <c r="MA47" s="22"/>
      <c r="MB47" s="22"/>
      <c r="MC47" s="22"/>
      <c r="MD47" s="22"/>
      <c r="ME47" s="22"/>
      <c r="MF47" s="22"/>
      <c r="MG47" s="22"/>
      <c r="MH47" s="22"/>
      <c r="MI47" s="22"/>
      <c r="MJ47" s="22"/>
      <c r="MK47" s="22"/>
      <c r="ML47" s="22"/>
      <c r="MM47" s="22"/>
      <c r="MN47" s="22"/>
      <c r="MO47" s="22"/>
      <c r="MP47" s="22"/>
      <c r="MQ47" s="22"/>
      <c r="MR47" s="22"/>
      <c r="MS47" s="22"/>
      <c r="MT47" s="22"/>
      <c r="MU47" s="22"/>
      <c r="MV47" s="22"/>
      <c r="MW47" s="22"/>
      <c r="MX47" s="22"/>
      <c r="MY47" s="22"/>
      <c r="MZ47" s="22"/>
      <c r="NA47" s="22"/>
      <c r="NB47" s="22"/>
      <c r="NC47" s="22"/>
      <c r="ND47" s="22"/>
      <c r="NE47" s="22"/>
      <c r="NF47" s="22"/>
      <c r="NG47" s="22"/>
      <c r="NH47" s="22"/>
      <c r="NI47" s="22"/>
      <c r="NJ47" s="22"/>
      <c r="NK47" s="22"/>
      <c r="NL47" s="22"/>
      <c r="NM47" s="22"/>
      <c r="NN47" s="22"/>
      <c r="NO47" s="22"/>
      <c r="NP47" s="22"/>
      <c r="NQ47" s="22"/>
      <c r="NR47" s="22"/>
      <c r="NS47" s="22"/>
      <c r="NT47" s="22"/>
      <c r="NU47" s="22"/>
      <c r="NV47" s="22"/>
      <c r="NW47" s="22"/>
      <c r="NX47" s="22"/>
      <c r="NY47" s="22"/>
      <c r="NZ47" s="22"/>
      <c r="OA47" s="22"/>
      <c r="OB47" s="22"/>
      <c r="OC47" s="22"/>
      <c r="OD47" s="22"/>
      <c r="OE47" s="22"/>
      <c r="OF47" s="22"/>
      <c r="OG47" s="22"/>
      <c r="OH47" s="22"/>
      <c r="OI47" s="22"/>
      <c r="OJ47" s="22"/>
      <c r="OK47" s="22"/>
      <c r="OL47" s="22"/>
      <c r="OM47" s="22"/>
      <c r="ON47" s="22"/>
      <c r="OO47" s="22"/>
      <c r="OP47" s="22"/>
      <c r="OQ47" s="22"/>
      <c r="OR47" s="22"/>
      <c r="OS47" s="22"/>
      <c r="OT47" s="22"/>
      <c r="OU47" s="22"/>
      <c r="OV47" s="22"/>
      <c r="OW47" s="22"/>
      <c r="OX47" s="22"/>
      <c r="OY47" s="22"/>
      <c r="OZ47" s="22"/>
      <c r="PA47" s="22"/>
      <c r="PB47" s="22"/>
      <c r="PC47" s="22"/>
      <c r="PD47" s="22"/>
      <c r="PE47" s="22"/>
      <c r="PF47" s="22"/>
      <c r="PG47" s="22"/>
      <c r="PH47" s="22"/>
      <c r="PI47" s="22"/>
      <c r="PJ47" s="22"/>
      <c r="PK47" s="22"/>
      <c r="PL47" s="22"/>
      <c r="PM47" s="22"/>
      <c r="PN47" s="22"/>
      <c r="PO47" s="22"/>
      <c r="PP47" s="22"/>
      <c r="PQ47" s="22"/>
      <c r="PR47" s="22"/>
      <c r="PS47" s="22"/>
      <c r="PT47" s="22"/>
      <c r="PU47" s="22"/>
      <c r="PV47" s="22"/>
      <c r="PW47" s="22"/>
      <c r="PX47" s="22"/>
      <c r="PY47" s="22"/>
      <c r="PZ47" s="22"/>
      <c r="QA47" s="22"/>
      <c r="QB47" s="22"/>
      <c r="QC47" s="22"/>
      <c r="QD47" s="22"/>
      <c r="QE47" s="22"/>
      <c r="QF47" s="22"/>
      <c r="QG47" s="22"/>
      <c r="QH47" s="22"/>
      <c r="QI47" s="22"/>
      <c r="QJ47" s="22"/>
      <c r="QK47" s="22"/>
      <c r="QL47" s="22"/>
      <c r="QM47" s="22"/>
      <c r="QN47" s="22"/>
      <c r="QO47" s="22"/>
      <c r="QP47" s="22"/>
      <c r="QQ47" s="22"/>
      <c r="QR47" s="22"/>
      <c r="QS47" s="22"/>
      <c r="QT47" s="22"/>
      <c r="QU47" s="22"/>
      <c r="QV47" s="22"/>
      <c r="QW47" s="22"/>
      <c r="QX47" s="22"/>
      <c r="QY47" s="22"/>
      <c r="QZ47" s="22"/>
      <c r="RA47" s="22"/>
      <c r="RB47" s="22"/>
      <c r="RC47" s="22"/>
    </row>
    <row r="48">
      <c r="A48" s="415" t="s">
        <v>53</v>
      </c>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c r="IU48" s="22"/>
      <c r="IV48" s="22"/>
      <c r="IW48" s="22"/>
      <c r="IX48" s="22"/>
      <c r="IY48" s="22"/>
      <c r="IZ48" s="22"/>
      <c r="JA48" s="22"/>
      <c r="JB48" s="22"/>
      <c r="JC48" s="22"/>
      <c r="JD48" s="22"/>
      <c r="JE48" s="22"/>
      <c r="JF48" s="22"/>
      <c r="JG48" s="22"/>
      <c r="JH48" s="22"/>
      <c r="JI48" s="22"/>
      <c r="JJ48" s="22"/>
      <c r="JK48" s="22"/>
      <c r="JL48" s="22"/>
      <c r="JM48" s="22"/>
      <c r="JN48" s="22"/>
      <c r="JO48" s="22"/>
      <c r="JP48" s="22"/>
      <c r="JQ48" s="22"/>
      <c r="JR48" s="22"/>
      <c r="JS48" s="22"/>
      <c r="JT48" s="22"/>
      <c r="JU48" s="22"/>
      <c r="JV48" s="22"/>
      <c r="JW48" s="22"/>
      <c r="JX48" s="22"/>
      <c r="JY48" s="22"/>
      <c r="JZ48" s="22"/>
      <c r="KA48" s="22"/>
      <c r="KB48" s="22"/>
      <c r="KC48" s="22"/>
      <c r="KD48" s="22"/>
      <c r="KE48" s="22"/>
      <c r="KF48" s="22"/>
      <c r="KG48" s="22"/>
      <c r="KH48" s="22"/>
      <c r="KI48" s="22"/>
      <c r="KJ48" s="22"/>
      <c r="KK48" s="22"/>
      <c r="KL48" s="22"/>
      <c r="KM48" s="22"/>
      <c r="KN48" s="22"/>
      <c r="KO48" s="22"/>
      <c r="KP48" s="22"/>
      <c r="KQ48" s="22"/>
      <c r="KR48" s="22"/>
      <c r="KS48" s="22"/>
      <c r="KT48" s="22"/>
      <c r="KU48" s="22"/>
      <c r="KV48" s="22"/>
      <c r="KW48" s="22"/>
      <c r="KX48" s="22"/>
      <c r="KY48" s="22"/>
      <c r="KZ48" s="22"/>
      <c r="LA48" s="22"/>
      <c r="LB48" s="22"/>
      <c r="LC48" s="22"/>
      <c r="LD48" s="22"/>
      <c r="LE48" s="22"/>
      <c r="LF48" s="22"/>
      <c r="LG48" s="22"/>
      <c r="LH48" s="22"/>
      <c r="LI48" s="22"/>
      <c r="LJ48" s="22"/>
      <c r="LK48" s="22"/>
      <c r="LL48" s="22"/>
      <c r="LM48" s="22"/>
      <c r="LN48" s="22"/>
      <c r="LO48" s="22"/>
      <c r="LP48" s="22"/>
      <c r="LQ48" s="22"/>
      <c r="LR48" s="22"/>
      <c r="LS48" s="22"/>
      <c r="LT48" s="22"/>
      <c r="LU48" s="22"/>
      <c r="LV48" s="22"/>
      <c r="LW48" s="22"/>
      <c r="LX48" s="22"/>
      <c r="LY48" s="22"/>
      <c r="LZ48" s="22"/>
      <c r="MA48" s="22"/>
      <c r="MB48" s="22"/>
      <c r="MC48" s="22"/>
      <c r="MD48" s="22"/>
      <c r="ME48" s="22"/>
      <c r="MF48" s="22"/>
      <c r="MG48" s="22"/>
      <c r="MH48" s="22"/>
      <c r="MI48" s="22"/>
      <c r="MJ48" s="22"/>
      <c r="MK48" s="22"/>
      <c r="ML48" s="22"/>
      <c r="MM48" s="22"/>
      <c r="MN48" s="22"/>
      <c r="MO48" s="22"/>
      <c r="MP48" s="22"/>
      <c r="MQ48" s="22"/>
      <c r="MR48" s="22"/>
      <c r="MS48" s="22"/>
      <c r="MT48" s="22"/>
      <c r="MU48" s="22"/>
      <c r="MV48" s="22"/>
      <c r="MW48" s="22"/>
      <c r="MX48" s="22"/>
      <c r="MY48" s="22"/>
      <c r="MZ48" s="22"/>
      <c r="NA48" s="22"/>
      <c r="NB48" s="22"/>
      <c r="NC48" s="22"/>
      <c r="ND48" s="22"/>
      <c r="NE48" s="22"/>
      <c r="NF48" s="22"/>
      <c r="NG48" s="22"/>
      <c r="NH48" s="22"/>
      <c r="NI48" s="22"/>
      <c r="NJ48" s="22"/>
      <c r="NK48" s="22"/>
      <c r="NL48" s="22"/>
      <c r="NM48" s="22"/>
      <c r="NN48" s="22"/>
      <c r="NO48" s="22"/>
      <c r="NP48" s="22"/>
      <c r="NQ48" s="22"/>
      <c r="NR48" s="22"/>
      <c r="NS48" s="22"/>
      <c r="NT48" s="22"/>
      <c r="NU48" s="22"/>
      <c r="NV48" s="22"/>
      <c r="NW48" s="22"/>
      <c r="NX48" s="22"/>
      <c r="NY48" s="22"/>
      <c r="NZ48" s="22"/>
      <c r="OA48" s="22"/>
      <c r="OB48" s="22"/>
      <c r="OC48" s="22"/>
      <c r="OD48" s="22"/>
      <c r="OE48" s="22"/>
      <c r="OF48" s="22"/>
      <c r="OG48" s="22"/>
      <c r="OH48" s="22"/>
      <c r="OI48" s="22"/>
      <c r="OJ48" s="22"/>
      <c r="OK48" s="22"/>
      <c r="OL48" s="22"/>
      <c r="OM48" s="22"/>
      <c r="ON48" s="22"/>
      <c r="OO48" s="22"/>
      <c r="OP48" s="22"/>
      <c r="OQ48" s="22"/>
      <c r="OR48" s="22"/>
      <c r="OS48" s="22"/>
      <c r="OT48" s="22"/>
      <c r="OU48" s="22"/>
      <c r="OV48" s="22"/>
      <c r="OW48" s="22"/>
      <c r="OX48" s="22"/>
      <c r="OY48" s="22"/>
      <c r="OZ48" s="22"/>
      <c r="PA48" s="22"/>
      <c r="PB48" s="22"/>
      <c r="PC48" s="22"/>
      <c r="PD48" s="22"/>
      <c r="PE48" s="22"/>
      <c r="PF48" s="22"/>
      <c r="PG48" s="22"/>
      <c r="PH48" s="22"/>
      <c r="PI48" s="22"/>
      <c r="PJ48" s="22"/>
      <c r="PK48" s="22"/>
      <c r="PL48" s="22"/>
      <c r="PM48" s="22"/>
      <c r="PN48" s="22"/>
      <c r="PO48" s="22"/>
      <c r="PP48" s="22"/>
      <c r="PQ48" s="22"/>
      <c r="PR48" s="22"/>
      <c r="PS48" s="22"/>
      <c r="PT48" s="22"/>
      <c r="PU48" s="22"/>
      <c r="PV48" s="22"/>
      <c r="PW48" s="22"/>
      <c r="PX48" s="22"/>
      <c r="PY48" s="22"/>
      <c r="PZ48" s="22"/>
      <c r="QA48" s="22"/>
      <c r="QB48" s="22"/>
      <c r="QC48" s="22"/>
      <c r="QD48" s="22"/>
      <c r="QE48" s="22"/>
      <c r="QF48" s="22"/>
      <c r="QG48" s="22"/>
      <c r="QH48" s="22"/>
      <c r="QI48" s="22"/>
      <c r="QJ48" s="22"/>
      <c r="QK48" s="22"/>
      <c r="QL48" s="22"/>
      <c r="QM48" s="22"/>
      <c r="QN48" s="22"/>
      <c r="QO48" s="22"/>
      <c r="QP48" s="22"/>
      <c r="QQ48" s="22"/>
      <c r="QR48" s="22"/>
      <c r="QS48" s="22"/>
      <c r="QT48" s="22"/>
      <c r="QU48" s="22"/>
      <c r="QV48" s="22"/>
      <c r="QW48" s="22"/>
      <c r="QX48" s="22"/>
      <c r="QY48" s="22"/>
      <c r="QZ48" s="22"/>
      <c r="RA48" s="22"/>
      <c r="RB48" s="22"/>
      <c r="RC48" s="22"/>
    </row>
    <row r="49">
      <c r="A49" s="415" t="s">
        <v>53</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c r="IW49" s="22"/>
      <c r="IX49" s="22"/>
      <c r="IY49" s="22"/>
      <c r="IZ49" s="22"/>
      <c r="JA49" s="22"/>
      <c r="JB49" s="22"/>
      <c r="JC49" s="22"/>
      <c r="JD49" s="22"/>
      <c r="JE49" s="22"/>
      <c r="JF49" s="22"/>
      <c r="JG49" s="22"/>
      <c r="JH49" s="22"/>
      <c r="JI49" s="22"/>
      <c r="JJ49" s="22"/>
      <c r="JK49" s="22"/>
      <c r="JL49" s="22"/>
      <c r="JM49" s="22"/>
      <c r="JN49" s="22"/>
      <c r="JO49" s="22"/>
      <c r="JP49" s="22"/>
      <c r="JQ49" s="22"/>
      <c r="JR49" s="22"/>
      <c r="JS49" s="22"/>
      <c r="JT49" s="22"/>
      <c r="JU49" s="22"/>
      <c r="JV49" s="22"/>
      <c r="JW49" s="22"/>
      <c r="JX49" s="22"/>
      <c r="JY49" s="22"/>
      <c r="JZ49" s="22"/>
      <c r="KA49" s="22"/>
      <c r="KB49" s="22"/>
      <c r="KC49" s="22"/>
      <c r="KD49" s="22"/>
      <c r="KE49" s="22"/>
      <c r="KF49" s="22"/>
      <c r="KG49" s="22"/>
      <c r="KH49" s="22"/>
      <c r="KI49" s="22"/>
      <c r="KJ49" s="22"/>
      <c r="KK49" s="22"/>
      <c r="KL49" s="22"/>
      <c r="KM49" s="22"/>
      <c r="KN49" s="22"/>
      <c r="KO49" s="22"/>
      <c r="KP49" s="22"/>
      <c r="KQ49" s="22"/>
      <c r="KR49" s="22"/>
      <c r="KS49" s="22"/>
      <c r="KT49" s="22"/>
      <c r="KU49" s="22"/>
      <c r="KV49" s="22"/>
      <c r="KW49" s="22"/>
      <c r="KX49" s="22"/>
      <c r="KY49" s="22"/>
      <c r="KZ49" s="22"/>
      <c r="LA49" s="22"/>
      <c r="LB49" s="22"/>
      <c r="LC49" s="22"/>
      <c r="LD49" s="22"/>
      <c r="LE49" s="22"/>
      <c r="LF49" s="22"/>
      <c r="LG49" s="22"/>
      <c r="LH49" s="22"/>
      <c r="LI49" s="22"/>
      <c r="LJ49" s="22"/>
      <c r="LK49" s="22"/>
      <c r="LL49" s="22"/>
      <c r="LM49" s="22"/>
      <c r="LN49" s="22"/>
      <c r="LO49" s="22"/>
      <c r="LP49" s="22"/>
      <c r="LQ49" s="22"/>
      <c r="LR49" s="22"/>
      <c r="LS49" s="22"/>
      <c r="LT49" s="22"/>
      <c r="LU49" s="22"/>
      <c r="LV49" s="22"/>
      <c r="LW49" s="22"/>
      <c r="LX49" s="22"/>
      <c r="LY49" s="22"/>
      <c r="LZ49" s="22"/>
      <c r="MA49" s="22"/>
      <c r="MB49" s="22"/>
      <c r="MC49" s="22"/>
      <c r="MD49" s="22"/>
      <c r="ME49" s="22"/>
      <c r="MF49" s="22"/>
      <c r="MG49" s="22"/>
      <c r="MH49" s="22"/>
      <c r="MI49" s="22"/>
      <c r="MJ49" s="22"/>
      <c r="MK49" s="22"/>
      <c r="ML49" s="22"/>
      <c r="MM49" s="22"/>
      <c r="MN49" s="22"/>
      <c r="MO49" s="22"/>
      <c r="MP49" s="22"/>
      <c r="MQ49" s="22"/>
      <c r="MR49" s="22"/>
      <c r="MS49" s="22"/>
      <c r="MT49" s="22"/>
      <c r="MU49" s="22"/>
      <c r="MV49" s="22"/>
      <c r="MW49" s="22"/>
      <c r="MX49" s="22"/>
      <c r="MY49" s="22"/>
      <c r="MZ49" s="22"/>
      <c r="NA49" s="22"/>
      <c r="NB49" s="22"/>
      <c r="NC49" s="22"/>
      <c r="ND49" s="22"/>
      <c r="NE49" s="22"/>
      <c r="NF49" s="22"/>
      <c r="NG49" s="22"/>
      <c r="NH49" s="22"/>
      <c r="NI49" s="22"/>
      <c r="NJ49" s="22"/>
      <c r="NK49" s="22"/>
      <c r="NL49" s="22"/>
      <c r="NM49" s="22"/>
      <c r="NN49" s="22"/>
      <c r="NO49" s="22"/>
      <c r="NP49" s="22"/>
      <c r="NQ49" s="22"/>
      <c r="NR49" s="22"/>
      <c r="NS49" s="22"/>
      <c r="NT49" s="22"/>
      <c r="NU49" s="22"/>
      <c r="NV49" s="22"/>
      <c r="NW49" s="22"/>
      <c r="NX49" s="22"/>
      <c r="NY49" s="22"/>
      <c r="NZ49" s="22"/>
      <c r="OA49" s="22"/>
      <c r="OB49" s="22"/>
      <c r="OC49" s="22"/>
      <c r="OD49" s="22"/>
      <c r="OE49" s="22"/>
      <c r="OF49" s="22"/>
      <c r="OG49" s="22"/>
      <c r="OH49" s="22"/>
      <c r="OI49" s="22"/>
      <c r="OJ49" s="22"/>
      <c r="OK49" s="22"/>
      <c r="OL49" s="22"/>
      <c r="OM49" s="22"/>
      <c r="ON49" s="22"/>
      <c r="OO49" s="22"/>
      <c r="OP49" s="22"/>
      <c r="OQ49" s="22"/>
      <c r="OR49" s="22"/>
      <c r="OS49" s="22"/>
      <c r="OT49" s="22"/>
      <c r="OU49" s="22"/>
      <c r="OV49" s="22"/>
      <c r="OW49" s="22"/>
      <c r="OX49" s="22"/>
      <c r="OY49" s="22"/>
      <c r="OZ49" s="22"/>
      <c r="PA49" s="22"/>
      <c r="PB49" s="22"/>
      <c r="PC49" s="22"/>
      <c r="PD49" s="22"/>
      <c r="PE49" s="22"/>
      <c r="PF49" s="22"/>
      <c r="PG49" s="22"/>
      <c r="PH49" s="22"/>
      <c r="PI49" s="22"/>
      <c r="PJ49" s="22"/>
      <c r="PK49" s="22"/>
      <c r="PL49" s="22"/>
      <c r="PM49" s="22"/>
      <c r="PN49" s="22"/>
      <c r="PO49" s="22"/>
      <c r="PP49" s="22"/>
      <c r="PQ49" s="22"/>
      <c r="PR49" s="22"/>
      <c r="PS49" s="22"/>
      <c r="PT49" s="22"/>
      <c r="PU49" s="22"/>
      <c r="PV49" s="22"/>
      <c r="PW49" s="22"/>
      <c r="PX49" s="22"/>
      <c r="PY49" s="22"/>
      <c r="PZ49" s="22"/>
      <c r="QA49" s="22"/>
      <c r="QB49" s="22"/>
      <c r="QC49" s="22"/>
      <c r="QD49" s="22"/>
      <c r="QE49" s="22"/>
      <c r="QF49" s="22"/>
      <c r="QG49" s="22"/>
      <c r="QH49" s="22"/>
      <c r="QI49" s="22"/>
      <c r="QJ49" s="22"/>
      <c r="QK49" s="22"/>
      <c r="QL49" s="22"/>
      <c r="QM49" s="22"/>
      <c r="QN49" s="22"/>
      <c r="QO49" s="22"/>
      <c r="QP49" s="22"/>
      <c r="QQ49" s="22"/>
      <c r="QR49" s="22"/>
      <c r="QS49" s="22"/>
      <c r="QT49" s="22"/>
      <c r="QU49" s="22"/>
      <c r="QV49" s="22"/>
      <c r="QW49" s="22"/>
      <c r="QX49" s="22"/>
      <c r="QY49" s="22"/>
      <c r="QZ49" s="22"/>
      <c r="RA49" s="22"/>
      <c r="RB49" s="22"/>
      <c r="RC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2"/>
      <c r="IV50" s="22"/>
      <c r="IW50" s="22"/>
      <c r="IX50" s="22"/>
      <c r="IY50" s="22"/>
      <c r="IZ50" s="22"/>
      <c r="JA50" s="22"/>
      <c r="JB50" s="22"/>
      <c r="JC50" s="22"/>
      <c r="JD50" s="22"/>
      <c r="JE50" s="22"/>
      <c r="JF50" s="22"/>
      <c r="JG50" s="22"/>
      <c r="JH50" s="22"/>
      <c r="JI50" s="22"/>
      <c r="JJ50" s="22"/>
      <c r="JK50" s="22"/>
      <c r="JL50" s="22"/>
      <c r="JM50" s="22"/>
      <c r="JN50" s="22"/>
      <c r="JO50" s="22"/>
      <c r="JP50" s="22"/>
      <c r="JQ50" s="22"/>
      <c r="JR50" s="22"/>
      <c r="JS50" s="22"/>
      <c r="JT50" s="22"/>
      <c r="JU50" s="22"/>
      <c r="JV50" s="22"/>
      <c r="JW50" s="22"/>
      <c r="JX50" s="22"/>
      <c r="JY50" s="22"/>
      <c r="JZ50" s="22"/>
      <c r="KA50" s="22"/>
      <c r="KB50" s="22"/>
      <c r="KC50" s="22"/>
      <c r="KD50" s="22"/>
      <c r="KE50" s="22"/>
      <c r="KF50" s="22"/>
      <c r="KG50" s="22"/>
      <c r="KH50" s="22"/>
      <c r="KI50" s="22"/>
      <c r="KJ50" s="22"/>
      <c r="KK50" s="22"/>
      <c r="KL50" s="22"/>
      <c r="KM50" s="22"/>
      <c r="KN50" s="22"/>
      <c r="KO50" s="22"/>
      <c r="KP50" s="22"/>
      <c r="KQ50" s="22"/>
      <c r="KR50" s="22"/>
      <c r="KS50" s="22"/>
      <c r="KT50" s="22"/>
      <c r="KU50" s="22"/>
      <c r="KV50" s="22"/>
      <c r="KW50" s="22"/>
      <c r="KX50" s="22"/>
      <c r="KY50" s="22"/>
      <c r="KZ50" s="22"/>
      <c r="LA50" s="22"/>
      <c r="LB50" s="22"/>
      <c r="LC50" s="22"/>
      <c r="LD50" s="22"/>
      <c r="LE50" s="22"/>
      <c r="LF50" s="22"/>
      <c r="LG50" s="22"/>
      <c r="LH50" s="22"/>
      <c r="LI50" s="22"/>
      <c r="LJ50" s="22"/>
      <c r="LK50" s="22"/>
      <c r="LL50" s="22"/>
      <c r="LM50" s="22"/>
      <c r="LN50" s="22"/>
      <c r="LO50" s="22"/>
      <c r="LP50" s="22"/>
      <c r="LQ50" s="22"/>
      <c r="LR50" s="22"/>
      <c r="LS50" s="22"/>
      <c r="LT50" s="22"/>
      <c r="LU50" s="22"/>
      <c r="LV50" s="22"/>
      <c r="LW50" s="22"/>
      <c r="LX50" s="22"/>
      <c r="LY50" s="22"/>
      <c r="LZ50" s="22"/>
      <c r="MA50" s="22"/>
      <c r="MB50" s="22"/>
      <c r="MC50" s="22"/>
      <c r="MD50" s="22"/>
      <c r="ME50" s="22"/>
      <c r="MF50" s="22"/>
      <c r="MG50" s="22"/>
      <c r="MH50" s="22"/>
      <c r="MI50" s="22"/>
      <c r="MJ50" s="22"/>
      <c r="MK50" s="22"/>
      <c r="ML50" s="22"/>
      <c r="MM50" s="22"/>
      <c r="MN50" s="22"/>
      <c r="MO50" s="22"/>
      <c r="MP50" s="22"/>
      <c r="MQ50" s="22"/>
      <c r="MR50" s="22"/>
      <c r="MS50" s="22"/>
      <c r="MT50" s="22"/>
      <c r="MU50" s="22"/>
      <c r="MV50" s="22"/>
      <c r="MW50" s="22"/>
      <c r="MX50" s="22"/>
      <c r="MY50" s="22"/>
      <c r="MZ50" s="22"/>
      <c r="NA50" s="22"/>
      <c r="NB50" s="22"/>
      <c r="NC50" s="22"/>
      <c r="ND50" s="22"/>
      <c r="NE50" s="22"/>
      <c r="NF50" s="22"/>
      <c r="NG50" s="22"/>
      <c r="NH50" s="22"/>
      <c r="NI50" s="22"/>
      <c r="NJ50" s="22"/>
      <c r="NK50" s="22"/>
      <c r="NL50" s="22"/>
      <c r="NM50" s="22"/>
      <c r="NN50" s="22"/>
      <c r="NO50" s="22"/>
      <c r="NP50" s="22"/>
      <c r="NQ50" s="22"/>
      <c r="NR50" s="22"/>
      <c r="NS50" s="22"/>
      <c r="NT50" s="22"/>
      <c r="NU50" s="22"/>
      <c r="NV50" s="22"/>
      <c r="NW50" s="22"/>
      <c r="NX50" s="22"/>
      <c r="NY50" s="22"/>
      <c r="NZ50" s="22"/>
      <c r="OA50" s="22"/>
      <c r="OB50" s="22"/>
      <c r="OC50" s="22"/>
      <c r="OD50" s="22"/>
      <c r="OE50" s="22"/>
      <c r="OF50" s="22"/>
      <c r="OG50" s="22"/>
      <c r="OH50" s="22"/>
      <c r="OI50" s="22"/>
      <c r="OJ50" s="22"/>
      <c r="OK50" s="22"/>
      <c r="OL50" s="22"/>
      <c r="OM50" s="22"/>
      <c r="ON50" s="22"/>
      <c r="OO50" s="22"/>
      <c r="OP50" s="22"/>
      <c r="OQ50" s="22"/>
      <c r="OR50" s="22"/>
      <c r="OS50" s="22"/>
      <c r="OT50" s="22"/>
      <c r="OU50" s="22"/>
      <c r="OV50" s="22"/>
      <c r="OW50" s="22"/>
      <c r="OX50" s="22"/>
      <c r="OY50" s="22"/>
      <c r="OZ50" s="22"/>
      <c r="PA50" s="22"/>
      <c r="PB50" s="22"/>
      <c r="PC50" s="22"/>
      <c r="PD50" s="22"/>
      <c r="PE50" s="22"/>
      <c r="PF50" s="22"/>
      <c r="PG50" s="22"/>
      <c r="PH50" s="22"/>
      <c r="PI50" s="22"/>
      <c r="PJ50" s="22"/>
      <c r="PK50" s="22"/>
      <c r="PL50" s="22"/>
      <c r="PM50" s="22"/>
      <c r="PN50" s="22"/>
      <c r="PO50" s="22"/>
      <c r="PP50" s="22"/>
      <c r="PQ50" s="22"/>
      <c r="PR50" s="22"/>
      <c r="PS50" s="22"/>
      <c r="PT50" s="22"/>
      <c r="PU50" s="22"/>
      <c r="PV50" s="22"/>
      <c r="PW50" s="22"/>
      <c r="PX50" s="22"/>
      <c r="PY50" s="22"/>
      <c r="PZ50" s="22"/>
      <c r="QA50" s="22"/>
      <c r="QB50" s="22"/>
      <c r="QC50" s="22"/>
      <c r="QD50" s="22"/>
      <c r="QE50" s="22"/>
      <c r="QF50" s="22"/>
      <c r="QG50" s="22"/>
      <c r="QH50" s="22"/>
      <c r="QI50" s="22"/>
      <c r="QJ50" s="22"/>
      <c r="QK50" s="22"/>
      <c r="QL50" s="22"/>
      <c r="QM50" s="22"/>
      <c r="QN50" s="22"/>
      <c r="QO50" s="22"/>
      <c r="QP50" s="22"/>
      <c r="QQ50" s="22"/>
      <c r="QR50" s="22"/>
      <c r="QS50" s="22"/>
      <c r="QT50" s="22"/>
      <c r="QU50" s="22"/>
      <c r="QV50" s="22"/>
      <c r="QW50" s="22"/>
      <c r="QX50" s="22"/>
      <c r="QY50" s="22"/>
      <c r="QZ50" s="22"/>
      <c r="RA50" s="22"/>
      <c r="RB50" s="22"/>
      <c r="RC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c r="IU51" s="22"/>
      <c r="IV51" s="22"/>
      <c r="IW51" s="22"/>
      <c r="IX51" s="22"/>
      <c r="IY51" s="22"/>
      <c r="IZ51" s="22"/>
      <c r="JA51" s="22"/>
      <c r="JB51" s="22"/>
      <c r="JC51" s="22"/>
      <c r="JD51" s="22"/>
      <c r="JE51" s="22"/>
      <c r="JF51" s="22"/>
      <c r="JG51" s="22"/>
      <c r="JH51" s="22"/>
      <c r="JI51" s="22"/>
      <c r="JJ51" s="22"/>
      <c r="JK51" s="22"/>
      <c r="JL51" s="22"/>
      <c r="JM51" s="22"/>
      <c r="JN51" s="22"/>
      <c r="JO51" s="22"/>
      <c r="JP51" s="22"/>
      <c r="JQ51" s="22"/>
      <c r="JR51" s="22"/>
      <c r="JS51" s="22"/>
      <c r="JT51" s="22"/>
      <c r="JU51" s="22"/>
      <c r="JV51" s="22"/>
      <c r="JW51" s="22"/>
      <c r="JX51" s="22"/>
      <c r="JY51" s="22"/>
      <c r="JZ51" s="22"/>
      <c r="KA51" s="22"/>
      <c r="KB51" s="22"/>
      <c r="KC51" s="22"/>
      <c r="KD51" s="22"/>
      <c r="KE51" s="22"/>
      <c r="KF51" s="22"/>
      <c r="KG51" s="22"/>
      <c r="KH51" s="22"/>
      <c r="KI51" s="22"/>
      <c r="KJ51" s="22"/>
      <c r="KK51" s="22"/>
      <c r="KL51" s="22"/>
      <c r="KM51" s="22"/>
      <c r="KN51" s="22"/>
      <c r="KO51" s="22"/>
      <c r="KP51" s="22"/>
      <c r="KQ51" s="22"/>
      <c r="KR51" s="22"/>
      <c r="KS51" s="22"/>
      <c r="KT51" s="22"/>
      <c r="KU51" s="22"/>
      <c r="KV51" s="22"/>
      <c r="KW51" s="22"/>
      <c r="KX51" s="22"/>
      <c r="KY51" s="22"/>
      <c r="KZ51" s="22"/>
      <c r="LA51" s="22"/>
      <c r="LB51" s="22"/>
      <c r="LC51" s="22"/>
      <c r="LD51" s="22"/>
      <c r="LE51" s="22"/>
      <c r="LF51" s="22"/>
      <c r="LG51" s="22"/>
      <c r="LH51" s="22"/>
      <c r="LI51" s="22"/>
      <c r="LJ51" s="22"/>
      <c r="LK51" s="22"/>
      <c r="LL51" s="22"/>
      <c r="LM51" s="22"/>
      <c r="LN51" s="22"/>
      <c r="LO51" s="22"/>
      <c r="LP51" s="22"/>
      <c r="LQ51" s="22"/>
      <c r="LR51" s="22"/>
      <c r="LS51" s="22"/>
      <c r="LT51" s="22"/>
      <c r="LU51" s="22"/>
      <c r="LV51" s="22"/>
      <c r="LW51" s="22"/>
      <c r="LX51" s="22"/>
      <c r="LY51" s="22"/>
      <c r="LZ51" s="22"/>
      <c r="MA51" s="22"/>
      <c r="MB51" s="22"/>
      <c r="MC51" s="22"/>
      <c r="MD51" s="22"/>
      <c r="ME51" s="22"/>
      <c r="MF51" s="22"/>
      <c r="MG51" s="22"/>
      <c r="MH51" s="22"/>
      <c r="MI51" s="22"/>
      <c r="MJ51" s="22"/>
      <c r="MK51" s="22"/>
      <c r="ML51" s="22"/>
      <c r="MM51" s="22"/>
      <c r="MN51" s="22"/>
      <c r="MO51" s="22"/>
      <c r="MP51" s="22"/>
      <c r="MQ51" s="22"/>
      <c r="MR51" s="22"/>
      <c r="MS51" s="22"/>
      <c r="MT51" s="22"/>
      <c r="MU51" s="22"/>
      <c r="MV51" s="22"/>
      <c r="MW51" s="22"/>
      <c r="MX51" s="22"/>
      <c r="MY51" s="22"/>
      <c r="MZ51" s="22"/>
      <c r="NA51" s="22"/>
      <c r="NB51" s="22"/>
      <c r="NC51" s="22"/>
      <c r="ND51" s="22"/>
      <c r="NE51" s="22"/>
      <c r="NF51" s="22"/>
      <c r="NG51" s="22"/>
      <c r="NH51" s="22"/>
      <c r="NI51" s="22"/>
      <c r="NJ51" s="22"/>
      <c r="NK51" s="22"/>
      <c r="NL51" s="22"/>
      <c r="NM51" s="22"/>
      <c r="NN51" s="22"/>
      <c r="NO51" s="22"/>
      <c r="NP51" s="22"/>
      <c r="NQ51" s="22"/>
      <c r="NR51" s="22"/>
      <c r="NS51" s="22"/>
      <c r="NT51" s="22"/>
      <c r="NU51" s="22"/>
      <c r="NV51" s="22"/>
      <c r="NW51" s="22"/>
      <c r="NX51" s="22"/>
      <c r="NY51" s="22"/>
      <c r="NZ51" s="22"/>
      <c r="OA51" s="22"/>
      <c r="OB51" s="22"/>
      <c r="OC51" s="22"/>
      <c r="OD51" s="22"/>
      <c r="OE51" s="22"/>
      <c r="OF51" s="22"/>
      <c r="OG51" s="22"/>
      <c r="OH51" s="22"/>
      <c r="OI51" s="22"/>
      <c r="OJ51" s="22"/>
      <c r="OK51" s="22"/>
      <c r="OL51" s="22"/>
      <c r="OM51" s="22"/>
      <c r="ON51" s="22"/>
      <c r="OO51" s="22"/>
      <c r="OP51" s="22"/>
      <c r="OQ51" s="22"/>
      <c r="OR51" s="22"/>
      <c r="OS51" s="22"/>
      <c r="OT51" s="22"/>
      <c r="OU51" s="22"/>
      <c r="OV51" s="22"/>
      <c r="OW51" s="22"/>
      <c r="OX51" s="22"/>
      <c r="OY51" s="22"/>
      <c r="OZ51" s="22"/>
      <c r="PA51" s="22"/>
      <c r="PB51" s="22"/>
      <c r="PC51" s="22"/>
      <c r="PD51" s="22"/>
      <c r="PE51" s="22"/>
      <c r="PF51" s="22"/>
      <c r="PG51" s="22"/>
      <c r="PH51" s="22"/>
      <c r="PI51" s="22"/>
      <c r="PJ51" s="22"/>
      <c r="PK51" s="22"/>
      <c r="PL51" s="22"/>
      <c r="PM51" s="22"/>
      <c r="PN51" s="22"/>
      <c r="PO51" s="22"/>
      <c r="PP51" s="22"/>
      <c r="PQ51" s="22"/>
      <c r="PR51" s="22"/>
      <c r="PS51" s="22"/>
      <c r="PT51" s="22"/>
      <c r="PU51" s="22"/>
      <c r="PV51" s="22"/>
      <c r="PW51" s="22"/>
      <c r="PX51" s="22"/>
      <c r="PY51" s="22"/>
      <c r="PZ51" s="22"/>
      <c r="QA51" s="22"/>
      <c r="QB51" s="22"/>
      <c r="QC51" s="22"/>
      <c r="QD51" s="22"/>
      <c r="QE51" s="22"/>
      <c r="QF51" s="22"/>
      <c r="QG51" s="22"/>
      <c r="QH51" s="22"/>
      <c r="QI51" s="22"/>
      <c r="QJ51" s="22"/>
      <c r="QK51" s="22"/>
      <c r="QL51" s="22"/>
      <c r="QM51" s="22"/>
      <c r="QN51" s="22"/>
      <c r="QO51" s="22"/>
      <c r="QP51" s="22"/>
      <c r="QQ51" s="22"/>
      <c r="QR51" s="22"/>
      <c r="QS51" s="22"/>
      <c r="QT51" s="22"/>
      <c r="QU51" s="22"/>
      <c r="QV51" s="22"/>
      <c r="QW51" s="22"/>
      <c r="QX51" s="22"/>
      <c r="QY51" s="22"/>
      <c r="QZ51" s="22"/>
      <c r="RA51" s="22"/>
      <c r="RB51" s="22"/>
      <c r="RC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c r="IU52" s="22"/>
      <c r="IV52" s="22"/>
      <c r="IW52" s="22"/>
      <c r="IX52" s="22"/>
      <c r="IY52" s="22"/>
      <c r="IZ52" s="22"/>
      <c r="JA52" s="22"/>
      <c r="JB52" s="22"/>
      <c r="JC52" s="22"/>
      <c r="JD52" s="22"/>
      <c r="JE52" s="22"/>
      <c r="JF52" s="22"/>
      <c r="JG52" s="22"/>
      <c r="JH52" s="22"/>
      <c r="JI52" s="22"/>
      <c r="JJ52" s="22"/>
      <c r="JK52" s="22"/>
      <c r="JL52" s="22"/>
      <c r="JM52" s="22"/>
      <c r="JN52" s="22"/>
      <c r="JO52" s="22"/>
      <c r="JP52" s="22"/>
      <c r="JQ52" s="22"/>
      <c r="JR52" s="22"/>
      <c r="JS52" s="22"/>
      <c r="JT52" s="22"/>
      <c r="JU52" s="22"/>
      <c r="JV52" s="22"/>
      <c r="JW52" s="22"/>
      <c r="JX52" s="22"/>
      <c r="JY52" s="22"/>
      <c r="JZ52" s="22"/>
      <c r="KA52" s="22"/>
      <c r="KB52" s="22"/>
      <c r="KC52" s="22"/>
      <c r="KD52" s="22"/>
      <c r="KE52" s="22"/>
      <c r="KF52" s="22"/>
      <c r="KG52" s="22"/>
      <c r="KH52" s="22"/>
      <c r="KI52" s="22"/>
      <c r="KJ52" s="22"/>
      <c r="KK52" s="22"/>
      <c r="KL52" s="22"/>
      <c r="KM52" s="22"/>
      <c r="KN52" s="22"/>
      <c r="KO52" s="22"/>
      <c r="KP52" s="22"/>
      <c r="KQ52" s="22"/>
      <c r="KR52" s="22"/>
      <c r="KS52" s="22"/>
      <c r="KT52" s="22"/>
      <c r="KU52" s="22"/>
      <c r="KV52" s="22"/>
      <c r="KW52" s="22"/>
      <c r="KX52" s="22"/>
      <c r="KY52" s="22"/>
      <c r="KZ52" s="22"/>
      <c r="LA52" s="22"/>
      <c r="LB52" s="22"/>
      <c r="LC52" s="22"/>
      <c r="LD52" s="22"/>
      <c r="LE52" s="22"/>
      <c r="LF52" s="22"/>
      <c r="LG52" s="22"/>
      <c r="LH52" s="22"/>
      <c r="LI52" s="22"/>
      <c r="LJ52" s="22"/>
      <c r="LK52" s="22"/>
      <c r="LL52" s="22"/>
      <c r="LM52" s="22"/>
      <c r="LN52" s="22"/>
      <c r="LO52" s="22"/>
      <c r="LP52" s="22"/>
      <c r="LQ52" s="22"/>
      <c r="LR52" s="22"/>
      <c r="LS52" s="22"/>
      <c r="LT52" s="22"/>
      <c r="LU52" s="22"/>
      <c r="LV52" s="22"/>
      <c r="LW52" s="22"/>
      <c r="LX52" s="22"/>
      <c r="LY52" s="22"/>
      <c r="LZ52" s="22"/>
      <c r="MA52" s="22"/>
      <c r="MB52" s="22"/>
      <c r="MC52" s="22"/>
      <c r="MD52" s="22"/>
      <c r="ME52" s="22"/>
      <c r="MF52" s="22"/>
      <c r="MG52" s="22"/>
      <c r="MH52" s="22"/>
      <c r="MI52" s="22"/>
      <c r="MJ52" s="22"/>
      <c r="MK52" s="22"/>
      <c r="ML52" s="22"/>
      <c r="MM52" s="22"/>
      <c r="MN52" s="22"/>
      <c r="MO52" s="22"/>
      <c r="MP52" s="22"/>
      <c r="MQ52" s="22"/>
      <c r="MR52" s="22"/>
      <c r="MS52" s="22"/>
      <c r="MT52" s="22"/>
      <c r="MU52" s="22"/>
      <c r="MV52" s="22"/>
      <c r="MW52" s="22"/>
      <c r="MX52" s="22"/>
      <c r="MY52" s="22"/>
      <c r="MZ52" s="22"/>
      <c r="NA52" s="22"/>
      <c r="NB52" s="22"/>
      <c r="NC52" s="22"/>
      <c r="ND52" s="22"/>
      <c r="NE52" s="22"/>
      <c r="NF52" s="22"/>
      <c r="NG52" s="22"/>
      <c r="NH52" s="22"/>
      <c r="NI52" s="22"/>
      <c r="NJ52" s="22"/>
      <c r="NK52" s="22"/>
      <c r="NL52" s="22"/>
      <c r="NM52" s="22"/>
      <c r="NN52" s="22"/>
      <c r="NO52" s="22"/>
      <c r="NP52" s="22"/>
      <c r="NQ52" s="22"/>
      <c r="NR52" s="22"/>
      <c r="NS52" s="22"/>
      <c r="NT52" s="22"/>
      <c r="NU52" s="22"/>
      <c r="NV52" s="22"/>
      <c r="NW52" s="22"/>
      <c r="NX52" s="22"/>
      <c r="NY52" s="22"/>
      <c r="NZ52" s="22"/>
      <c r="OA52" s="22"/>
      <c r="OB52" s="22"/>
      <c r="OC52" s="22"/>
      <c r="OD52" s="22"/>
      <c r="OE52" s="22"/>
      <c r="OF52" s="22"/>
      <c r="OG52" s="22"/>
      <c r="OH52" s="22"/>
      <c r="OI52" s="22"/>
      <c r="OJ52" s="22"/>
      <c r="OK52" s="22"/>
      <c r="OL52" s="22"/>
      <c r="OM52" s="22"/>
      <c r="ON52" s="22"/>
      <c r="OO52" s="22"/>
      <c r="OP52" s="22"/>
      <c r="OQ52" s="22"/>
      <c r="OR52" s="22"/>
      <c r="OS52" s="22"/>
      <c r="OT52" s="22"/>
      <c r="OU52" s="22"/>
      <c r="OV52" s="22"/>
      <c r="OW52" s="22"/>
      <c r="OX52" s="22"/>
      <c r="OY52" s="22"/>
      <c r="OZ52" s="22"/>
      <c r="PA52" s="22"/>
      <c r="PB52" s="22"/>
      <c r="PC52" s="22"/>
      <c r="PD52" s="22"/>
      <c r="PE52" s="22"/>
      <c r="PF52" s="22"/>
      <c r="PG52" s="22"/>
      <c r="PH52" s="22"/>
      <c r="PI52" s="22"/>
      <c r="PJ52" s="22"/>
      <c r="PK52" s="22"/>
      <c r="PL52" s="22"/>
      <c r="PM52" s="22"/>
      <c r="PN52" s="22"/>
      <c r="PO52" s="22"/>
      <c r="PP52" s="22"/>
      <c r="PQ52" s="22"/>
      <c r="PR52" s="22"/>
      <c r="PS52" s="22"/>
      <c r="PT52" s="22"/>
      <c r="PU52" s="22"/>
      <c r="PV52" s="22"/>
      <c r="PW52" s="22"/>
      <c r="PX52" s="22"/>
      <c r="PY52" s="22"/>
      <c r="PZ52" s="22"/>
      <c r="QA52" s="22"/>
      <c r="QB52" s="22"/>
      <c r="QC52" s="22"/>
      <c r="QD52" s="22"/>
      <c r="QE52" s="22"/>
      <c r="QF52" s="22"/>
      <c r="QG52" s="22"/>
      <c r="QH52" s="22"/>
      <c r="QI52" s="22"/>
      <c r="QJ52" s="22"/>
      <c r="QK52" s="22"/>
      <c r="QL52" s="22"/>
      <c r="QM52" s="22"/>
      <c r="QN52" s="22"/>
      <c r="QO52" s="22"/>
      <c r="QP52" s="22"/>
      <c r="QQ52" s="22"/>
      <c r="QR52" s="22"/>
      <c r="QS52" s="22"/>
      <c r="QT52" s="22"/>
      <c r="QU52" s="22"/>
      <c r="QV52" s="22"/>
      <c r="QW52" s="22"/>
      <c r="QX52" s="22"/>
      <c r="QY52" s="22"/>
      <c r="QZ52" s="22"/>
      <c r="RA52" s="22"/>
      <c r="RB52" s="22"/>
      <c r="RC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c r="IU53" s="22"/>
      <c r="IV53" s="22"/>
      <c r="IW53" s="22"/>
      <c r="IX53" s="22"/>
      <c r="IY53" s="22"/>
      <c r="IZ53" s="22"/>
      <c r="JA53" s="22"/>
      <c r="JB53" s="22"/>
      <c r="JC53" s="22"/>
      <c r="JD53" s="22"/>
      <c r="JE53" s="22"/>
      <c r="JF53" s="22"/>
      <c r="JG53" s="22"/>
      <c r="JH53" s="22"/>
      <c r="JI53" s="22"/>
      <c r="JJ53" s="22"/>
      <c r="JK53" s="22"/>
      <c r="JL53" s="22"/>
      <c r="JM53" s="22"/>
      <c r="JN53" s="22"/>
      <c r="JO53" s="22"/>
      <c r="JP53" s="22"/>
      <c r="JQ53" s="22"/>
      <c r="JR53" s="22"/>
      <c r="JS53" s="22"/>
      <c r="JT53" s="22"/>
      <c r="JU53" s="22"/>
      <c r="JV53" s="22"/>
      <c r="JW53" s="22"/>
      <c r="JX53" s="22"/>
      <c r="JY53" s="22"/>
      <c r="JZ53" s="22"/>
      <c r="KA53" s="22"/>
      <c r="KB53" s="22"/>
      <c r="KC53" s="22"/>
      <c r="KD53" s="22"/>
      <c r="KE53" s="22"/>
      <c r="KF53" s="22"/>
      <c r="KG53" s="22"/>
      <c r="KH53" s="22"/>
      <c r="KI53" s="22"/>
      <c r="KJ53" s="22"/>
      <c r="KK53" s="22"/>
      <c r="KL53" s="22"/>
      <c r="KM53" s="22"/>
      <c r="KN53" s="22"/>
      <c r="KO53" s="22"/>
      <c r="KP53" s="22"/>
      <c r="KQ53" s="22"/>
      <c r="KR53" s="22"/>
      <c r="KS53" s="22"/>
      <c r="KT53" s="22"/>
      <c r="KU53" s="22"/>
      <c r="KV53" s="22"/>
      <c r="KW53" s="22"/>
      <c r="KX53" s="22"/>
      <c r="KY53" s="22"/>
      <c r="KZ53" s="22"/>
      <c r="LA53" s="22"/>
      <c r="LB53" s="22"/>
      <c r="LC53" s="22"/>
      <c r="LD53" s="22"/>
      <c r="LE53" s="22"/>
      <c r="LF53" s="22"/>
      <c r="LG53" s="22"/>
      <c r="LH53" s="22"/>
      <c r="LI53" s="22"/>
      <c r="LJ53" s="22"/>
      <c r="LK53" s="22"/>
      <c r="LL53" s="22"/>
      <c r="LM53" s="22"/>
      <c r="LN53" s="22"/>
      <c r="LO53" s="22"/>
      <c r="LP53" s="22"/>
      <c r="LQ53" s="22"/>
      <c r="LR53" s="22"/>
      <c r="LS53" s="22"/>
      <c r="LT53" s="22"/>
      <c r="LU53" s="22"/>
      <c r="LV53" s="22"/>
      <c r="LW53" s="22"/>
      <c r="LX53" s="22"/>
      <c r="LY53" s="22"/>
      <c r="LZ53" s="22"/>
      <c r="MA53" s="22"/>
      <c r="MB53" s="22"/>
      <c r="MC53" s="22"/>
      <c r="MD53" s="22"/>
      <c r="ME53" s="22"/>
      <c r="MF53" s="22"/>
      <c r="MG53" s="22"/>
      <c r="MH53" s="22"/>
      <c r="MI53" s="22"/>
      <c r="MJ53" s="22"/>
      <c r="MK53" s="22"/>
      <c r="ML53" s="22"/>
      <c r="MM53" s="22"/>
      <c r="MN53" s="22"/>
      <c r="MO53" s="22"/>
      <c r="MP53" s="22"/>
      <c r="MQ53" s="22"/>
      <c r="MR53" s="22"/>
      <c r="MS53" s="22"/>
      <c r="MT53" s="22"/>
      <c r="MU53" s="22"/>
      <c r="MV53" s="22"/>
      <c r="MW53" s="22"/>
      <c r="MX53" s="22"/>
      <c r="MY53" s="22"/>
      <c r="MZ53" s="22"/>
      <c r="NA53" s="22"/>
      <c r="NB53" s="22"/>
      <c r="NC53" s="22"/>
      <c r="ND53" s="22"/>
      <c r="NE53" s="22"/>
      <c r="NF53" s="22"/>
      <c r="NG53" s="22"/>
      <c r="NH53" s="22"/>
      <c r="NI53" s="22"/>
      <c r="NJ53" s="22"/>
      <c r="NK53" s="22"/>
      <c r="NL53" s="22"/>
      <c r="NM53" s="22"/>
      <c r="NN53" s="22"/>
      <c r="NO53" s="22"/>
      <c r="NP53" s="22"/>
      <c r="NQ53" s="22"/>
      <c r="NR53" s="22"/>
      <c r="NS53" s="22"/>
      <c r="NT53" s="22"/>
      <c r="NU53" s="22"/>
      <c r="NV53" s="22"/>
      <c r="NW53" s="22"/>
      <c r="NX53" s="22"/>
      <c r="NY53" s="22"/>
      <c r="NZ53" s="22"/>
      <c r="OA53" s="22"/>
      <c r="OB53" s="22"/>
      <c r="OC53" s="22"/>
      <c r="OD53" s="22"/>
      <c r="OE53" s="22"/>
      <c r="OF53" s="22"/>
      <c r="OG53" s="22"/>
      <c r="OH53" s="22"/>
      <c r="OI53" s="22"/>
      <c r="OJ53" s="22"/>
      <c r="OK53" s="22"/>
      <c r="OL53" s="22"/>
      <c r="OM53" s="22"/>
      <c r="ON53" s="22"/>
      <c r="OO53" s="22"/>
      <c r="OP53" s="22"/>
      <c r="OQ53" s="22"/>
      <c r="OR53" s="22"/>
      <c r="OS53" s="22"/>
      <c r="OT53" s="22"/>
      <c r="OU53" s="22"/>
      <c r="OV53" s="22"/>
      <c r="OW53" s="22"/>
      <c r="OX53" s="22"/>
      <c r="OY53" s="22"/>
      <c r="OZ53" s="22"/>
      <c r="PA53" s="22"/>
      <c r="PB53" s="22"/>
      <c r="PC53" s="22"/>
      <c r="PD53" s="22"/>
      <c r="PE53" s="22"/>
      <c r="PF53" s="22"/>
      <c r="PG53" s="22"/>
      <c r="PH53" s="22"/>
      <c r="PI53" s="22"/>
      <c r="PJ53" s="22"/>
      <c r="PK53" s="22"/>
      <c r="PL53" s="22"/>
      <c r="PM53" s="22"/>
      <c r="PN53" s="22"/>
      <c r="PO53" s="22"/>
      <c r="PP53" s="22"/>
      <c r="PQ53" s="22"/>
      <c r="PR53" s="22"/>
      <c r="PS53" s="22"/>
      <c r="PT53" s="22"/>
      <c r="PU53" s="22"/>
      <c r="PV53" s="22"/>
      <c r="PW53" s="22"/>
      <c r="PX53" s="22"/>
      <c r="PY53" s="22"/>
      <c r="PZ53" s="22"/>
      <c r="QA53" s="22"/>
      <c r="QB53" s="22"/>
      <c r="QC53" s="22"/>
      <c r="QD53" s="22"/>
      <c r="QE53" s="22"/>
      <c r="QF53" s="22"/>
      <c r="QG53" s="22"/>
      <c r="QH53" s="22"/>
      <c r="QI53" s="22"/>
      <c r="QJ53" s="22"/>
      <c r="QK53" s="22"/>
      <c r="QL53" s="22"/>
      <c r="QM53" s="22"/>
      <c r="QN53" s="22"/>
      <c r="QO53" s="22"/>
      <c r="QP53" s="22"/>
      <c r="QQ53" s="22"/>
      <c r="QR53" s="22"/>
      <c r="QS53" s="22"/>
      <c r="QT53" s="22"/>
      <c r="QU53" s="22"/>
      <c r="QV53" s="22"/>
      <c r="QW53" s="22"/>
      <c r="QX53" s="22"/>
      <c r="QY53" s="22"/>
      <c r="QZ53" s="22"/>
      <c r="RA53" s="22"/>
      <c r="RB53" s="22"/>
      <c r="RC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c r="IU54" s="22"/>
      <c r="IV54" s="22"/>
      <c r="IW54" s="22"/>
      <c r="IX54" s="22"/>
      <c r="IY54" s="22"/>
      <c r="IZ54" s="22"/>
      <c r="JA54" s="22"/>
      <c r="JB54" s="22"/>
      <c r="JC54" s="22"/>
      <c r="JD54" s="22"/>
      <c r="JE54" s="22"/>
      <c r="JF54" s="22"/>
      <c r="JG54" s="22"/>
      <c r="JH54" s="22"/>
      <c r="JI54" s="22"/>
      <c r="JJ54" s="22"/>
      <c r="JK54" s="22"/>
      <c r="JL54" s="22"/>
      <c r="JM54" s="22"/>
      <c r="JN54" s="22"/>
      <c r="JO54" s="22"/>
      <c r="JP54" s="22"/>
      <c r="JQ54" s="22"/>
      <c r="JR54" s="22"/>
      <c r="JS54" s="22"/>
      <c r="JT54" s="22"/>
      <c r="JU54" s="22"/>
      <c r="JV54" s="22"/>
      <c r="JW54" s="22"/>
      <c r="JX54" s="22"/>
      <c r="JY54" s="22"/>
      <c r="JZ54" s="22"/>
      <c r="KA54" s="22"/>
      <c r="KB54" s="22"/>
      <c r="KC54" s="22"/>
      <c r="KD54" s="22"/>
      <c r="KE54" s="22"/>
      <c r="KF54" s="22"/>
      <c r="KG54" s="22"/>
      <c r="KH54" s="22"/>
      <c r="KI54" s="22"/>
      <c r="KJ54" s="22"/>
      <c r="KK54" s="22"/>
      <c r="KL54" s="22"/>
      <c r="KM54" s="22"/>
      <c r="KN54" s="22"/>
      <c r="KO54" s="22"/>
      <c r="KP54" s="22"/>
      <c r="KQ54" s="22"/>
      <c r="KR54" s="22"/>
      <c r="KS54" s="22"/>
      <c r="KT54" s="22"/>
      <c r="KU54" s="22"/>
      <c r="KV54" s="22"/>
      <c r="KW54" s="22"/>
      <c r="KX54" s="22"/>
      <c r="KY54" s="22"/>
      <c r="KZ54" s="22"/>
      <c r="LA54" s="22"/>
      <c r="LB54" s="22"/>
      <c r="LC54" s="22"/>
      <c r="LD54" s="22"/>
      <c r="LE54" s="22"/>
      <c r="LF54" s="22"/>
      <c r="LG54" s="22"/>
      <c r="LH54" s="22"/>
      <c r="LI54" s="22"/>
      <c r="LJ54" s="22"/>
      <c r="LK54" s="22"/>
      <c r="LL54" s="22"/>
      <c r="LM54" s="22"/>
      <c r="LN54" s="22"/>
      <c r="LO54" s="22"/>
      <c r="LP54" s="22"/>
      <c r="LQ54" s="22"/>
      <c r="LR54" s="22"/>
      <c r="LS54" s="22"/>
      <c r="LT54" s="22"/>
      <c r="LU54" s="22"/>
      <c r="LV54" s="22"/>
      <c r="LW54" s="22"/>
      <c r="LX54" s="22"/>
      <c r="LY54" s="22"/>
      <c r="LZ54" s="22"/>
      <c r="MA54" s="22"/>
      <c r="MB54" s="22"/>
      <c r="MC54" s="22"/>
      <c r="MD54" s="22"/>
      <c r="ME54" s="22"/>
      <c r="MF54" s="22"/>
      <c r="MG54" s="22"/>
      <c r="MH54" s="22"/>
      <c r="MI54" s="22"/>
      <c r="MJ54" s="22"/>
      <c r="MK54" s="22"/>
      <c r="ML54" s="22"/>
      <c r="MM54" s="22"/>
      <c r="MN54" s="22"/>
      <c r="MO54" s="22"/>
      <c r="MP54" s="22"/>
      <c r="MQ54" s="22"/>
      <c r="MR54" s="22"/>
      <c r="MS54" s="22"/>
      <c r="MT54" s="22"/>
      <c r="MU54" s="22"/>
      <c r="MV54" s="22"/>
      <c r="MW54" s="22"/>
      <c r="MX54" s="22"/>
      <c r="MY54" s="22"/>
      <c r="MZ54" s="22"/>
      <c r="NA54" s="22"/>
      <c r="NB54" s="22"/>
      <c r="NC54" s="22"/>
      <c r="ND54" s="22"/>
      <c r="NE54" s="22"/>
      <c r="NF54" s="22"/>
      <c r="NG54" s="22"/>
      <c r="NH54" s="22"/>
      <c r="NI54" s="22"/>
      <c r="NJ54" s="22"/>
      <c r="NK54" s="22"/>
      <c r="NL54" s="22"/>
      <c r="NM54" s="22"/>
      <c r="NN54" s="22"/>
      <c r="NO54" s="22"/>
      <c r="NP54" s="22"/>
      <c r="NQ54" s="22"/>
      <c r="NR54" s="22"/>
      <c r="NS54" s="22"/>
      <c r="NT54" s="22"/>
      <c r="NU54" s="22"/>
      <c r="NV54" s="22"/>
      <c r="NW54" s="22"/>
      <c r="NX54" s="22"/>
      <c r="NY54" s="22"/>
      <c r="NZ54" s="22"/>
      <c r="OA54" s="22"/>
      <c r="OB54" s="22"/>
      <c r="OC54" s="22"/>
      <c r="OD54" s="22"/>
      <c r="OE54" s="22"/>
      <c r="OF54" s="22"/>
      <c r="OG54" s="22"/>
      <c r="OH54" s="22"/>
      <c r="OI54" s="22"/>
      <c r="OJ54" s="22"/>
      <c r="OK54" s="22"/>
      <c r="OL54" s="22"/>
      <c r="OM54" s="22"/>
      <c r="ON54" s="22"/>
      <c r="OO54" s="22"/>
      <c r="OP54" s="22"/>
      <c r="OQ54" s="22"/>
      <c r="OR54" s="22"/>
      <c r="OS54" s="22"/>
      <c r="OT54" s="22"/>
      <c r="OU54" s="22"/>
      <c r="OV54" s="22"/>
      <c r="OW54" s="22"/>
      <c r="OX54" s="22"/>
      <c r="OY54" s="22"/>
      <c r="OZ54" s="22"/>
      <c r="PA54" s="22"/>
      <c r="PB54" s="22"/>
      <c r="PC54" s="22"/>
      <c r="PD54" s="22"/>
      <c r="PE54" s="22"/>
      <c r="PF54" s="22"/>
      <c r="PG54" s="22"/>
      <c r="PH54" s="22"/>
      <c r="PI54" s="22"/>
      <c r="PJ54" s="22"/>
      <c r="PK54" s="22"/>
      <c r="PL54" s="22"/>
      <c r="PM54" s="22"/>
      <c r="PN54" s="22"/>
      <c r="PO54" s="22"/>
      <c r="PP54" s="22"/>
      <c r="PQ54" s="22"/>
      <c r="PR54" s="22"/>
      <c r="PS54" s="22"/>
      <c r="PT54" s="22"/>
      <c r="PU54" s="22"/>
      <c r="PV54" s="22"/>
      <c r="PW54" s="22"/>
      <c r="PX54" s="22"/>
      <c r="PY54" s="22"/>
      <c r="PZ54" s="22"/>
      <c r="QA54" s="22"/>
      <c r="QB54" s="22"/>
      <c r="QC54" s="22"/>
      <c r="QD54" s="22"/>
      <c r="QE54" s="22"/>
      <c r="QF54" s="22"/>
      <c r="QG54" s="22"/>
      <c r="QH54" s="22"/>
      <c r="QI54" s="22"/>
      <c r="QJ54" s="22"/>
      <c r="QK54" s="22"/>
      <c r="QL54" s="22"/>
      <c r="QM54" s="22"/>
      <c r="QN54" s="22"/>
      <c r="QO54" s="22"/>
      <c r="QP54" s="22"/>
      <c r="QQ54" s="22"/>
      <c r="QR54" s="22"/>
      <c r="QS54" s="22"/>
      <c r="QT54" s="22"/>
      <c r="QU54" s="22"/>
      <c r="QV54" s="22"/>
      <c r="QW54" s="22"/>
      <c r="QX54" s="22"/>
      <c r="QY54" s="22"/>
      <c r="QZ54" s="22"/>
      <c r="RA54" s="22"/>
      <c r="RB54" s="22"/>
      <c r="RC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c r="IU55" s="22"/>
      <c r="IV55" s="22"/>
      <c r="IW55" s="22"/>
      <c r="IX55" s="22"/>
      <c r="IY55" s="22"/>
      <c r="IZ55" s="22"/>
      <c r="JA55" s="22"/>
      <c r="JB55" s="22"/>
      <c r="JC55" s="22"/>
      <c r="JD55" s="22"/>
      <c r="JE55" s="22"/>
      <c r="JF55" s="22"/>
      <c r="JG55" s="22"/>
      <c r="JH55" s="22"/>
      <c r="JI55" s="22"/>
      <c r="JJ55" s="22"/>
      <c r="JK55" s="22"/>
      <c r="JL55" s="22"/>
      <c r="JM55" s="22"/>
      <c r="JN55" s="22"/>
      <c r="JO55" s="22"/>
      <c r="JP55" s="22"/>
      <c r="JQ55" s="22"/>
      <c r="JR55" s="22"/>
      <c r="JS55" s="22"/>
      <c r="JT55" s="22"/>
      <c r="JU55" s="22"/>
      <c r="JV55" s="22"/>
      <c r="JW55" s="22"/>
      <c r="JX55" s="22"/>
      <c r="JY55" s="22"/>
      <c r="JZ55" s="22"/>
      <c r="KA55" s="22"/>
      <c r="KB55" s="22"/>
      <c r="KC55" s="22"/>
      <c r="KD55" s="22"/>
      <c r="KE55" s="22"/>
      <c r="KF55" s="22"/>
      <c r="KG55" s="22"/>
      <c r="KH55" s="22"/>
      <c r="KI55" s="22"/>
      <c r="KJ55" s="22"/>
      <c r="KK55" s="22"/>
      <c r="KL55" s="22"/>
      <c r="KM55" s="22"/>
      <c r="KN55" s="22"/>
      <c r="KO55" s="22"/>
      <c r="KP55" s="22"/>
      <c r="KQ55" s="22"/>
      <c r="KR55" s="22"/>
      <c r="KS55" s="22"/>
      <c r="KT55" s="22"/>
      <c r="KU55" s="22"/>
      <c r="KV55" s="22"/>
      <c r="KW55" s="22"/>
      <c r="KX55" s="22"/>
      <c r="KY55" s="22"/>
      <c r="KZ55" s="22"/>
      <c r="LA55" s="22"/>
      <c r="LB55" s="22"/>
      <c r="LC55" s="22"/>
      <c r="LD55" s="22"/>
      <c r="LE55" s="22"/>
      <c r="LF55" s="22"/>
      <c r="LG55" s="22"/>
      <c r="LH55" s="22"/>
      <c r="LI55" s="22"/>
      <c r="LJ55" s="22"/>
      <c r="LK55" s="22"/>
      <c r="LL55" s="22"/>
      <c r="LM55" s="22"/>
      <c r="LN55" s="22"/>
      <c r="LO55" s="22"/>
      <c r="LP55" s="22"/>
      <c r="LQ55" s="22"/>
      <c r="LR55" s="22"/>
      <c r="LS55" s="22"/>
      <c r="LT55" s="22"/>
      <c r="LU55" s="22"/>
      <c r="LV55" s="22"/>
      <c r="LW55" s="22"/>
      <c r="LX55" s="22"/>
      <c r="LY55" s="22"/>
      <c r="LZ55" s="22"/>
      <c r="MA55" s="22"/>
      <c r="MB55" s="22"/>
      <c r="MC55" s="22"/>
      <c r="MD55" s="22"/>
      <c r="ME55" s="22"/>
      <c r="MF55" s="22"/>
      <c r="MG55" s="22"/>
      <c r="MH55" s="22"/>
      <c r="MI55" s="22"/>
      <c r="MJ55" s="22"/>
      <c r="MK55" s="22"/>
      <c r="ML55" s="22"/>
      <c r="MM55" s="22"/>
      <c r="MN55" s="22"/>
      <c r="MO55" s="22"/>
      <c r="MP55" s="22"/>
      <c r="MQ55" s="22"/>
      <c r="MR55" s="22"/>
      <c r="MS55" s="22"/>
      <c r="MT55" s="22"/>
      <c r="MU55" s="22"/>
      <c r="MV55" s="22"/>
      <c r="MW55" s="22"/>
      <c r="MX55" s="22"/>
      <c r="MY55" s="22"/>
      <c r="MZ55" s="22"/>
      <c r="NA55" s="22"/>
      <c r="NB55" s="22"/>
      <c r="NC55" s="22"/>
      <c r="ND55" s="22"/>
      <c r="NE55" s="22"/>
      <c r="NF55" s="22"/>
      <c r="NG55" s="22"/>
      <c r="NH55" s="22"/>
      <c r="NI55" s="22"/>
      <c r="NJ55" s="22"/>
      <c r="NK55" s="22"/>
      <c r="NL55" s="22"/>
      <c r="NM55" s="22"/>
      <c r="NN55" s="22"/>
      <c r="NO55" s="22"/>
      <c r="NP55" s="22"/>
      <c r="NQ55" s="22"/>
      <c r="NR55" s="22"/>
      <c r="NS55" s="22"/>
      <c r="NT55" s="22"/>
      <c r="NU55" s="22"/>
      <c r="NV55" s="22"/>
      <c r="NW55" s="22"/>
      <c r="NX55" s="22"/>
      <c r="NY55" s="22"/>
      <c r="NZ55" s="22"/>
      <c r="OA55" s="22"/>
      <c r="OB55" s="22"/>
      <c r="OC55" s="22"/>
      <c r="OD55" s="22"/>
      <c r="OE55" s="22"/>
      <c r="OF55" s="22"/>
      <c r="OG55" s="22"/>
      <c r="OH55" s="22"/>
      <c r="OI55" s="22"/>
      <c r="OJ55" s="22"/>
      <c r="OK55" s="22"/>
      <c r="OL55" s="22"/>
      <c r="OM55" s="22"/>
      <c r="ON55" s="22"/>
      <c r="OO55" s="22"/>
      <c r="OP55" s="22"/>
      <c r="OQ55" s="22"/>
      <c r="OR55" s="22"/>
      <c r="OS55" s="22"/>
      <c r="OT55" s="22"/>
      <c r="OU55" s="22"/>
      <c r="OV55" s="22"/>
      <c r="OW55" s="22"/>
      <c r="OX55" s="22"/>
      <c r="OY55" s="22"/>
      <c r="OZ55" s="22"/>
      <c r="PA55" s="22"/>
      <c r="PB55" s="22"/>
      <c r="PC55" s="22"/>
      <c r="PD55" s="22"/>
      <c r="PE55" s="22"/>
      <c r="PF55" s="22"/>
      <c r="PG55" s="22"/>
      <c r="PH55" s="22"/>
      <c r="PI55" s="22"/>
      <c r="PJ55" s="22"/>
      <c r="PK55" s="22"/>
      <c r="PL55" s="22"/>
      <c r="PM55" s="22"/>
      <c r="PN55" s="22"/>
      <c r="PO55" s="22"/>
      <c r="PP55" s="22"/>
      <c r="PQ55" s="22"/>
      <c r="PR55" s="22"/>
      <c r="PS55" s="22"/>
      <c r="PT55" s="22"/>
      <c r="PU55" s="22"/>
      <c r="PV55" s="22"/>
      <c r="PW55" s="22"/>
      <c r="PX55" s="22"/>
      <c r="PY55" s="22"/>
      <c r="PZ55" s="22"/>
      <c r="QA55" s="22"/>
      <c r="QB55" s="22"/>
      <c r="QC55" s="22"/>
      <c r="QD55" s="22"/>
      <c r="QE55" s="22"/>
      <c r="QF55" s="22"/>
      <c r="QG55" s="22"/>
      <c r="QH55" s="22"/>
      <c r="QI55" s="22"/>
      <c r="QJ55" s="22"/>
      <c r="QK55" s="22"/>
      <c r="QL55" s="22"/>
      <c r="QM55" s="22"/>
      <c r="QN55" s="22"/>
      <c r="QO55" s="22"/>
      <c r="QP55" s="22"/>
      <c r="QQ55" s="22"/>
      <c r="QR55" s="22"/>
      <c r="QS55" s="22"/>
      <c r="QT55" s="22"/>
      <c r="QU55" s="22"/>
      <c r="QV55" s="22"/>
      <c r="QW55" s="22"/>
      <c r="QX55" s="22"/>
      <c r="QY55" s="22"/>
      <c r="QZ55" s="22"/>
      <c r="RA55" s="22"/>
      <c r="RB55" s="22"/>
      <c r="RC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2"/>
      <c r="IV56" s="22"/>
      <c r="IW56" s="22"/>
      <c r="IX56" s="22"/>
      <c r="IY56" s="22"/>
      <c r="IZ56" s="22"/>
      <c r="JA56" s="22"/>
      <c r="JB56" s="22"/>
      <c r="JC56" s="22"/>
      <c r="JD56" s="22"/>
      <c r="JE56" s="22"/>
      <c r="JF56" s="22"/>
      <c r="JG56" s="22"/>
      <c r="JH56" s="22"/>
      <c r="JI56" s="22"/>
      <c r="JJ56" s="22"/>
      <c r="JK56" s="22"/>
      <c r="JL56" s="22"/>
      <c r="JM56" s="22"/>
      <c r="JN56" s="22"/>
      <c r="JO56" s="22"/>
      <c r="JP56" s="22"/>
      <c r="JQ56" s="22"/>
      <c r="JR56" s="22"/>
      <c r="JS56" s="22"/>
      <c r="JT56" s="22"/>
      <c r="JU56" s="22"/>
      <c r="JV56" s="22"/>
      <c r="JW56" s="22"/>
      <c r="JX56" s="22"/>
      <c r="JY56" s="22"/>
      <c r="JZ56" s="22"/>
      <c r="KA56" s="22"/>
      <c r="KB56" s="22"/>
      <c r="KC56" s="22"/>
      <c r="KD56" s="22"/>
      <c r="KE56" s="22"/>
      <c r="KF56" s="22"/>
      <c r="KG56" s="22"/>
      <c r="KH56" s="22"/>
      <c r="KI56" s="22"/>
      <c r="KJ56" s="22"/>
      <c r="KK56" s="22"/>
      <c r="KL56" s="22"/>
      <c r="KM56" s="22"/>
      <c r="KN56" s="22"/>
      <c r="KO56" s="22"/>
      <c r="KP56" s="22"/>
      <c r="KQ56" s="22"/>
      <c r="KR56" s="22"/>
      <c r="KS56" s="22"/>
      <c r="KT56" s="22"/>
      <c r="KU56" s="22"/>
      <c r="KV56" s="22"/>
      <c r="KW56" s="22"/>
      <c r="KX56" s="22"/>
      <c r="KY56" s="22"/>
      <c r="KZ56" s="22"/>
      <c r="LA56" s="22"/>
      <c r="LB56" s="22"/>
      <c r="LC56" s="22"/>
      <c r="LD56" s="22"/>
      <c r="LE56" s="22"/>
      <c r="LF56" s="22"/>
      <c r="LG56" s="22"/>
      <c r="LH56" s="22"/>
      <c r="LI56" s="22"/>
      <c r="LJ56" s="22"/>
      <c r="LK56" s="22"/>
      <c r="LL56" s="22"/>
      <c r="LM56" s="22"/>
      <c r="LN56" s="22"/>
      <c r="LO56" s="22"/>
      <c r="LP56" s="22"/>
      <c r="LQ56" s="22"/>
      <c r="LR56" s="22"/>
      <c r="LS56" s="22"/>
      <c r="LT56" s="22"/>
      <c r="LU56" s="22"/>
      <c r="LV56" s="22"/>
      <c r="LW56" s="22"/>
      <c r="LX56" s="22"/>
      <c r="LY56" s="22"/>
      <c r="LZ56" s="22"/>
      <c r="MA56" s="22"/>
      <c r="MB56" s="22"/>
      <c r="MC56" s="22"/>
      <c r="MD56" s="22"/>
      <c r="ME56" s="22"/>
      <c r="MF56" s="22"/>
      <c r="MG56" s="22"/>
      <c r="MH56" s="22"/>
      <c r="MI56" s="22"/>
      <c r="MJ56" s="22"/>
      <c r="MK56" s="22"/>
      <c r="ML56" s="22"/>
      <c r="MM56" s="22"/>
      <c r="MN56" s="22"/>
      <c r="MO56" s="22"/>
      <c r="MP56" s="22"/>
      <c r="MQ56" s="22"/>
      <c r="MR56" s="22"/>
      <c r="MS56" s="22"/>
      <c r="MT56" s="22"/>
      <c r="MU56" s="22"/>
      <c r="MV56" s="22"/>
      <c r="MW56" s="22"/>
      <c r="MX56" s="22"/>
      <c r="MY56" s="22"/>
      <c r="MZ56" s="22"/>
      <c r="NA56" s="22"/>
      <c r="NB56" s="22"/>
      <c r="NC56" s="22"/>
      <c r="ND56" s="22"/>
      <c r="NE56" s="22"/>
      <c r="NF56" s="22"/>
      <c r="NG56" s="22"/>
      <c r="NH56" s="22"/>
      <c r="NI56" s="22"/>
      <c r="NJ56" s="22"/>
      <c r="NK56" s="22"/>
      <c r="NL56" s="22"/>
      <c r="NM56" s="22"/>
      <c r="NN56" s="22"/>
      <c r="NO56" s="22"/>
      <c r="NP56" s="22"/>
      <c r="NQ56" s="22"/>
      <c r="NR56" s="22"/>
      <c r="NS56" s="22"/>
      <c r="NT56" s="22"/>
      <c r="NU56" s="22"/>
      <c r="NV56" s="22"/>
      <c r="NW56" s="22"/>
      <c r="NX56" s="22"/>
      <c r="NY56" s="22"/>
      <c r="NZ56" s="22"/>
      <c r="OA56" s="22"/>
      <c r="OB56" s="22"/>
      <c r="OC56" s="22"/>
      <c r="OD56" s="22"/>
      <c r="OE56" s="22"/>
      <c r="OF56" s="22"/>
      <c r="OG56" s="22"/>
      <c r="OH56" s="22"/>
      <c r="OI56" s="22"/>
      <c r="OJ56" s="22"/>
      <c r="OK56" s="22"/>
      <c r="OL56" s="22"/>
      <c r="OM56" s="22"/>
      <c r="ON56" s="22"/>
      <c r="OO56" s="22"/>
      <c r="OP56" s="22"/>
      <c r="OQ56" s="22"/>
      <c r="OR56" s="22"/>
      <c r="OS56" s="22"/>
      <c r="OT56" s="22"/>
      <c r="OU56" s="22"/>
      <c r="OV56" s="22"/>
      <c r="OW56" s="22"/>
      <c r="OX56" s="22"/>
      <c r="OY56" s="22"/>
      <c r="OZ56" s="22"/>
      <c r="PA56" s="22"/>
      <c r="PB56" s="22"/>
      <c r="PC56" s="22"/>
      <c r="PD56" s="22"/>
      <c r="PE56" s="22"/>
      <c r="PF56" s="22"/>
      <c r="PG56" s="22"/>
      <c r="PH56" s="22"/>
      <c r="PI56" s="22"/>
      <c r="PJ56" s="22"/>
      <c r="PK56" s="22"/>
      <c r="PL56" s="22"/>
      <c r="PM56" s="22"/>
      <c r="PN56" s="22"/>
      <c r="PO56" s="22"/>
      <c r="PP56" s="22"/>
      <c r="PQ56" s="22"/>
      <c r="PR56" s="22"/>
      <c r="PS56" s="22"/>
      <c r="PT56" s="22"/>
      <c r="PU56" s="22"/>
      <c r="PV56" s="22"/>
      <c r="PW56" s="22"/>
      <c r="PX56" s="22"/>
      <c r="PY56" s="22"/>
      <c r="PZ56" s="22"/>
      <c r="QA56" s="22"/>
      <c r="QB56" s="22"/>
      <c r="QC56" s="22"/>
      <c r="QD56" s="22"/>
      <c r="QE56" s="22"/>
      <c r="QF56" s="22"/>
      <c r="QG56" s="22"/>
      <c r="QH56" s="22"/>
      <c r="QI56" s="22"/>
      <c r="QJ56" s="22"/>
      <c r="QK56" s="22"/>
      <c r="QL56" s="22"/>
      <c r="QM56" s="22"/>
      <c r="QN56" s="22"/>
      <c r="QO56" s="22"/>
      <c r="QP56" s="22"/>
      <c r="QQ56" s="22"/>
      <c r="QR56" s="22"/>
      <c r="QS56" s="22"/>
      <c r="QT56" s="22"/>
      <c r="QU56" s="22"/>
      <c r="QV56" s="22"/>
      <c r="QW56" s="22"/>
      <c r="QX56" s="22"/>
      <c r="QY56" s="22"/>
      <c r="QZ56" s="22"/>
      <c r="RA56" s="22"/>
      <c r="RB56" s="22"/>
      <c r="RC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c r="IU57" s="22"/>
      <c r="IV57" s="22"/>
      <c r="IW57" s="22"/>
      <c r="IX57" s="22"/>
      <c r="IY57" s="22"/>
      <c r="IZ57" s="22"/>
      <c r="JA57" s="22"/>
      <c r="JB57" s="22"/>
      <c r="JC57" s="22"/>
      <c r="JD57" s="22"/>
      <c r="JE57" s="22"/>
      <c r="JF57" s="22"/>
      <c r="JG57" s="22"/>
      <c r="JH57" s="22"/>
      <c r="JI57" s="22"/>
      <c r="JJ57" s="22"/>
      <c r="JK57" s="22"/>
      <c r="JL57" s="22"/>
      <c r="JM57" s="22"/>
      <c r="JN57" s="22"/>
      <c r="JO57" s="22"/>
      <c r="JP57" s="22"/>
      <c r="JQ57" s="22"/>
      <c r="JR57" s="22"/>
      <c r="JS57" s="22"/>
      <c r="JT57" s="22"/>
      <c r="JU57" s="22"/>
      <c r="JV57" s="22"/>
      <c r="JW57" s="22"/>
      <c r="JX57" s="22"/>
      <c r="JY57" s="22"/>
      <c r="JZ57" s="22"/>
      <c r="KA57" s="22"/>
      <c r="KB57" s="22"/>
      <c r="KC57" s="22"/>
      <c r="KD57" s="22"/>
      <c r="KE57" s="22"/>
      <c r="KF57" s="22"/>
      <c r="KG57" s="22"/>
      <c r="KH57" s="22"/>
      <c r="KI57" s="22"/>
      <c r="KJ57" s="22"/>
      <c r="KK57" s="22"/>
      <c r="KL57" s="22"/>
      <c r="KM57" s="22"/>
      <c r="KN57" s="22"/>
      <c r="KO57" s="22"/>
      <c r="KP57" s="22"/>
      <c r="KQ57" s="22"/>
      <c r="KR57" s="22"/>
      <c r="KS57" s="22"/>
      <c r="KT57" s="22"/>
      <c r="KU57" s="22"/>
      <c r="KV57" s="22"/>
      <c r="KW57" s="22"/>
      <c r="KX57" s="22"/>
      <c r="KY57" s="22"/>
      <c r="KZ57" s="22"/>
      <c r="LA57" s="22"/>
      <c r="LB57" s="22"/>
      <c r="LC57" s="22"/>
      <c r="LD57" s="22"/>
      <c r="LE57" s="22"/>
      <c r="LF57" s="22"/>
      <c r="LG57" s="22"/>
      <c r="LH57" s="22"/>
      <c r="LI57" s="22"/>
      <c r="LJ57" s="22"/>
      <c r="LK57" s="22"/>
      <c r="LL57" s="22"/>
      <c r="LM57" s="22"/>
      <c r="LN57" s="22"/>
      <c r="LO57" s="22"/>
      <c r="LP57" s="22"/>
      <c r="LQ57" s="22"/>
      <c r="LR57" s="22"/>
      <c r="LS57" s="22"/>
      <c r="LT57" s="22"/>
      <c r="LU57" s="22"/>
      <c r="LV57" s="22"/>
      <c r="LW57" s="22"/>
      <c r="LX57" s="22"/>
      <c r="LY57" s="22"/>
      <c r="LZ57" s="22"/>
      <c r="MA57" s="22"/>
      <c r="MB57" s="22"/>
      <c r="MC57" s="22"/>
      <c r="MD57" s="22"/>
      <c r="ME57" s="22"/>
      <c r="MF57" s="22"/>
      <c r="MG57" s="22"/>
      <c r="MH57" s="22"/>
      <c r="MI57" s="22"/>
      <c r="MJ57" s="22"/>
      <c r="MK57" s="22"/>
      <c r="ML57" s="22"/>
      <c r="MM57" s="22"/>
      <c r="MN57" s="22"/>
      <c r="MO57" s="22"/>
      <c r="MP57" s="22"/>
      <c r="MQ57" s="22"/>
      <c r="MR57" s="22"/>
      <c r="MS57" s="22"/>
      <c r="MT57" s="22"/>
      <c r="MU57" s="22"/>
      <c r="MV57" s="22"/>
      <c r="MW57" s="22"/>
      <c r="MX57" s="22"/>
      <c r="MY57" s="22"/>
      <c r="MZ57" s="22"/>
      <c r="NA57" s="22"/>
      <c r="NB57" s="22"/>
      <c r="NC57" s="22"/>
      <c r="ND57" s="22"/>
      <c r="NE57" s="22"/>
      <c r="NF57" s="22"/>
      <c r="NG57" s="22"/>
      <c r="NH57" s="22"/>
      <c r="NI57" s="22"/>
      <c r="NJ57" s="22"/>
      <c r="NK57" s="22"/>
      <c r="NL57" s="22"/>
      <c r="NM57" s="22"/>
      <c r="NN57" s="22"/>
      <c r="NO57" s="22"/>
      <c r="NP57" s="22"/>
      <c r="NQ57" s="22"/>
      <c r="NR57" s="22"/>
      <c r="NS57" s="22"/>
      <c r="NT57" s="22"/>
      <c r="NU57" s="22"/>
      <c r="NV57" s="22"/>
      <c r="NW57" s="22"/>
      <c r="NX57" s="22"/>
      <c r="NY57" s="22"/>
      <c r="NZ57" s="22"/>
      <c r="OA57" s="22"/>
      <c r="OB57" s="22"/>
      <c r="OC57" s="22"/>
      <c r="OD57" s="22"/>
      <c r="OE57" s="22"/>
      <c r="OF57" s="22"/>
      <c r="OG57" s="22"/>
      <c r="OH57" s="22"/>
      <c r="OI57" s="22"/>
      <c r="OJ57" s="22"/>
      <c r="OK57" s="22"/>
      <c r="OL57" s="22"/>
      <c r="OM57" s="22"/>
      <c r="ON57" s="22"/>
      <c r="OO57" s="22"/>
      <c r="OP57" s="22"/>
      <c r="OQ57" s="22"/>
      <c r="OR57" s="22"/>
      <c r="OS57" s="22"/>
      <c r="OT57" s="22"/>
      <c r="OU57" s="22"/>
      <c r="OV57" s="22"/>
      <c r="OW57" s="22"/>
      <c r="OX57" s="22"/>
      <c r="OY57" s="22"/>
      <c r="OZ57" s="22"/>
      <c r="PA57" s="22"/>
      <c r="PB57" s="22"/>
      <c r="PC57" s="22"/>
      <c r="PD57" s="22"/>
      <c r="PE57" s="22"/>
      <c r="PF57" s="22"/>
      <c r="PG57" s="22"/>
      <c r="PH57" s="22"/>
      <c r="PI57" s="22"/>
      <c r="PJ57" s="22"/>
      <c r="PK57" s="22"/>
      <c r="PL57" s="22"/>
      <c r="PM57" s="22"/>
      <c r="PN57" s="22"/>
      <c r="PO57" s="22"/>
      <c r="PP57" s="22"/>
      <c r="PQ57" s="22"/>
      <c r="PR57" s="22"/>
      <c r="PS57" s="22"/>
      <c r="PT57" s="22"/>
      <c r="PU57" s="22"/>
      <c r="PV57" s="22"/>
      <c r="PW57" s="22"/>
      <c r="PX57" s="22"/>
      <c r="PY57" s="22"/>
      <c r="PZ57" s="22"/>
      <c r="QA57" s="22"/>
      <c r="QB57" s="22"/>
      <c r="QC57" s="22"/>
      <c r="QD57" s="22"/>
      <c r="QE57" s="22"/>
      <c r="QF57" s="22"/>
      <c r="QG57" s="22"/>
      <c r="QH57" s="22"/>
      <c r="QI57" s="22"/>
      <c r="QJ57" s="22"/>
      <c r="QK57" s="22"/>
      <c r="QL57" s="22"/>
      <c r="QM57" s="22"/>
      <c r="QN57" s="22"/>
      <c r="QO57" s="22"/>
      <c r="QP57" s="22"/>
      <c r="QQ57" s="22"/>
      <c r="QR57" s="22"/>
      <c r="QS57" s="22"/>
      <c r="QT57" s="22"/>
      <c r="QU57" s="22"/>
      <c r="QV57" s="22"/>
      <c r="QW57" s="22"/>
      <c r="QX57" s="22"/>
      <c r="QY57" s="22"/>
      <c r="QZ57" s="22"/>
      <c r="RA57" s="22"/>
      <c r="RB57" s="22"/>
      <c r="RC57" s="22"/>
    </row>
  </sheetData>
  <mergeCells count="105">
    <mergeCell ref="BE1:BL1"/>
    <mergeCell ref="BN1:BU1"/>
    <mergeCell ref="BW1:CD1"/>
    <mergeCell ref="CF1:CM1"/>
    <mergeCell ref="CO1:CV1"/>
    <mergeCell ref="CX1:DE1"/>
    <mergeCell ref="DG1:DN1"/>
    <mergeCell ref="A1:A2"/>
    <mergeCell ref="C1:J1"/>
    <mergeCell ref="L1:S1"/>
    <mergeCell ref="U1:AB1"/>
    <mergeCell ref="AD1:AK1"/>
    <mergeCell ref="AM1:AT1"/>
    <mergeCell ref="AV1:BC1"/>
    <mergeCell ref="DX4:DX18"/>
    <mergeCell ref="EG4:EG18"/>
    <mergeCell ref="BM4:BM18"/>
    <mergeCell ref="BV4:BV18"/>
    <mergeCell ref="CE4:CE18"/>
    <mergeCell ref="CN4:CN18"/>
    <mergeCell ref="CW4:CW18"/>
    <mergeCell ref="DF4:DF18"/>
    <mergeCell ref="DO4:DO18"/>
    <mergeCell ref="HA4:HA18"/>
    <mergeCell ref="HJ4:HJ18"/>
    <mergeCell ref="EP4:EP18"/>
    <mergeCell ref="EY4:EY18"/>
    <mergeCell ref="FH4:FH18"/>
    <mergeCell ref="FQ4:FQ18"/>
    <mergeCell ref="FZ4:FZ18"/>
    <mergeCell ref="GI4:GI18"/>
    <mergeCell ref="GR4:GR18"/>
    <mergeCell ref="KD4:KD18"/>
    <mergeCell ref="KM4:KM18"/>
    <mergeCell ref="HS4:HS18"/>
    <mergeCell ref="IB4:IB18"/>
    <mergeCell ref="IK4:IK18"/>
    <mergeCell ref="IT4:IT18"/>
    <mergeCell ref="JC4:JC18"/>
    <mergeCell ref="JL4:JL18"/>
    <mergeCell ref="JU4:JU18"/>
    <mergeCell ref="NG4:NG18"/>
    <mergeCell ref="NP4:NP18"/>
    <mergeCell ref="KV4:KV18"/>
    <mergeCell ref="LE4:LE18"/>
    <mergeCell ref="LN4:LN18"/>
    <mergeCell ref="LW4:LW18"/>
    <mergeCell ref="MF4:MF18"/>
    <mergeCell ref="MO4:MO18"/>
    <mergeCell ref="MX4:MX18"/>
    <mergeCell ref="QJ4:QJ18"/>
    <mergeCell ref="QS4:QS18"/>
    <mergeCell ref="NY4:NY18"/>
    <mergeCell ref="OH4:OH18"/>
    <mergeCell ref="OQ4:OQ18"/>
    <mergeCell ref="OZ4:OZ18"/>
    <mergeCell ref="PI4:PI18"/>
    <mergeCell ref="PR4:PR18"/>
    <mergeCell ref="QA4:QA18"/>
    <mergeCell ref="IL1:IS1"/>
    <mergeCell ref="IU1:JB1"/>
    <mergeCell ref="JD1:JK1"/>
    <mergeCell ref="JM1:JT1"/>
    <mergeCell ref="JV1:KC1"/>
    <mergeCell ref="KE1:KL1"/>
    <mergeCell ref="KN1:KU1"/>
    <mergeCell ref="PS1:PZ1"/>
    <mergeCell ref="QB1:QI1"/>
    <mergeCell ref="QK1:QR1"/>
    <mergeCell ref="QT1:RA1"/>
    <mergeCell ref="B4:B18"/>
    <mergeCell ref="K4:K18"/>
    <mergeCell ref="T4:T18"/>
    <mergeCell ref="AC4:AC18"/>
    <mergeCell ref="AL4:AL18"/>
    <mergeCell ref="AU4:AU18"/>
    <mergeCell ref="BD4:BD18"/>
    <mergeCell ref="DP1:DW1"/>
    <mergeCell ref="DY1:EF1"/>
    <mergeCell ref="EH1:EO1"/>
    <mergeCell ref="EQ1:EX1"/>
    <mergeCell ref="EZ1:FG1"/>
    <mergeCell ref="FI1:FP1"/>
    <mergeCell ref="FR1:FY1"/>
    <mergeCell ref="GA1:GH1"/>
    <mergeCell ref="GJ1:GQ1"/>
    <mergeCell ref="GS1:GZ1"/>
    <mergeCell ref="HB1:HI1"/>
    <mergeCell ref="HK1:HR1"/>
    <mergeCell ref="HT1:IA1"/>
    <mergeCell ref="IC1:IJ1"/>
    <mergeCell ref="KW1:LD1"/>
    <mergeCell ref="LF1:LM1"/>
    <mergeCell ref="LO1:LV1"/>
    <mergeCell ref="LX1:ME1"/>
    <mergeCell ref="MG1:MN1"/>
    <mergeCell ref="MP1:MW1"/>
    <mergeCell ref="MY1:NF1"/>
    <mergeCell ref="NH1:NO1"/>
    <mergeCell ref="NQ1:NX1"/>
    <mergeCell ref="NZ1:OG1"/>
    <mergeCell ref="OI1:OP1"/>
    <mergeCell ref="OR1:OY1"/>
    <mergeCell ref="PA1:PH1"/>
    <mergeCell ref="PJ1:PQ1"/>
  </mergeCells>
  <dataValidations>
    <dataValidation type="list" allowBlank="1" showInputMessage="1" prompt="Select a progression level from the list for next week." sqref="C4:I15 L4:R15 U4:AA15 AD4:AJ15 AM4:AS15 AV4:BB15 BE4:BK15 BN4:BT15 BW4:CC15 CF4:CL15 CO4:CU15 CX4:DD15 DG4:DM15 DP4:DV15 DY4:EE15 EH4:EN15 EQ4:EW15 EZ4:FF15 FI4:FO15 FR4:FX15 GA4:GG15 GJ4:GP15 GS4:GY15 HB4:HH15 HK4:HQ15 HT4:HZ15 IC4:II15 IL4:IR15 IU4:JA15 JD4:JJ15 JM4:JS15 JV4:KB15 KE4:KK15 KN4:KT15 KW4:LC15 LF4:LL15 LO4:LU15 LX4:MD15 MG4:MM15 MP4:MV15 MY4:NE15 NH4:NN15 NQ4:NW15 NZ4:OF15 OI4:OO15 OR4:OX15 PA4:PG15 PJ4:PP15 PS4:PY15 QB4:QH15 QK4:QQ15 QT4:QZ15">
      <formula1>"☆☆☆,★☆☆,★★☆,★★★"</formula1>
    </dataValidation>
  </dataValidations>
  <drawing r:id="rId1"/>
  <tableParts count="52">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s>
</worksheet>
</file>