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7665" yWindow="-15" windowWidth="7710" windowHeight="8175" tabRatio="769" firstSheet="8" activeTab="16"/>
  </bookViews>
  <sheets>
    <sheet name="Calculos 2010" sheetId="7" r:id="rId1"/>
    <sheet name="Calculos 2011" sheetId="8" r:id="rId2"/>
    <sheet name="ER Hist Dic10" sheetId="1" r:id="rId3"/>
    <sheet name="BG Hist Dic10" sheetId="2" r:id="rId4"/>
    <sheet name="ER Hist Dic11" sheetId="3" r:id="rId5"/>
    <sheet name="BG Hist Dic11" sheetId="4" r:id="rId6"/>
    <sheet name="BG_Comp_Hist_11-10" sheetId="15" r:id="rId7"/>
    <sheet name="EFE Hist Dic11" sheetId="5" r:id="rId8"/>
    <sheet name="EMCP Hist Dic11" sheetId="6" r:id="rId9"/>
    <sheet name="BalanceGenral2010" sheetId="9" r:id="rId10"/>
    <sheet name="REME" sheetId="10" r:id="rId11"/>
    <sheet name="EdoResultados2011" sheetId="11" r:id="rId12"/>
    <sheet name="BalanceGeneral2011" sheetId="12" r:id="rId13"/>
    <sheet name="BG_Comparat_Rexp" sheetId="16" state="hidden" r:id="rId14"/>
    <sheet name="EFE_Act_Mon_Dic11" sheetId="13" state="hidden" r:id="rId15"/>
    <sheet name="EMCP_Act_Mon_Dic11" sheetId="14" state="hidden" r:id="rId16"/>
    <sheet name="Inmovilizar_y_Divisiones" sheetId="17" r:id="rId17"/>
  </sheets>
  <definedNames>
    <definedName name="_xlnm.Print_Area" localSheetId="16">Inmovilizar_y_Divisiones!$G$14</definedName>
    <definedName name="_xlnm.Print_Titles" localSheetId="16">Inmovilizar_y_Divisiones!$1:$8</definedName>
  </definedNames>
  <calcPr calcId="162913"/>
</workbook>
</file>

<file path=xl/calcChain.xml><?xml version="1.0" encoding="utf-8"?>
<calcChain xmlns="http://schemas.openxmlformats.org/spreadsheetml/2006/main">
  <c r="G22" i="8" l="1"/>
  <c r="AA9" i="17" l="1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A68" i="17"/>
  <c r="AA67" i="17"/>
  <c r="AA66" i="17"/>
  <c r="AA65" i="17"/>
  <c r="AA64" i="17"/>
  <c r="AA63" i="17"/>
  <c r="AA62" i="17"/>
  <c r="AA61" i="17"/>
  <c r="AA60" i="17"/>
  <c r="AA59" i="17"/>
  <c r="AA58" i="17"/>
  <c r="AA57" i="17"/>
  <c r="AA56" i="17"/>
  <c r="AA55" i="17"/>
  <c r="AA54" i="17"/>
  <c r="AA53" i="17"/>
  <c r="AA52" i="17"/>
  <c r="AA51" i="17"/>
  <c r="AA50" i="17"/>
  <c r="AA49" i="17"/>
  <c r="AA48" i="17"/>
  <c r="AA47" i="17"/>
  <c r="AA46" i="17"/>
  <c r="AA45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107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" i="17"/>
  <c r="N9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A47" i="11"/>
  <c r="B37" i="14"/>
  <c r="E23" i="14"/>
  <c r="A53" i="16"/>
  <c r="D40" i="16"/>
  <c r="D33" i="16"/>
  <c r="D36" i="16" s="1"/>
  <c r="D41" i="16" s="1"/>
  <c r="A61" i="13"/>
  <c r="D39" i="5"/>
  <c r="D38" i="5"/>
  <c r="D33" i="5"/>
  <c r="C21" i="5"/>
  <c r="D26" i="5"/>
  <c r="B57" i="13"/>
  <c r="E12" i="15"/>
  <c r="D35" i="5"/>
  <c r="E13" i="15"/>
  <c r="E15" i="15"/>
  <c r="D37" i="5" s="1"/>
  <c r="E16" i="15"/>
  <c r="E18" i="15"/>
  <c r="E21" i="15"/>
  <c r="E23" i="15"/>
  <c r="E24" i="15"/>
  <c r="C16" i="5" s="1"/>
  <c r="E25" i="15"/>
  <c r="E31" i="15"/>
  <c r="D40" i="5"/>
  <c r="E32" i="15"/>
  <c r="D41" i="5"/>
  <c r="E34" i="15"/>
  <c r="D43" i="5"/>
  <c r="E35" i="15"/>
  <c r="C11" i="5"/>
  <c r="E38" i="15"/>
  <c r="D45" i="5"/>
  <c r="E39" i="15"/>
  <c r="D46" i="5"/>
  <c r="E44" i="15"/>
  <c r="E45" i="15"/>
  <c r="E46" i="15"/>
  <c r="E11" i="15"/>
  <c r="D34" i="5" s="1"/>
  <c r="E9" i="15"/>
  <c r="D40" i="15"/>
  <c r="D33" i="15"/>
  <c r="D36" i="15"/>
  <c r="D41" i="15" s="1"/>
  <c r="E33" i="15"/>
  <c r="D26" i="15"/>
  <c r="D19" i="15"/>
  <c r="D27" i="15"/>
  <c r="C48" i="15"/>
  <c r="C40" i="15"/>
  <c r="C36" i="15"/>
  <c r="C41" i="15"/>
  <c r="C49" i="15" s="1"/>
  <c r="C26" i="15"/>
  <c r="C19" i="15"/>
  <c r="C27" i="15"/>
  <c r="A53" i="15"/>
  <c r="C19" i="6"/>
  <c r="D21" i="6"/>
  <c r="C15" i="6"/>
  <c r="D15" i="6"/>
  <c r="B15" i="6"/>
  <c r="E33" i="16"/>
  <c r="D43" i="13"/>
  <c r="F328" i="8"/>
  <c r="A54" i="12"/>
  <c r="D40" i="12"/>
  <c r="C34" i="12"/>
  <c r="D36" i="12" s="1"/>
  <c r="D41" i="12" s="1"/>
  <c r="F28" i="8"/>
  <c r="E28" i="8"/>
  <c r="E29" i="8"/>
  <c r="F349" i="8"/>
  <c r="A349" i="8"/>
  <c r="E349" i="8"/>
  <c r="G349" i="8"/>
  <c r="D39" i="11" s="1"/>
  <c r="F340" i="8"/>
  <c r="F341" i="8"/>
  <c r="F343" i="8"/>
  <c r="F344" i="8"/>
  <c r="F345" i="8"/>
  <c r="F346" i="8"/>
  <c r="F347" i="8"/>
  <c r="G347" i="8" s="1"/>
  <c r="C44" i="10" s="1"/>
  <c r="F348" i="8"/>
  <c r="F339" i="8"/>
  <c r="F338" i="8"/>
  <c r="F336" i="8"/>
  <c r="F337" i="8"/>
  <c r="F335" i="8"/>
  <c r="E346" i="8"/>
  <c r="G346" i="8" s="1"/>
  <c r="C43" i="10" s="1"/>
  <c r="E347" i="8"/>
  <c r="E348" i="8"/>
  <c r="G348" i="8"/>
  <c r="C45" i="10" s="1"/>
  <c r="A346" i="8"/>
  <c r="A347" i="8"/>
  <c r="A348" i="8"/>
  <c r="A340" i="8"/>
  <c r="A341" i="8"/>
  <c r="A342" i="8"/>
  <c r="A343" i="8"/>
  <c r="A344" i="8"/>
  <c r="A345" i="8"/>
  <c r="A339" i="8"/>
  <c r="A338" i="8"/>
  <c r="A336" i="8"/>
  <c r="A337" i="8"/>
  <c r="A335" i="8"/>
  <c r="E345" i="8"/>
  <c r="E344" i="8"/>
  <c r="E343" i="8"/>
  <c r="E342" i="8"/>
  <c r="E341" i="8"/>
  <c r="E340" i="8"/>
  <c r="E339" i="8"/>
  <c r="E338" i="8"/>
  <c r="E337" i="8"/>
  <c r="E336" i="8"/>
  <c r="E335" i="8"/>
  <c r="F177" i="8"/>
  <c r="E36" i="7"/>
  <c r="E17" i="8"/>
  <c r="G17" i="8"/>
  <c r="E18" i="8"/>
  <c r="G18" i="8"/>
  <c r="E19" i="8"/>
  <c r="G19" i="8"/>
  <c r="E20" i="8"/>
  <c r="G20" i="8"/>
  <c r="E21" i="8"/>
  <c r="G21" i="8"/>
  <c r="F13" i="8"/>
  <c r="F22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B34" i="10"/>
  <c r="B46" i="10"/>
  <c r="A46" i="10"/>
  <c r="C34" i="4"/>
  <c r="B27" i="10"/>
  <c r="F29" i="8" s="1"/>
  <c r="B35" i="10"/>
  <c r="I178" i="8"/>
  <c r="K178" i="8"/>
  <c r="E328" i="8"/>
  <c r="F327" i="8"/>
  <c r="F329" i="8"/>
  <c r="E327" i="8"/>
  <c r="E326" i="8"/>
  <c r="G326" i="8" s="1"/>
  <c r="E319" i="8"/>
  <c r="E318" i="8"/>
  <c r="G318" i="8" s="1"/>
  <c r="E317" i="8"/>
  <c r="F311" i="8"/>
  <c r="E310" i="8"/>
  <c r="G310" i="8"/>
  <c r="E309" i="8"/>
  <c r="G311" i="8"/>
  <c r="C44" i="12"/>
  <c r="F303" i="8"/>
  <c r="H285" i="8" s="1"/>
  <c r="J285" i="8" s="1"/>
  <c r="K285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/>
  <c r="E294" i="8"/>
  <c r="G294" i="8"/>
  <c r="E293" i="8"/>
  <c r="G293" i="8"/>
  <c r="E292" i="8"/>
  <c r="G292" i="8"/>
  <c r="E291" i="8"/>
  <c r="G291" i="8"/>
  <c r="E290" i="8"/>
  <c r="G290" i="8"/>
  <c r="E289" i="8"/>
  <c r="G289" i="8"/>
  <c r="E288" i="8"/>
  <c r="G288" i="8"/>
  <c r="E287" i="8"/>
  <c r="G287" i="8"/>
  <c r="E286" i="8"/>
  <c r="G286" i="8"/>
  <c r="E285" i="8"/>
  <c r="G285" i="8"/>
  <c r="E284" i="8"/>
  <c r="G284" i="8"/>
  <c r="G303" i="8" s="1"/>
  <c r="F278" i="8"/>
  <c r="H264" i="8" s="1"/>
  <c r="J264" i="8" s="1"/>
  <c r="K264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G278" i="8" s="1"/>
  <c r="F257" i="8"/>
  <c r="H245" i="8"/>
  <c r="J245" i="8" s="1"/>
  <c r="K245" i="8" s="1"/>
  <c r="E256" i="8"/>
  <c r="G256" i="8"/>
  <c r="E255" i="8"/>
  <c r="G255" i="8"/>
  <c r="E254" i="8"/>
  <c r="G254" i="8"/>
  <c r="E253" i="8"/>
  <c r="G253" i="8"/>
  <c r="E252" i="8"/>
  <c r="G252" i="8"/>
  <c r="E251" i="8"/>
  <c r="G251" i="8"/>
  <c r="E250" i="8"/>
  <c r="G250" i="8"/>
  <c r="E249" i="8"/>
  <c r="G249" i="8"/>
  <c r="E248" i="8"/>
  <c r="G248" i="8"/>
  <c r="E247" i="8"/>
  <c r="G247" i="8"/>
  <c r="E246" i="8"/>
  <c r="G246" i="8"/>
  <c r="E245" i="8"/>
  <c r="G245" i="8"/>
  <c r="E244" i="8"/>
  <c r="G244" i="8"/>
  <c r="G257" i="8" s="1"/>
  <c r="F238" i="8"/>
  <c r="I5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/>
  <c r="F178" i="8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F118" i="8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G118" i="8" s="1"/>
  <c r="F93" i="8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G93" i="8" s="1"/>
  <c r="F72" i="8"/>
  <c r="E71" i="8"/>
  <c r="G71" i="8"/>
  <c r="E70" i="8"/>
  <c r="G70" i="8"/>
  <c r="E69" i="8"/>
  <c r="G69" i="8"/>
  <c r="E68" i="8"/>
  <c r="G68" i="8"/>
  <c r="E67" i="8"/>
  <c r="G67" i="8"/>
  <c r="E66" i="8"/>
  <c r="G66" i="8"/>
  <c r="E65" i="8"/>
  <c r="G65" i="8"/>
  <c r="E64" i="8"/>
  <c r="G64" i="8"/>
  <c r="E63" i="8"/>
  <c r="G63" i="8"/>
  <c r="E62" i="8"/>
  <c r="G62" i="8"/>
  <c r="E61" i="8"/>
  <c r="G61" i="8"/>
  <c r="E60" i="8"/>
  <c r="G60" i="8"/>
  <c r="E59" i="8"/>
  <c r="G59" i="8" s="1"/>
  <c r="G72" i="8" s="1"/>
  <c r="F53" i="8"/>
  <c r="E52" i="8"/>
  <c r="G52" i="8" s="1"/>
  <c r="E51" i="8"/>
  <c r="G51" i="8" s="1"/>
  <c r="F45" i="8"/>
  <c r="E44" i="8"/>
  <c r="G44" i="8" s="1"/>
  <c r="E43" i="8"/>
  <c r="G43" i="8" s="1"/>
  <c r="F36" i="8"/>
  <c r="F37" i="8" s="1"/>
  <c r="E36" i="8"/>
  <c r="G29" i="8"/>
  <c r="C27" i="10"/>
  <c r="D27" i="10" s="1"/>
  <c r="F30" i="8"/>
  <c r="E9" i="8"/>
  <c r="G9" i="8"/>
  <c r="C16" i="12"/>
  <c r="D15" i="16" s="1"/>
  <c r="E15" i="16" s="1"/>
  <c r="D38" i="13" s="1"/>
  <c r="B38" i="10"/>
  <c r="B39" i="10"/>
  <c r="B40" i="10"/>
  <c r="B41" i="10"/>
  <c r="B42" i="10"/>
  <c r="B43" i="10"/>
  <c r="B44" i="10"/>
  <c r="B45" i="10"/>
  <c r="B37" i="10"/>
  <c r="A41" i="10"/>
  <c r="A42" i="10"/>
  <c r="A43" i="10"/>
  <c r="A44" i="10"/>
  <c r="A45" i="10"/>
  <c r="A38" i="10"/>
  <c r="A39" i="10"/>
  <c r="A40" i="10"/>
  <c r="A37" i="10"/>
  <c r="B36" i="10"/>
  <c r="A36" i="10"/>
  <c r="B29" i="10"/>
  <c r="B30" i="10"/>
  <c r="B28" i="10"/>
  <c r="A29" i="10"/>
  <c r="A30" i="10"/>
  <c r="A28" i="10"/>
  <c r="A17" i="10"/>
  <c r="A18" i="10"/>
  <c r="A19" i="10"/>
  <c r="A20" i="10"/>
  <c r="A21" i="10"/>
  <c r="A16" i="10"/>
  <c r="A10" i="10"/>
  <c r="A11" i="10"/>
  <c r="A12" i="10"/>
  <c r="A13" i="10"/>
  <c r="A9" i="10"/>
  <c r="B31" i="10"/>
  <c r="A53" i="9"/>
  <c r="D19" i="2"/>
  <c r="A341" i="7"/>
  <c r="F313" i="7"/>
  <c r="L247" i="8"/>
  <c r="E312" i="7"/>
  <c r="G312" i="7"/>
  <c r="E311" i="7"/>
  <c r="G311" i="7"/>
  <c r="E310" i="7"/>
  <c r="G310" i="7"/>
  <c r="E309" i="7"/>
  <c r="G309" i="7"/>
  <c r="E308" i="7"/>
  <c r="G308" i="7"/>
  <c r="E307" i="7"/>
  <c r="G307" i="7"/>
  <c r="E306" i="7"/>
  <c r="G306" i="7"/>
  <c r="E305" i="7"/>
  <c r="G305" i="7"/>
  <c r="E304" i="7"/>
  <c r="G304" i="7"/>
  <c r="E303" i="7"/>
  <c r="G303" i="7"/>
  <c r="E302" i="7"/>
  <c r="G302" i="7"/>
  <c r="E301" i="7"/>
  <c r="G301" i="7"/>
  <c r="E300" i="7"/>
  <c r="G300" i="7"/>
  <c r="E299" i="7"/>
  <c r="G299" i="7"/>
  <c r="E298" i="7"/>
  <c r="G298" i="7"/>
  <c r="E297" i="7"/>
  <c r="G297" i="7"/>
  <c r="E296" i="7"/>
  <c r="G296" i="7"/>
  <c r="E295" i="7"/>
  <c r="G295" i="7"/>
  <c r="E294" i="7"/>
  <c r="G294" i="7"/>
  <c r="G313" i="7" s="1"/>
  <c r="C351" i="7" s="1"/>
  <c r="D351" i="7" s="1"/>
  <c r="F288" i="7"/>
  <c r="L246" i="8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F267" i="7"/>
  <c r="L245" i="8" s="1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/>
  <c r="E257" i="7"/>
  <c r="G257" i="7"/>
  <c r="E256" i="7"/>
  <c r="G256" i="7"/>
  <c r="E255" i="7"/>
  <c r="G255" i="7"/>
  <c r="E254" i="7"/>
  <c r="G254" i="7"/>
  <c r="G267" i="7" s="1"/>
  <c r="F248" i="7"/>
  <c r="I59" i="8" s="1"/>
  <c r="B348" i="7"/>
  <c r="E247" i="7"/>
  <c r="G247" i="7"/>
  <c r="E246" i="7"/>
  <c r="G246" i="7"/>
  <c r="E245" i="7"/>
  <c r="G245" i="7"/>
  <c r="E244" i="7"/>
  <c r="G244" i="7"/>
  <c r="E243" i="7"/>
  <c r="G243" i="7"/>
  <c r="E242" i="7"/>
  <c r="G242" i="7"/>
  <c r="E241" i="7"/>
  <c r="G241" i="7"/>
  <c r="E240" i="7"/>
  <c r="G240" i="7"/>
  <c r="E239" i="7"/>
  <c r="G239" i="7"/>
  <c r="E238" i="7"/>
  <c r="G238" i="7"/>
  <c r="E237" i="7"/>
  <c r="G237" i="7"/>
  <c r="E236" i="7"/>
  <c r="G236" i="7"/>
  <c r="E235" i="7"/>
  <c r="G235" i="7"/>
  <c r="E234" i="7"/>
  <c r="G234" i="7"/>
  <c r="E233" i="7"/>
  <c r="G233" i="7"/>
  <c r="E232" i="7"/>
  <c r="G232" i="7"/>
  <c r="E231" i="7"/>
  <c r="G231" i="7"/>
  <c r="E230" i="7"/>
  <c r="G230" i="7"/>
  <c r="E229" i="7"/>
  <c r="G229" i="7"/>
  <c r="E228" i="7"/>
  <c r="G228" i="7"/>
  <c r="E227" i="7"/>
  <c r="G227" i="7"/>
  <c r="E226" i="7"/>
  <c r="G226" i="7"/>
  <c r="E225" i="7"/>
  <c r="G225" i="7"/>
  <c r="E224" i="7"/>
  <c r="G224" i="7"/>
  <c r="E223" i="7"/>
  <c r="G223" i="7"/>
  <c r="E222" i="7"/>
  <c r="G222" i="7"/>
  <c r="E221" i="7"/>
  <c r="G221" i="7"/>
  <c r="E220" i="7"/>
  <c r="G220" i="7"/>
  <c r="E219" i="7"/>
  <c r="G219" i="7"/>
  <c r="E218" i="7"/>
  <c r="G218" i="7"/>
  <c r="E217" i="7"/>
  <c r="G217" i="7"/>
  <c r="E216" i="7"/>
  <c r="G216" i="7"/>
  <c r="E215" i="7"/>
  <c r="G215" i="7"/>
  <c r="E214" i="7"/>
  <c r="G214" i="7"/>
  <c r="E213" i="7"/>
  <c r="G213" i="7"/>
  <c r="E212" i="7"/>
  <c r="G212" i="7"/>
  <c r="E211" i="7"/>
  <c r="G211" i="7"/>
  <c r="E210" i="7"/>
  <c r="G210" i="7"/>
  <c r="E209" i="7"/>
  <c r="G209" i="7"/>
  <c r="E208" i="7"/>
  <c r="G208" i="7"/>
  <c r="E207" i="7"/>
  <c r="G207" i="7"/>
  <c r="E206" i="7"/>
  <c r="G206" i="7"/>
  <c r="E205" i="7"/>
  <c r="G205" i="7"/>
  <c r="E204" i="7"/>
  <c r="G204" i="7"/>
  <c r="E203" i="7"/>
  <c r="G203" i="7"/>
  <c r="E202" i="7"/>
  <c r="G202" i="7"/>
  <c r="E201" i="7"/>
  <c r="G201" i="7"/>
  <c r="E200" i="7"/>
  <c r="G200" i="7"/>
  <c r="E199" i="7"/>
  <c r="G199" i="7"/>
  <c r="E198" i="7"/>
  <c r="G198" i="7"/>
  <c r="E197" i="7"/>
  <c r="G197" i="7"/>
  <c r="E196" i="7"/>
  <c r="G196" i="7"/>
  <c r="E195" i="7"/>
  <c r="G195" i="7"/>
  <c r="E194" i="7"/>
  <c r="G194" i="7"/>
  <c r="G248" i="7" s="1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E70" i="7"/>
  <c r="E71" i="7"/>
  <c r="G71" i="7"/>
  <c r="E72" i="7"/>
  <c r="G72" i="7"/>
  <c r="E73" i="7"/>
  <c r="G73" i="7"/>
  <c r="E74" i="7"/>
  <c r="G74" i="7"/>
  <c r="E75" i="7"/>
  <c r="G75" i="7"/>
  <c r="E76" i="7"/>
  <c r="G76" i="7"/>
  <c r="E135" i="7"/>
  <c r="G135" i="7"/>
  <c r="E136" i="7"/>
  <c r="G136" i="7"/>
  <c r="E137" i="7"/>
  <c r="G137" i="7"/>
  <c r="E138" i="7"/>
  <c r="G138" i="7"/>
  <c r="E139" i="7"/>
  <c r="G139" i="7"/>
  <c r="E140" i="7"/>
  <c r="G140" i="7"/>
  <c r="E141" i="7"/>
  <c r="G141" i="7"/>
  <c r="E142" i="7"/>
  <c r="G142" i="7"/>
  <c r="E143" i="7"/>
  <c r="G143" i="7"/>
  <c r="E144" i="7"/>
  <c r="G144" i="7"/>
  <c r="E145" i="7"/>
  <c r="G145" i="7"/>
  <c r="E146" i="7"/>
  <c r="G146" i="7"/>
  <c r="E147" i="7"/>
  <c r="G147" i="7"/>
  <c r="E148" i="7"/>
  <c r="G148" i="7"/>
  <c r="E149" i="7"/>
  <c r="G149" i="7"/>
  <c r="E150" i="7"/>
  <c r="G150" i="7"/>
  <c r="E151" i="7"/>
  <c r="G151" i="7"/>
  <c r="E152" i="7"/>
  <c r="G152" i="7"/>
  <c r="E153" i="7"/>
  <c r="G153" i="7"/>
  <c r="E154" i="7"/>
  <c r="G154" i="7"/>
  <c r="E155" i="7"/>
  <c r="G155" i="7"/>
  <c r="E156" i="7"/>
  <c r="G156" i="7"/>
  <c r="E157" i="7"/>
  <c r="G157" i="7"/>
  <c r="E158" i="7"/>
  <c r="G158" i="7"/>
  <c r="E159" i="7"/>
  <c r="G159" i="7"/>
  <c r="E160" i="7"/>
  <c r="G160" i="7"/>
  <c r="E161" i="7"/>
  <c r="G161" i="7"/>
  <c r="E162" i="7"/>
  <c r="G162" i="7"/>
  <c r="E163" i="7"/>
  <c r="G163" i="7"/>
  <c r="E164" i="7"/>
  <c r="G164" i="7"/>
  <c r="E165" i="7"/>
  <c r="G165" i="7"/>
  <c r="E166" i="7"/>
  <c r="G166" i="7"/>
  <c r="E167" i="7"/>
  <c r="G167" i="7"/>
  <c r="E168" i="7"/>
  <c r="G168" i="7"/>
  <c r="E169" i="7"/>
  <c r="G169" i="7"/>
  <c r="E170" i="7"/>
  <c r="G170" i="7"/>
  <c r="E171" i="7"/>
  <c r="G171" i="7"/>
  <c r="E172" i="7"/>
  <c r="G172" i="7"/>
  <c r="E173" i="7"/>
  <c r="G173" i="7"/>
  <c r="E174" i="7"/>
  <c r="G174" i="7"/>
  <c r="E175" i="7"/>
  <c r="G175" i="7"/>
  <c r="E176" i="7"/>
  <c r="G176" i="7"/>
  <c r="E177" i="7"/>
  <c r="G177" i="7"/>
  <c r="E178" i="7"/>
  <c r="G178" i="7"/>
  <c r="E179" i="7"/>
  <c r="G179" i="7"/>
  <c r="E180" i="7"/>
  <c r="G180" i="7"/>
  <c r="E181" i="7"/>
  <c r="G181" i="7"/>
  <c r="E182" i="7"/>
  <c r="G182" i="7"/>
  <c r="E183" i="7"/>
  <c r="G183" i="7"/>
  <c r="E184" i="7"/>
  <c r="G184" i="7"/>
  <c r="E185" i="7"/>
  <c r="G185" i="7"/>
  <c r="E186" i="7"/>
  <c r="G186" i="7"/>
  <c r="E187" i="7"/>
  <c r="G187" i="7"/>
  <c r="A347" i="7"/>
  <c r="A340" i="7"/>
  <c r="F36" i="7"/>
  <c r="F368" i="7"/>
  <c r="F369" i="7" s="1"/>
  <c r="B353" i="7" s="1"/>
  <c r="F375" i="7"/>
  <c r="A338" i="7"/>
  <c r="F188" i="7"/>
  <c r="B347" i="7" s="1"/>
  <c r="E134" i="7"/>
  <c r="G134" i="7" s="1"/>
  <c r="G188" i="7" s="1"/>
  <c r="C347" i="7" s="1"/>
  <c r="E126" i="7"/>
  <c r="G126" i="7" s="1"/>
  <c r="F44" i="7"/>
  <c r="F45" i="7" s="1"/>
  <c r="B341" i="7" s="1"/>
  <c r="E44" i="7"/>
  <c r="G44" i="7"/>
  <c r="G45" i="7" s="1"/>
  <c r="F38" i="7"/>
  <c r="B340" i="7" s="1"/>
  <c r="E37" i="7"/>
  <c r="G37" i="7" s="1"/>
  <c r="G36" i="7"/>
  <c r="F16" i="7"/>
  <c r="B21" i="10" s="1"/>
  <c r="F15" i="7"/>
  <c r="B20" i="10" s="1"/>
  <c r="F12" i="7"/>
  <c r="B17" i="10" s="1"/>
  <c r="B334" i="7"/>
  <c r="F13" i="7"/>
  <c r="B335" i="7"/>
  <c r="F14" i="7"/>
  <c r="B19" i="10"/>
  <c r="F11" i="7"/>
  <c r="B16" i="10"/>
  <c r="B333" i="7"/>
  <c r="F10" i="7"/>
  <c r="F8" i="7"/>
  <c r="B11" i="10"/>
  <c r="F9" i="7"/>
  <c r="F7" i="7"/>
  <c r="F6" i="7"/>
  <c r="F377" i="7"/>
  <c r="E376" i="7"/>
  <c r="G376" i="7"/>
  <c r="E375" i="7"/>
  <c r="G375" i="7"/>
  <c r="G377" i="7" s="1"/>
  <c r="E368" i="7"/>
  <c r="G368" i="7"/>
  <c r="G369" i="7" s="1"/>
  <c r="C47" i="9" s="1"/>
  <c r="C47" i="16" s="1"/>
  <c r="B354" i="7"/>
  <c r="A354" i="7"/>
  <c r="A353" i="7"/>
  <c r="A352" i="7"/>
  <c r="A351" i="7"/>
  <c r="A350" i="7"/>
  <c r="A349" i="7"/>
  <c r="A348" i="7"/>
  <c r="A346" i="7"/>
  <c r="A345" i="7"/>
  <c r="A344" i="7"/>
  <c r="A343" i="7"/>
  <c r="A342" i="7"/>
  <c r="A339" i="7"/>
  <c r="A337" i="7"/>
  <c r="A336" i="7"/>
  <c r="A335" i="7"/>
  <c r="A334" i="7"/>
  <c r="A333" i="7"/>
  <c r="A332" i="7"/>
  <c r="A331" i="7"/>
  <c r="A330" i="7"/>
  <c r="A329" i="7"/>
  <c r="A328" i="7"/>
  <c r="F321" i="7"/>
  <c r="B352" i="7" s="1"/>
  <c r="E320" i="7"/>
  <c r="G320" i="7" s="1"/>
  <c r="E319" i="7"/>
  <c r="G319" i="7" s="1"/>
  <c r="F128" i="7"/>
  <c r="B346" i="7" s="1"/>
  <c r="E127" i="7"/>
  <c r="G127" i="7" s="1"/>
  <c r="E109" i="7"/>
  <c r="G109" i="7" s="1"/>
  <c r="G128" i="7" s="1"/>
  <c r="C346" i="7" s="1"/>
  <c r="D346" i="7" s="1"/>
  <c r="F103" i="7"/>
  <c r="B345" i="7"/>
  <c r="E102" i="7"/>
  <c r="G102" i="7"/>
  <c r="E101" i="7"/>
  <c r="G101" i="7"/>
  <c r="E100" i="7"/>
  <c r="G100" i="7"/>
  <c r="E99" i="7"/>
  <c r="G99" i="7"/>
  <c r="E98" i="7"/>
  <c r="G98" i="7"/>
  <c r="E97" i="7"/>
  <c r="G97" i="7"/>
  <c r="E96" i="7"/>
  <c r="G96" i="7"/>
  <c r="E95" i="7"/>
  <c r="G95" i="7"/>
  <c r="E94" i="7"/>
  <c r="G94" i="7"/>
  <c r="E93" i="7"/>
  <c r="G93" i="7"/>
  <c r="E92" i="7"/>
  <c r="G92" i="7"/>
  <c r="E91" i="7"/>
  <c r="G91" i="7"/>
  <c r="E90" i="7"/>
  <c r="G90" i="7"/>
  <c r="E89" i="7"/>
  <c r="G89" i="7"/>
  <c r="E88" i="7"/>
  <c r="G88" i="7"/>
  <c r="G103" i="7" s="1"/>
  <c r="C345" i="7" s="1"/>
  <c r="D345" i="7" s="1"/>
  <c r="F82" i="7"/>
  <c r="B344" i="7" s="1"/>
  <c r="E81" i="7"/>
  <c r="G81" i="7" s="1"/>
  <c r="E80" i="7"/>
  <c r="G80" i="7" s="1"/>
  <c r="E79" i="7"/>
  <c r="G79" i="7" s="1"/>
  <c r="E78" i="7"/>
  <c r="G78" i="7" s="1"/>
  <c r="E77" i="7"/>
  <c r="G77" i="7" s="1"/>
  <c r="G70" i="7"/>
  <c r="E69" i="7"/>
  <c r="G69" i="7"/>
  <c r="F63" i="7"/>
  <c r="I54" i="8" s="1"/>
  <c r="E62" i="7"/>
  <c r="G62" i="7" s="1"/>
  <c r="E61" i="7"/>
  <c r="G61" i="7" s="1"/>
  <c r="F55" i="7"/>
  <c r="B342" i="7" s="1"/>
  <c r="E54" i="7"/>
  <c r="G54" i="7" s="1"/>
  <c r="E53" i="7"/>
  <c r="G53" i="7" s="1"/>
  <c r="E52" i="7"/>
  <c r="G52" i="7" s="1"/>
  <c r="E51" i="7"/>
  <c r="G51" i="7" s="1"/>
  <c r="F30" i="7"/>
  <c r="B339" i="7"/>
  <c r="E29" i="7"/>
  <c r="G29" i="7"/>
  <c r="E28" i="7"/>
  <c r="G28" i="7"/>
  <c r="G30" i="7" s="1"/>
  <c r="C339" i="7" s="1"/>
  <c r="D339" i="7" s="1"/>
  <c r="B338" i="7"/>
  <c r="E16" i="7"/>
  <c r="B337" i="7"/>
  <c r="E15" i="7"/>
  <c r="G15" i="7"/>
  <c r="B336" i="7"/>
  <c r="E14" i="7"/>
  <c r="E13" i="7"/>
  <c r="E12" i="7"/>
  <c r="E11" i="7"/>
  <c r="E10" i="7"/>
  <c r="E9" i="7"/>
  <c r="B330" i="7"/>
  <c r="E8" i="7"/>
  <c r="B329" i="7"/>
  <c r="E7" i="7"/>
  <c r="E6" i="7"/>
  <c r="G8" i="7"/>
  <c r="G11" i="7"/>
  <c r="G12" i="7"/>
  <c r="C17" i="10" s="1"/>
  <c r="D17" i="10" s="1"/>
  <c r="G14" i="7"/>
  <c r="C19" i="10"/>
  <c r="D19" i="10" s="1"/>
  <c r="C20" i="10"/>
  <c r="D20" i="10" s="1"/>
  <c r="G16" i="7"/>
  <c r="C21" i="10" s="1"/>
  <c r="D21" i="10" s="1"/>
  <c r="A53" i="4"/>
  <c r="D40" i="4"/>
  <c r="D36" i="4"/>
  <c r="D41" i="4" s="1"/>
  <c r="D27" i="4"/>
  <c r="D20" i="4"/>
  <c r="D28" i="4" s="1"/>
  <c r="A44" i="3"/>
  <c r="C31" i="3"/>
  <c r="D32" i="3"/>
  <c r="B15" i="3"/>
  <c r="C16" i="3"/>
  <c r="C11" i="3"/>
  <c r="C9" i="5"/>
  <c r="C10" i="1"/>
  <c r="B37" i="6"/>
  <c r="E23" i="6"/>
  <c r="F21" i="6"/>
  <c r="F19" i="6"/>
  <c r="D23" i="6"/>
  <c r="B23" i="6"/>
  <c r="A50" i="5"/>
  <c r="D22" i="5"/>
  <c r="B56" i="13"/>
  <c r="D18" i="5"/>
  <c r="B55" i="13"/>
  <c r="C28" i="1"/>
  <c r="F15" i="6"/>
  <c r="D39" i="2"/>
  <c r="D35" i="2"/>
  <c r="D40" i="2" s="1"/>
  <c r="A52" i="2"/>
  <c r="D47" i="2"/>
  <c r="D26" i="2"/>
  <c r="D27" i="2" s="1"/>
  <c r="A37" i="1"/>
  <c r="B14" i="1"/>
  <c r="C15" i="1"/>
  <c r="D16" i="1" s="1"/>
  <c r="D29" i="1"/>
  <c r="G28" i="8"/>
  <c r="G30" i="8"/>
  <c r="G36" i="8"/>
  <c r="G37" i="8"/>
  <c r="D22" i="12" s="1"/>
  <c r="D21" i="16" s="1"/>
  <c r="G327" i="8"/>
  <c r="G335" i="8"/>
  <c r="C28" i="10" s="1"/>
  <c r="G336" i="8"/>
  <c r="C29" i="10" s="1"/>
  <c r="D29" i="10" s="1"/>
  <c r="G337" i="8"/>
  <c r="C30" i="10"/>
  <c r="D30" i="10" s="1"/>
  <c r="G338" i="8"/>
  <c r="C36" i="10" s="1"/>
  <c r="D36" i="10" s="1"/>
  <c r="G339" i="8"/>
  <c r="C37" i="10"/>
  <c r="D37" i="10" s="1"/>
  <c r="G343" i="8"/>
  <c r="C40" i="10" s="1"/>
  <c r="G344" i="8"/>
  <c r="C41" i="10" s="1"/>
  <c r="D41" i="10" s="1"/>
  <c r="G345" i="8"/>
  <c r="C42" i="10"/>
  <c r="D42" i="10" s="1"/>
  <c r="D43" i="10"/>
  <c r="B350" i="7"/>
  <c r="B351" i="7"/>
  <c r="C334" i="7"/>
  <c r="D334" i="7"/>
  <c r="C13" i="9"/>
  <c r="C12" i="16"/>
  <c r="E12" i="16" s="1"/>
  <c r="D36" i="13" s="1"/>
  <c r="C31" i="9"/>
  <c r="C31" i="16"/>
  <c r="C34" i="9"/>
  <c r="C35" i="16"/>
  <c r="E35" i="16" s="1"/>
  <c r="D45" i="13" s="1"/>
  <c r="C32" i="9"/>
  <c r="C32" i="16"/>
  <c r="E32" i="16" s="1"/>
  <c r="D42" i="13" s="1"/>
  <c r="C37" i="9"/>
  <c r="C38" i="16"/>
  <c r="E38" i="16" s="1"/>
  <c r="D46" i="13"/>
  <c r="H284" i="8"/>
  <c r="J284" i="8"/>
  <c r="K284" i="8" s="1"/>
  <c r="H302" i="8"/>
  <c r="J302" i="8" s="1"/>
  <c r="K302" i="8"/>
  <c r="H301" i="8"/>
  <c r="J301" i="8"/>
  <c r="K301" i="8" s="1"/>
  <c r="H300" i="8"/>
  <c r="J300" i="8" s="1"/>
  <c r="K300" i="8"/>
  <c r="H299" i="8"/>
  <c r="J299" i="8"/>
  <c r="K299" i="8" s="1"/>
  <c r="H298" i="8"/>
  <c r="J298" i="8" s="1"/>
  <c r="K298" i="8" s="1"/>
  <c r="H297" i="8"/>
  <c r="J297" i="8"/>
  <c r="K297" i="8" s="1"/>
  <c r="H296" i="8"/>
  <c r="J296" i="8" s="1"/>
  <c r="K296" i="8" s="1"/>
  <c r="H295" i="8"/>
  <c r="J295" i="8"/>
  <c r="K295" i="8" s="1"/>
  <c r="H294" i="8"/>
  <c r="J294" i="8" s="1"/>
  <c r="K294" i="8" s="1"/>
  <c r="H293" i="8"/>
  <c r="J293" i="8"/>
  <c r="K293" i="8" s="1"/>
  <c r="H292" i="8"/>
  <c r="J292" i="8" s="1"/>
  <c r="K292" i="8" s="1"/>
  <c r="H291" i="8"/>
  <c r="J291" i="8"/>
  <c r="K291" i="8" s="1"/>
  <c r="H290" i="8"/>
  <c r="J290" i="8" s="1"/>
  <c r="K290" i="8" s="1"/>
  <c r="H289" i="8"/>
  <c r="J289" i="8"/>
  <c r="K289" i="8" s="1"/>
  <c r="H288" i="8"/>
  <c r="J288" i="8" s="1"/>
  <c r="K288" i="8" s="1"/>
  <c r="H287" i="8"/>
  <c r="J287" i="8"/>
  <c r="K287" i="8" s="1"/>
  <c r="H286" i="8"/>
  <c r="J286" i="8" s="1"/>
  <c r="K286" i="8" s="1"/>
  <c r="H263" i="8"/>
  <c r="J263" i="8"/>
  <c r="K263" i="8" s="1"/>
  <c r="H277" i="8"/>
  <c r="J277" i="8" s="1"/>
  <c r="K277" i="8" s="1"/>
  <c r="H276" i="8"/>
  <c r="J276" i="8"/>
  <c r="K276" i="8" s="1"/>
  <c r="H275" i="8"/>
  <c r="J275" i="8" s="1"/>
  <c r="K275" i="8" s="1"/>
  <c r="H274" i="8"/>
  <c r="J274" i="8"/>
  <c r="K274" i="8" s="1"/>
  <c r="H273" i="8"/>
  <c r="J273" i="8" s="1"/>
  <c r="K273" i="8" s="1"/>
  <c r="H272" i="8"/>
  <c r="J272" i="8"/>
  <c r="K272" i="8" s="1"/>
  <c r="H271" i="8"/>
  <c r="J271" i="8" s="1"/>
  <c r="K271" i="8" s="1"/>
  <c r="H270" i="8"/>
  <c r="J270" i="8"/>
  <c r="K270" i="8" s="1"/>
  <c r="H269" i="8"/>
  <c r="J269" i="8" s="1"/>
  <c r="K269" i="8" s="1"/>
  <c r="H268" i="8"/>
  <c r="J268" i="8"/>
  <c r="K268" i="8" s="1"/>
  <c r="H267" i="8"/>
  <c r="J267" i="8" s="1"/>
  <c r="K267" i="8" s="1"/>
  <c r="H266" i="8"/>
  <c r="J266" i="8"/>
  <c r="K266" i="8" s="1"/>
  <c r="H265" i="8"/>
  <c r="J265" i="8" s="1"/>
  <c r="K265" i="8" s="1"/>
  <c r="I237" i="8"/>
  <c r="K237" i="8"/>
  <c r="L237" i="8" s="1"/>
  <c r="I236" i="8"/>
  <c r="K236" i="8" s="1"/>
  <c r="L236" i="8" s="1"/>
  <c r="I235" i="8"/>
  <c r="K235" i="8"/>
  <c r="L235" i="8" s="1"/>
  <c r="I234" i="8"/>
  <c r="K234" i="8" s="1"/>
  <c r="L234" i="8" s="1"/>
  <c r="I233" i="8"/>
  <c r="K233" i="8"/>
  <c r="L233" i="8" s="1"/>
  <c r="I232" i="8"/>
  <c r="K232" i="8" s="1"/>
  <c r="L232" i="8" s="1"/>
  <c r="I231" i="8"/>
  <c r="K231" i="8"/>
  <c r="L231" i="8" s="1"/>
  <c r="I230" i="8"/>
  <c r="K230" i="8" s="1"/>
  <c r="L230" i="8" s="1"/>
  <c r="I229" i="8"/>
  <c r="K229" i="8"/>
  <c r="L229" i="8" s="1"/>
  <c r="I228" i="8"/>
  <c r="K228" i="8" s="1"/>
  <c r="L228" i="8" s="1"/>
  <c r="I227" i="8"/>
  <c r="K227" i="8"/>
  <c r="L227" i="8" s="1"/>
  <c r="I226" i="8"/>
  <c r="K226" i="8" s="1"/>
  <c r="L226" i="8" s="1"/>
  <c r="I225" i="8"/>
  <c r="K225" i="8"/>
  <c r="L225" i="8" s="1"/>
  <c r="I224" i="8"/>
  <c r="K224" i="8" s="1"/>
  <c r="L224" i="8" s="1"/>
  <c r="I223" i="8"/>
  <c r="K223" i="8"/>
  <c r="L223" i="8" s="1"/>
  <c r="I222" i="8"/>
  <c r="K222" i="8" s="1"/>
  <c r="L222" i="8" s="1"/>
  <c r="I221" i="8"/>
  <c r="K221" i="8"/>
  <c r="L221" i="8" s="1"/>
  <c r="I220" i="8"/>
  <c r="K220" i="8" s="1"/>
  <c r="L220" i="8" s="1"/>
  <c r="I219" i="8"/>
  <c r="K219" i="8"/>
  <c r="L219" i="8" s="1"/>
  <c r="I218" i="8"/>
  <c r="K218" i="8" s="1"/>
  <c r="L218" i="8" s="1"/>
  <c r="I217" i="8"/>
  <c r="K217" i="8"/>
  <c r="L217" i="8" s="1"/>
  <c r="I216" i="8"/>
  <c r="K216" i="8" s="1"/>
  <c r="L216" i="8" s="1"/>
  <c r="I215" i="8"/>
  <c r="K215" i="8"/>
  <c r="L215" i="8" s="1"/>
  <c r="I214" i="8"/>
  <c r="K214" i="8" s="1"/>
  <c r="L214" i="8" s="1"/>
  <c r="I213" i="8"/>
  <c r="K213" i="8"/>
  <c r="L213" i="8" s="1"/>
  <c r="I212" i="8"/>
  <c r="K212" i="8" s="1"/>
  <c r="L212" i="8" s="1"/>
  <c r="I211" i="8"/>
  <c r="K211" i="8"/>
  <c r="L211" i="8" s="1"/>
  <c r="I210" i="8"/>
  <c r="K210" i="8" s="1"/>
  <c r="L210" i="8" s="1"/>
  <c r="I209" i="8"/>
  <c r="K209" i="8"/>
  <c r="L209" i="8" s="1"/>
  <c r="I208" i="8"/>
  <c r="K208" i="8" s="1"/>
  <c r="L208" i="8" s="1"/>
  <c r="I207" i="8"/>
  <c r="K207" i="8"/>
  <c r="L207" i="8" s="1"/>
  <c r="I206" i="8"/>
  <c r="K206" i="8" s="1"/>
  <c r="L206" i="8" s="1"/>
  <c r="I205" i="8"/>
  <c r="K205" i="8"/>
  <c r="L205" i="8" s="1"/>
  <c r="I204" i="8"/>
  <c r="K204" i="8" s="1"/>
  <c r="L204" i="8" s="1"/>
  <c r="I203" i="8"/>
  <c r="K203" i="8"/>
  <c r="L203" i="8" s="1"/>
  <c r="I202" i="8"/>
  <c r="K202" i="8" s="1"/>
  <c r="L202" i="8" s="1"/>
  <c r="I201" i="8"/>
  <c r="K201" i="8"/>
  <c r="L201" i="8" s="1"/>
  <c r="I200" i="8"/>
  <c r="K200" i="8" s="1"/>
  <c r="L200" i="8" s="1"/>
  <c r="I199" i="8"/>
  <c r="K199" i="8"/>
  <c r="L199" i="8" s="1"/>
  <c r="I198" i="8"/>
  <c r="K198" i="8" s="1"/>
  <c r="L198" i="8" s="1"/>
  <c r="I197" i="8"/>
  <c r="K197" i="8"/>
  <c r="L197" i="8" s="1"/>
  <c r="I196" i="8"/>
  <c r="K196" i="8" s="1"/>
  <c r="L196" i="8" s="1"/>
  <c r="I195" i="8"/>
  <c r="K195" i="8"/>
  <c r="L195" i="8" s="1"/>
  <c r="I194" i="8"/>
  <c r="K194" i="8" s="1"/>
  <c r="L194" i="8" s="1"/>
  <c r="I193" i="8"/>
  <c r="K193" i="8"/>
  <c r="L193" i="8" s="1"/>
  <c r="I192" i="8"/>
  <c r="K192" i="8" s="1"/>
  <c r="L192" i="8" s="1"/>
  <c r="I191" i="8"/>
  <c r="K191" i="8"/>
  <c r="L191" i="8" s="1"/>
  <c r="I190" i="8"/>
  <c r="K190" i="8" s="1"/>
  <c r="L190" i="8"/>
  <c r="I189" i="8"/>
  <c r="K189" i="8"/>
  <c r="L189" i="8" s="1"/>
  <c r="I188" i="8"/>
  <c r="K188" i="8" s="1"/>
  <c r="L188" i="8"/>
  <c r="I187" i="8"/>
  <c r="K187" i="8"/>
  <c r="L187" i="8" s="1"/>
  <c r="I186" i="8"/>
  <c r="K186" i="8" s="1"/>
  <c r="L186" i="8"/>
  <c r="I185" i="8"/>
  <c r="K185" i="8"/>
  <c r="L185" i="8" s="1"/>
  <c r="H244" i="8"/>
  <c r="J244" i="8" s="1"/>
  <c r="H256" i="8"/>
  <c r="J256" i="8"/>
  <c r="K256" i="8" s="1"/>
  <c r="H255" i="8"/>
  <c r="J255" i="8" s="1"/>
  <c r="K255" i="8" s="1"/>
  <c r="H254" i="8"/>
  <c r="J254" i="8"/>
  <c r="K254" i="8" s="1"/>
  <c r="H253" i="8"/>
  <c r="J253" i="8" s="1"/>
  <c r="K253" i="8" s="1"/>
  <c r="H252" i="8"/>
  <c r="J252" i="8"/>
  <c r="K252" i="8" s="1"/>
  <c r="H251" i="8"/>
  <c r="J251" i="8" s="1"/>
  <c r="K251" i="8" s="1"/>
  <c r="H250" i="8"/>
  <c r="J250" i="8"/>
  <c r="K250" i="8" s="1"/>
  <c r="H249" i="8"/>
  <c r="J249" i="8" s="1"/>
  <c r="K249" i="8" s="1"/>
  <c r="H248" i="8"/>
  <c r="J248" i="8"/>
  <c r="K248" i="8" s="1"/>
  <c r="H247" i="8"/>
  <c r="J247" i="8" s="1"/>
  <c r="K247" i="8" s="1"/>
  <c r="H246" i="8"/>
  <c r="J246" i="8" s="1"/>
  <c r="K246" i="8" s="1"/>
  <c r="J103" i="7"/>
  <c r="B349" i="7"/>
  <c r="B47" i="10"/>
  <c r="G341" i="8"/>
  <c r="G340" i="8"/>
  <c r="C38" i="10"/>
  <c r="D38" i="10" s="1"/>
  <c r="C39" i="10"/>
  <c r="D39" i="10" s="1"/>
  <c r="B26" i="11"/>
  <c r="F342" i="8"/>
  <c r="B8" i="11"/>
  <c r="B10" i="11"/>
  <c r="B9" i="11"/>
  <c r="B14" i="11"/>
  <c r="B15" i="11"/>
  <c r="C16" i="11" s="1"/>
  <c r="B33" i="11"/>
  <c r="B32" i="11"/>
  <c r="B31" i="11"/>
  <c r="B29" i="11"/>
  <c r="B28" i="11"/>
  <c r="C34" i="10"/>
  <c r="D34" i="10" s="1"/>
  <c r="C17" i="12"/>
  <c r="D16" i="16"/>
  <c r="D40" i="10"/>
  <c r="C11" i="11"/>
  <c r="D17" i="11" s="1"/>
  <c r="D28" i="10"/>
  <c r="E31" i="16"/>
  <c r="D41" i="13" s="1"/>
  <c r="C337" i="7"/>
  <c r="D337" i="7"/>
  <c r="C336" i="7"/>
  <c r="D336" i="7"/>
  <c r="G63" i="7"/>
  <c r="C348" i="7"/>
  <c r="D348" i="7"/>
  <c r="G288" i="7"/>
  <c r="C350" i="7"/>
  <c r="D350" i="7" s="1"/>
  <c r="G45" i="8"/>
  <c r="C24" i="12" s="1"/>
  <c r="G238" i="8"/>
  <c r="J58" i="8" s="1"/>
  <c r="J60" i="8" s="1"/>
  <c r="L244" i="8"/>
  <c r="I184" i="8"/>
  <c r="K184" i="8"/>
  <c r="L184" i="8" s="1"/>
  <c r="C19" i="14"/>
  <c r="F19" i="14" s="1"/>
  <c r="C33" i="10"/>
  <c r="C22" i="13"/>
  <c r="D23" i="13"/>
  <c r="C56" i="13" s="1"/>
  <c r="D56" i="13" s="1"/>
  <c r="B343" i="7"/>
  <c r="D45" i="10"/>
  <c r="D44" i="10"/>
  <c r="C12" i="5"/>
  <c r="D42" i="5"/>
  <c r="C46" i="10"/>
  <c r="D46" i="10" s="1"/>
  <c r="D36" i="5"/>
  <c r="D44" i="5"/>
  <c r="L248" i="8"/>
  <c r="M244" i="8" s="1"/>
  <c r="O244" i="8" s="1"/>
  <c r="D33" i="10"/>
  <c r="C343" i="7"/>
  <c r="D343" i="7"/>
  <c r="M245" i="8"/>
  <c r="O245" i="8" s="1"/>
  <c r="M246" i="8"/>
  <c r="O246" i="8" s="1"/>
  <c r="M247" i="8"/>
  <c r="O247" i="8" s="1"/>
  <c r="D44" i="16"/>
  <c r="C354" i="7"/>
  <c r="D354" i="7" s="1"/>
  <c r="C46" i="9"/>
  <c r="C341" i="7"/>
  <c r="D341" i="7"/>
  <c r="D21" i="9"/>
  <c r="C21" i="16"/>
  <c r="E21" i="16" s="1"/>
  <c r="C349" i="7"/>
  <c r="J59" i="8"/>
  <c r="G342" i="8"/>
  <c r="B27" i="11"/>
  <c r="D34" i="13" s="1"/>
  <c r="D31" i="10"/>
  <c r="D30" i="1"/>
  <c r="D33" i="1"/>
  <c r="F319" i="8" s="1"/>
  <c r="B9" i="10"/>
  <c r="B14" i="10" s="1"/>
  <c r="G6" i="7"/>
  <c r="F17" i="7"/>
  <c r="B12" i="10"/>
  <c r="G9" i="7"/>
  <c r="B13" i="10"/>
  <c r="G10" i="7"/>
  <c r="C26" i="12"/>
  <c r="D25" i="16" s="1"/>
  <c r="C353" i="7"/>
  <c r="D353" i="7" s="1"/>
  <c r="C31" i="10"/>
  <c r="B30" i="11"/>
  <c r="B24" i="11"/>
  <c r="B25" i="11"/>
  <c r="C38" i="9"/>
  <c r="C338" i="7"/>
  <c r="D338" i="7" s="1"/>
  <c r="D48" i="2"/>
  <c r="D17" i="3"/>
  <c r="D33" i="3"/>
  <c r="D35" i="3" s="1"/>
  <c r="D37" i="3" s="1"/>
  <c r="C16" i="10"/>
  <c r="C333" i="7"/>
  <c r="C11" i="10"/>
  <c r="D11" i="10"/>
  <c r="C330" i="7"/>
  <c r="D330" i="7"/>
  <c r="B328" i="7"/>
  <c r="B331" i="7"/>
  <c r="B332" i="7"/>
  <c r="B10" i="10"/>
  <c r="G7" i="7"/>
  <c r="B18" i="10"/>
  <c r="B22" i="10" s="1"/>
  <c r="G13" i="7"/>
  <c r="I55" i="8"/>
  <c r="I56" i="8" s="1"/>
  <c r="I60" i="8"/>
  <c r="C10" i="5"/>
  <c r="D13" i="5"/>
  <c r="N107" i="17"/>
  <c r="B54" i="13"/>
  <c r="B58" i="13"/>
  <c r="D24" i="5"/>
  <c r="D28" i="5"/>
  <c r="C18" i="10"/>
  <c r="D18" i="10"/>
  <c r="C335" i="7"/>
  <c r="D335" i="7"/>
  <c r="C33" i="9"/>
  <c r="C10" i="10"/>
  <c r="D10" i="10" s="1"/>
  <c r="C12" i="9"/>
  <c r="C11" i="16" s="1"/>
  <c r="C329" i="7"/>
  <c r="D329" i="7" s="1"/>
  <c r="B355" i="7"/>
  <c r="D16" i="10"/>
  <c r="C22" i="10"/>
  <c r="C39" i="16"/>
  <c r="D39" i="9"/>
  <c r="C13" i="10"/>
  <c r="D13" i="10"/>
  <c r="C332" i="7"/>
  <c r="D332" i="7"/>
  <c r="C18" i="9"/>
  <c r="C18" i="16"/>
  <c r="C14" i="9"/>
  <c r="C13" i="16"/>
  <c r="C331" i="7"/>
  <c r="D331" i="7"/>
  <c r="C12" i="10"/>
  <c r="D12" i="10"/>
  <c r="D349" i="7"/>
  <c r="C25" i="9"/>
  <c r="C25" i="16" s="1"/>
  <c r="D333" i="7"/>
  <c r="B359" i="7"/>
  <c r="C34" i="11"/>
  <c r="C11" i="13"/>
  <c r="C328" i="7"/>
  <c r="C9" i="10"/>
  <c r="C10" i="9"/>
  <c r="G17" i="7"/>
  <c r="C46" i="16"/>
  <c r="D15" i="14"/>
  <c r="D9" i="10"/>
  <c r="D14" i="10" s="1"/>
  <c r="D23" i="10" s="1"/>
  <c r="C14" i="10"/>
  <c r="C23" i="10" s="1"/>
  <c r="E13" i="16"/>
  <c r="D37" i="13"/>
  <c r="C34" i="16"/>
  <c r="D35" i="9"/>
  <c r="D40" i="9" s="1"/>
  <c r="C9" i="16"/>
  <c r="D328" i="7"/>
  <c r="D40" i="13"/>
  <c r="E18" i="16"/>
  <c r="E39" i="16"/>
  <c r="D47" i="13" s="1"/>
  <c r="C40" i="16"/>
  <c r="D22" i="10"/>
  <c r="C12" i="13"/>
  <c r="E9" i="16"/>
  <c r="D27" i="13"/>
  <c r="C57" i="13" s="1"/>
  <c r="D57" i="13" s="1"/>
  <c r="E34" i="16"/>
  <c r="D44" i="13"/>
  <c r="C36" i="16"/>
  <c r="C41" i="16"/>
  <c r="D19" i="16" l="1"/>
  <c r="D20" i="12"/>
  <c r="D32" i="5"/>
  <c r="D47" i="5" s="1"/>
  <c r="D40" i="3"/>
  <c r="E25" i="16"/>
  <c r="F320" i="8"/>
  <c r="G319" i="8"/>
  <c r="I319" i="8" s="1"/>
  <c r="D23" i="16"/>
  <c r="D35" i="13"/>
  <c r="C9" i="13"/>
  <c r="E11" i="16"/>
  <c r="B23" i="10"/>
  <c r="B49" i="10" s="1"/>
  <c r="O248" i="8"/>
  <c r="K244" i="8"/>
  <c r="J257" i="8"/>
  <c r="G55" i="7"/>
  <c r="G82" i="7"/>
  <c r="G321" i="7"/>
  <c r="D347" i="7"/>
  <c r="G53" i="8"/>
  <c r="G38" i="7"/>
  <c r="G178" i="8"/>
  <c r="C340" i="7" l="1"/>
  <c r="I30" i="8"/>
  <c r="C16" i="9"/>
  <c r="J54" i="8"/>
  <c r="C344" i="7"/>
  <c r="C25" i="12"/>
  <c r="C35" i="10"/>
  <c r="J55" i="8"/>
  <c r="C43" i="9"/>
  <c r="C352" i="7"/>
  <c r="C342" i="7"/>
  <c r="D342" i="7" s="1"/>
  <c r="C23" i="9"/>
  <c r="D47" i="15"/>
  <c r="C47" i="4"/>
  <c r="D48" i="4" s="1"/>
  <c r="D49" i="4" s="1"/>
  <c r="C17" i="6"/>
  <c r="B15" i="14" l="1"/>
  <c r="C44" i="16"/>
  <c r="D35" i="10"/>
  <c r="D47" i="10" s="1"/>
  <c r="C47" i="10"/>
  <c r="C49" i="10" s="1"/>
  <c r="D49" i="10" s="1"/>
  <c r="C20" i="11" s="1"/>
  <c r="F17" i="6"/>
  <c r="F23" i="6" s="1"/>
  <c r="C23" i="6"/>
  <c r="D48" i="15"/>
  <c r="D49" i="15" s="1"/>
  <c r="E47" i="15"/>
  <c r="C23" i="16"/>
  <c r="D352" i="7"/>
  <c r="B360" i="7"/>
  <c r="J56" i="8"/>
  <c r="K54" i="8"/>
  <c r="D24" i="16"/>
  <c r="D27" i="12"/>
  <c r="D28" i="12" s="1"/>
  <c r="D344" i="7"/>
  <c r="C24" i="9"/>
  <c r="C24" i="16" s="1"/>
  <c r="C16" i="16"/>
  <c r="D19" i="9"/>
  <c r="B358" i="7"/>
  <c r="B361" i="7" s="1"/>
  <c r="G317" i="8" s="1"/>
  <c r="G320" i="8" s="1"/>
  <c r="C46" i="12" s="1"/>
  <c r="D340" i="7"/>
  <c r="C355" i="7"/>
  <c r="D355" i="7" l="1"/>
  <c r="C45" i="9"/>
  <c r="D45" i="16"/>
  <c r="E16" i="16"/>
  <c r="D39" i="13"/>
  <c r="C10" i="13"/>
  <c r="C19" i="16"/>
  <c r="E24" i="16"/>
  <c r="C17" i="13" s="1"/>
  <c r="D19" i="13" s="1"/>
  <c r="C55" i="13" s="1"/>
  <c r="D55" i="13" s="1"/>
  <c r="D26" i="16"/>
  <c r="D27" i="16" s="1"/>
  <c r="C26" i="16"/>
  <c r="E23" i="16"/>
  <c r="D27" i="9"/>
  <c r="D26" i="9"/>
  <c r="D35" i="11"/>
  <c r="D36" i="11" s="1"/>
  <c r="D38" i="11" s="1"/>
  <c r="D40" i="11" s="1"/>
  <c r="C13" i="13"/>
  <c r="E44" i="16"/>
  <c r="B23" i="14"/>
  <c r="D41" i="11" l="1"/>
  <c r="G328" i="8" s="1"/>
  <c r="D33" i="13"/>
  <c r="D48" i="13" s="1"/>
  <c r="C27" i="16"/>
  <c r="C15" i="14"/>
  <c r="C45" i="16"/>
  <c r="C48" i="16" s="1"/>
  <c r="C49" i="16" s="1"/>
  <c r="D48" i="9"/>
  <c r="D49" i="9" s="1"/>
  <c r="D14" i="13"/>
  <c r="E45" i="16"/>
  <c r="D25" i="13" l="1"/>
  <c r="D29" i="13" s="1"/>
  <c r="C54" i="13"/>
  <c r="D43" i="11"/>
  <c r="F15" i="14"/>
  <c r="G329" i="8"/>
  <c r="C47" i="12" s="1"/>
  <c r="D21" i="14"/>
  <c r="F21" i="14" l="1"/>
  <c r="D23" i="14"/>
  <c r="D46" i="16"/>
  <c r="D54" i="13"/>
  <c r="D58" i="13" s="1"/>
  <c r="C58" i="13"/>
  <c r="C17" i="14"/>
  <c r="C48" i="12"/>
  <c r="D47" i="16" s="1"/>
  <c r="E47" i="16" s="1"/>
  <c r="F17" i="14" l="1"/>
  <c r="F23" i="14" s="1"/>
  <c r="C23" i="14"/>
  <c r="D49" i="12"/>
  <c r="D50" i="12" s="1"/>
  <c r="E46" i="16"/>
  <c r="D48" i="16"/>
  <c r="D49" i="16" s="1"/>
</calcChain>
</file>

<file path=xl/sharedStrings.xml><?xml version="1.0" encoding="utf-8"?>
<sst xmlns="http://schemas.openxmlformats.org/spreadsheetml/2006/main" count="1479" uniqueCount="419">
  <si>
    <t>ESTADO DE RESULTADO</t>
  </si>
  <si>
    <t>(Expresado en bolivares fuertes históricos)</t>
  </si>
  <si>
    <t>DEL  01/01/2010 AL 31/12/2010</t>
  </si>
  <si>
    <t>INGRESOS</t>
  </si>
  <si>
    <t xml:space="preserve">   Total INGRESOS</t>
  </si>
  <si>
    <t xml:space="preserve">         Total COSTOS DE VENTAS</t>
  </si>
  <si>
    <t xml:space="preserve">      Total GASTOS ADMINISTRACION</t>
  </si>
  <si>
    <t xml:space="preserve">   Total GASTOS</t>
  </si>
  <si>
    <t>GASTOS</t>
  </si>
  <si>
    <t>GASTOS ADMINISTRACION</t>
  </si>
  <si>
    <t>Gastos de Personal</t>
  </si>
  <si>
    <t>Gasto de Mantenimiento</t>
  </si>
  <si>
    <t>Gastos de Impuestos</t>
  </si>
  <si>
    <t>Gastos de Asesoria</t>
  </si>
  <si>
    <t>Otros Gastos</t>
  </si>
  <si>
    <t>Gastos Financieros</t>
  </si>
  <si>
    <t>______________________</t>
  </si>
  <si>
    <t>BALANCE GENERAL</t>
  </si>
  <si>
    <t xml:space="preserve">ACTIVO </t>
  </si>
  <si>
    <t>CIRCULANTE</t>
  </si>
  <si>
    <t>Disponible</t>
  </si>
  <si>
    <t>Caja y Banco</t>
  </si>
  <si>
    <t>Realizable</t>
  </si>
  <si>
    <t>Prepagado</t>
  </si>
  <si>
    <t>Total Activo Circulante</t>
  </si>
  <si>
    <t>PROPIEDAD, PLANTA Y EQUIPOS</t>
  </si>
  <si>
    <t>Total Propiedad, Planta y Equipos</t>
  </si>
  <si>
    <t xml:space="preserve">TOTAL ACTIVO  </t>
  </si>
  <si>
    <t>PASIVO</t>
  </si>
  <si>
    <t>TOTAL PASIVO</t>
  </si>
  <si>
    <t>CAPITAL</t>
  </si>
  <si>
    <t>Capital Social</t>
  </si>
  <si>
    <t>Utilidad del Ejercicio</t>
  </si>
  <si>
    <t>Reserva Legal</t>
  </si>
  <si>
    <t>TOTAL CAPITAL</t>
  </si>
  <si>
    <t>TOTAL PASIVO Y CAPITAL</t>
  </si>
  <si>
    <t>Ver informe del Contador Público en papel de seguridad  Nro. LA 2303805</t>
  </si>
  <si>
    <t>AL 31/12/2010</t>
  </si>
  <si>
    <t>Exigible</t>
  </si>
  <si>
    <t>Impuesto pagado por Anticipado</t>
  </si>
  <si>
    <t>Cuentas por pagar Accionistas</t>
  </si>
  <si>
    <t>Efectos por pagar</t>
  </si>
  <si>
    <t>Retenciones por pagar</t>
  </si>
  <si>
    <t>Total Pasivo Circulante</t>
  </si>
  <si>
    <t>LARGO PLAZO</t>
  </si>
  <si>
    <t>Total Pasivo a Largo Plazo</t>
  </si>
  <si>
    <t>Prestaciones Sociales por Pagar</t>
  </si>
  <si>
    <t>Anticipo sobre Ventas</t>
  </si>
  <si>
    <t>Resultados Acumulados</t>
  </si>
  <si>
    <t>Bienes No Depreciable</t>
  </si>
  <si>
    <t>Bienes Depreciables</t>
  </si>
  <si>
    <t>Deprec. Acumulada de Bienes</t>
  </si>
  <si>
    <t>DEL  01/01/2011 AL 31/12/2011</t>
  </si>
  <si>
    <t>Ventas Brutas</t>
  </si>
  <si>
    <t>Gastos de Mantenimiento</t>
  </si>
  <si>
    <t>Depreciación</t>
  </si>
  <si>
    <t xml:space="preserve">Impuestos </t>
  </si>
  <si>
    <t>Otros gastos</t>
  </si>
  <si>
    <t>Gastos de Servicios</t>
  </si>
  <si>
    <t>Gastos Generales de Viajes</t>
  </si>
  <si>
    <t>Gastos de Asesorías</t>
  </si>
  <si>
    <t>UTILIDAD (PERDIDA) BRUTA</t>
  </si>
  <si>
    <t>UTILIDAD (PERDIDA) OPERATIVA</t>
  </si>
  <si>
    <t>UTILIDAD (PERDIDA) DEL EJERCICIO</t>
  </si>
  <si>
    <t>AL 31/12/2011</t>
  </si>
  <si>
    <t>Cuentas por cobrar clientes</t>
  </si>
  <si>
    <t>Inventario de Obras en Proceso</t>
  </si>
  <si>
    <t>ESTADO DE FLUJOS DE EFECTIVO</t>
  </si>
  <si>
    <t>Método Directo</t>
  </si>
  <si>
    <t>Actividades de Operación:</t>
  </si>
  <si>
    <t>Efectivo provisto en Venta de mercancias</t>
  </si>
  <si>
    <t>Efectivo  utilizado en compra de Inventario</t>
  </si>
  <si>
    <t>Efectivo pagado en Sueldos, Salarios, Seguridad social y Beneficios laborales</t>
  </si>
  <si>
    <t>Efectivo pagado en Honorarios, Servicios Básicos e Impuestos</t>
  </si>
  <si>
    <t>Efectivo Neto utilizado en Actividades de Operación</t>
  </si>
  <si>
    <t>Actividades de Inversión:</t>
  </si>
  <si>
    <t>Adquisicion de Mobiliario y Equipo de Oficina</t>
  </si>
  <si>
    <t>Adquisicion de equipo de computacion</t>
  </si>
  <si>
    <t>Efectivo Neto usado en Actividades de Inversión</t>
  </si>
  <si>
    <t>Actividades de Financiamiento:</t>
  </si>
  <si>
    <t>Total Efectivo provisto en Actividades de Operación</t>
  </si>
  <si>
    <t>Total Variación de Efectivo del Periodo</t>
  </si>
  <si>
    <t>Mas: Efectivo al Inicio del Periodo</t>
  </si>
  <si>
    <t>Total Efectivo al Final del Período</t>
  </si>
  <si>
    <t>Conciliación de la Utilidad Neta con el Efectivo Neto</t>
  </si>
  <si>
    <t xml:space="preserve"> generado por las Actividades de Operación</t>
  </si>
  <si>
    <t>Gasto de depreciacion</t>
  </si>
  <si>
    <t>Total Efectivo Utilizado en Actividades de Operación</t>
  </si>
  <si>
    <t>Período finalizado el 31/12/2011</t>
  </si>
  <si>
    <t>ESTADO DE MOVIMIENTO DE LAS CUENTAS DEL PATRIMONIO</t>
  </si>
  <si>
    <t>Descripción</t>
  </si>
  <si>
    <t>Aportes por Capitalizar</t>
  </si>
  <si>
    <t>Totales</t>
  </si>
  <si>
    <t>Utilidad del ejercicio</t>
  </si>
  <si>
    <t>Reserva del ejercicio</t>
  </si>
  <si>
    <t>Saldos al 31/12/2010</t>
  </si>
  <si>
    <t>CONAQUIA, S.A.</t>
  </si>
  <si>
    <t>Ingresos No operacionales</t>
  </si>
  <si>
    <t>COSTOS DE CONSTRUCCION</t>
  </si>
  <si>
    <t>Costo de Construccion y Ventas</t>
  </si>
  <si>
    <t xml:space="preserve">   Total COSTOS DE CONSTRUCCION</t>
  </si>
  <si>
    <t>Gasto de Depreciaciones</t>
  </si>
  <si>
    <t>INVERSIONES A LARGO PLAZO</t>
  </si>
  <si>
    <t>Cuentas por cobrar relacionadas</t>
  </si>
  <si>
    <t>Anticipo a Proveedores de Bienes y Servicios</t>
  </si>
  <si>
    <t>Cuentas por pagar comerciales</t>
  </si>
  <si>
    <t>Utilidad (Perdidas) No Distribuidas</t>
  </si>
  <si>
    <t>Utilidad (Perdidas) del Ejercicio</t>
  </si>
  <si>
    <t>Ingresos Extraordinarios</t>
  </si>
  <si>
    <t>Otros Gastos de Personal</t>
  </si>
  <si>
    <t>UTILIDAD (PERDIDA) ANTES DE ISLR</t>
  </si>
  <si>
    <t>Gasto de Impuesto sobre la Renta</t>
  </si>
  <si>
    <t>Apartado Reserva Legal</t>
  </si>
  <si>
    <t>UTILIDAD (PERDIDA) NETA DEL EJERCICIO</t>
  </si>
  <si>
    <t>RESULTADO TRASLADADO A UTILIDADES ACUMULADOS</t>
  </si>
  <si>
    <t>Inventario de Materia Primas</t>
  </si>
  <si>
    <t>Partidas Monetarias</t>
  </si>
  <si>
    <t>Saldos de Diciembre/2.010 expresado en unidad monetaria corriente de Diciembre/2.011</t>
  </si>
  <si>
    <t>Descripcion</t>
  </si>
  <si>
    <t>Fecha Origen</t>
  </si>
  <si>
    <t>Ipc Cierre</t>
  </si>
  <si>
    <t>Ipc Origen</t>
  </si>
  <si>
    <t>Factor</t>
  </si>
  <si>
    <t xml:space="preserve">Historico </t>
  </si>
  <si>
    <t>Reexpresado</t>
  </si>
  <si>
    <t xml:space="preserve">Total </t>
  </si>
  <si>
    <t>Partidas  No Monetarias</t>
  </si>
  <si>
    <t>Obra en proceso. Movimiento</t>
  </si>
  <si>
    <t>TOTAL</t>
  </si>
  <si>
    <t>Terrenos</t>
  </si>
  <si>
    <t>Terreno</t>
  </si>
  <si>
    <t>Equipos de Computacion</t>
  </si>
  <si>
    <t>Muebles y Enseres</t>
  </si>
  <si>
    <t>Total</t>
  </si>
  <si>
    <t>Vehiculos</t>
  </si>
  <si>
    <t>Deprec. Acumulada Maquinarias</t>
  </si>
  <si>
    <t>Deprec. Acumulada Equipos de Computacion</t>
  </si>
  <si>
    <t>Deprec. Acumulada Muebles y Enseres</t>
  </si>
  <si>
    <t>Deprec. Acumulada Vehiculos</t>
  </si>
  <si>
    <t>Aporte Inicial</t>
  </si>
  <si>
    <t>Aumento de capital en efectivo</t>
  </si>
  <si>
    <t>Utilidad al cierre 2009</t>
  </si>
  <si>
    <t>Prom Ene 09 - Dic 09</t>
  </si>
  <si>
    <t>Perdida al cierre 2010</t>
  </si>
  <si>
    <t>Prom Ene 10 - Dic 10</t>
  </si>
  <si>
    <t>Determinacion de Ajuste a Utilidad No Distribuida y REI Acum. (Derogado) (Forma 1)</t>
  </si>
  <si>
    <t>Historico</t>
  </si>
  <si>
    <t>Ajuste</t>
  </si>
  <si>
    <t>Perdida Neta del Ejercicio</t>
  </si>
  <si>
    <t>Verificacion</t>
  </si>
  <si>
    <t>Total Activos Reexpresados</t>
  </si>
  <si>
    <t>Total Pasivos Reexpresados</t>
  </si>
  <si>
    <t>Total Patrimonio Reexpresado</t>
  </si>
  <si>
    <t>U.N.D. Reexpresada y Ajustada con el R.E.I</t>
  </si>
  <si>
    <t>Perdida 2.010</t>
  </si>
  <si>
    <t>Reserva Dic 2.006</t>
  </si>
  <si>
    <t>Prom Ene 06 - Dic 06</t>
  </si>
  <si>
    <t>Reserva Dic 2.009</t>
  </si>
  <si>
    <t>Reserva Dic 2.010</t>
  </si>
  <si>
    <t>Inversiones en acciones y bonos</t>
  </si>
  <si>
    <t>Inversiones en Acciones y Bonos</t>
  </si>
  <si>
    <t>Adquisicion de acciones</t>
  </si>
  <si>
    <t>Inventario de Materias Primas</t>
  </si>
  <si>
    <t>Inventario de materias primas</t>
  </si>
  <si>
    <t>Compra de inmueble</t>
  </si>
  <si>
    <t>Maquinarias y Equipos</t>
  </si>
  <si>
    <t>Inmuebles</t>
  </si>
  <si>
    <t>* Morrocoy VCM 200</t>
  </si>
  <si>
    <t>* Riel para Morrocoy VCM 201 HAST</t>
  </si>
  <si>
    <t>* Soplete y Pico de Corte</t>
  </si>
  <si>
    <t>* Maquina Marca Millermatic</t>
  </si>
  <si>
    <t>* Punzadora Hidráulica de 3 TN</t>
  </si>
  <si>
    <t>* Punzadora Mecánica de 80 TN Bufalo</t>
  </si>
  <si>
    <t>* Maquinaria Miller Regency 250 XR</t>
  </si>
  <si>
    <t>* Plasma Miller Espectra 625</t>
  </si>
  <si>
    <t>* Taladro Radial</t>
  </si>
  <si>
    <t>* Vidrio Compactador</t>
  </si>
  <si>
    <t>* Maquinaria Miller 300 Amp</t>
  </si>
  <si>
    <t>* Montacargas Hyster 6900 LBS</t>
  </si>
  <si>
    <t>* Retroexcavadora Jhon Deer JD 40010C</t>
  </si>
  <si>
    <t>* Dosificadora de Concreto de un Saco</t>
  </si>
  <si>
    <t>* Compactadora de Plancha 500G Wakker</t>
  </si>
  <si>
    <t>* Semirca</t>
  </si>
  <si>
    <t>* Equipos de Trabajo (carga inicial)</t>
  </si>
  <si>
    <t>* Equipos electrónicos</t>
  </si>
  <si>
    <t>* Herramientas de trabajo</t>
  </si>
  <si>
    <t>* Maquinaria Millermatic 252</t>
  </si>
  <si>
    <t>* Maquinaria Millermatic Repres</t>
  </si>
  <si>
    <t>* 2 Maq.Millermatic SN LJ2404598B</t>
  </si>
  <si>
    <t>* Millermatic SN LJ240436B</t>
  </si>
  <si>
    <t>* 4C Equipemnt LLC</t>
  </si>
  <si>
    <t>* Hydradyne Hydraylic</t>
  </si>
  <si>
    <t>* Amazon</t>
  </si>
  <si>
    <t>* Compresor 2HP 100 LTS 110V</t>
  </si>
  <si>
    <t>* Montacargas Usado Hyster Mod.H2,50 XM</t>
  </si>
  <si>
    <t>* Montacargas Usado Hyster Mod.H2,60 XM</t>
  </si>
  <si>
    <t>* Eslinfa, Llaves, Cadenas; guallas y Otros</t>
  </si>
  <si>
    <t>* Llave de Tubo Ajustable</t>
  </si>
  <si>
    <t>* Herrinport, C.A. Mechas</t>
  </si>
  <si>
    <t>* Mechas</t>
  </si>
  <si>
    <t>* Equipos y Maquinarias de Soldar</t>
  </si>
  <si>
    <t>* Máquina de Soldar Mig</t>
  </si>
  <si>
    <t>* Esmeriles de 7</t>
  </si>
  <si>
    <t>* Maquinas de Soldadura</t>
  </si>
  <si>
    <t>* Mandarrias y Martillos</t>
  </si>
  <si>
    <t xml:space="preserve">* Taladro </t>
  </si>
  <si>
    <t>* Alizador de Cemento</t>
  </si>
  <si>
    <t>* Equipos</t>
  </si>
  <si>
    <t>* Compra de CPU</t>
  </si>
  <si>
    <t>* Compra de Computadora</t>
  </si>
  <si>
    <t>* Siragón Destop + Impresora Epson Canon</t>
  </si>
  <si>
    <t>* 2 Compu Siragon Desktop E2140</t>
  </si>
  <si>
    <t>* Intel Duo Fact Compu Athlon</t>
  </si>
  <si>
    <t>* Imp.Samsung Laser CLX2160</t>
  </si>
  <si>
    <t>* Integral Duo RT</t>
  </si>
  <si>
    <t>* Impresora HP 4800</t>
  </si>
  <si>
    <t>* Central Telefónica Panasonic</t>
  </si>
  <si>
    <t>* Mobiliario de Oficina</t>
  </si>
  <si>
    <t>* Equipos de Oficina</t>
  </si>
  <si>
    <t>* Escritorio y Archivo</t>
  </si>
  <si>
    <t>* Parker Aire Split 12000 BTU</t>
  </si>
  <si>
    <t>* Silla Office Casa Conaquia</t>
  </si>
  <si>
    <t>* Enfriador de Botellon Los Alpes</t>
  </si>
  <si>
    <t>* Aire Split Casa Conaquia</t>
  </si>
  <si>
    <t>* Filtro de Agua 110V</t>
  </si>
  <si>
    <t>* Escaparate Metálico Lockers Entrepaños</t>
  </si>
  <si>
    <t>* Kodiak Chevrolet 2006 155-SAK</t>
  </si>
  <si>
    <t>* Compra de Camión NPR</t>
  </si>
  <si>
    <t>* Compra de Plataforma</t>
  </si>
  <si>
    <t>* Compra de Camión De Leo Motors</t>
  </si>
  <si>
    <t>* De Leo Motors</t>
  </si>
  <si>
    <t>* Grua Kodiak</t>
  </si>
  <si>
    <t>* Batea Tres Ejes</t>
  </si>
  <si>
    <t>* Camioneta Cheyenne</t>
  </si>
  <si>
    <t>* Camioneta Grand Cherokee Limite 2009</t>
  </si>
  <si>
    <t>* Grua Hidráulica Carlo Pesci Spa  Serial 22010</t>
  </si>
  <si>
    <t>* Grua Hidráulica PM Naranja Serial 5465420R</t>
  </si>
  <si>
    <t>* Toyota Hylux 4X4</t>
  </si>
  <si>
    <t xml:space="preserve">* VehículoPlaca 88R PAA </t>
  </si>
  <si>
    <t>(Expresado en bolivares fuertes constantes del 31/12/2011)</t>
  </si>
  <si>
    <r>
      <t xml:space="preserve">Utilidad (Perdida) del Ejercicio </t>
    </r>
    <r>
      <rPr>
        <i/>
        <sz val="11"/>
        <rFont val="Calibri"/>
        <family val="2"/>
      </rPr>
      <t>Actualizada</t>
    </r>
  </si>
  <si>
    <r>
      <t xml:space="preserve">Utilidad (Perdidas) No Distribuidas </t>
    </r>
    <r>
      <rPr>
        <i/>
        <sz val="11"/>
        <rFont val="Calibri"/>
        <family val="2"/>
      </rPr>
      <t>Actualizada</t>
    </r>
  </si>
  <si>
    <r>
      <t xml:space="preserve">Reserva Legal </t>
    </r>
    <r>
      <rPr>
        <i/>
        <sz val="11"/>
        <rFont val="Calibri"/>
        <family val="2"/>
      </rPr>
      <t>Actualizada</t>
    </r>
  </si>
  <si>
    <r>
      <t xml:space="preserve">Capital Social </t>
    </r>
    <r>
      <rPr>
        <i/>
        <sz val="11"/>
        <rFont val="Calibri"/>
        <family val="2"/>
      </rPr>
      <t>Actualizado</t>
    </r>
  </si>
  <si>
    <t>(Equivalente al Capital Nominal de BsF. 1.000.000,00)</t>
  </si>
  <si>
    <t>Estado de Resultados Monetarios</t>
  </si>
  <si>
    <t>Periodo Finalizado el 31 de Diciembre de 2.011</t>
  </si>
  <si>
    <t>(Expresado en bolivares constantes)</t>
  </si>
  <si>
    <t>Posicion Monetaria Neta  (31/12/2.010)</t>
  </si>
  <si>
    <t>Activos Monetarios:</t>
  </si>
  <si>
    <t>REME</t>
  </si>
  <si>
    <t>Pasivos Monetarios:</t>
  </si>
  <si>
    <t>Posición Monetaria Neta Inicial</t>
  </si>
  <si>
    <t>Posicion Monetaria Neta  (31/12/2.011)</t>
  </si>
  <si>
    <t>Aumentos del Ejercicio:</t>
  </si>
  <si>
    <t>Disminuciones del Ejercicio:</t>
  </si>
  <si>
    <t>Ganancia Monetaria</t>
  </si>
  <si>
    <t>Islr por Pagar</t>
  </si>
  <si>
    <t>Adquisicion de Activos depreciables</t>
  </si>
  <si>
    <t>Adquisicion de materias primas</t>
  </si>
  <si>
    <t>Ajuste a la Utilidad No Distribuida</t>
  </si>
  <si>
    <t>Inventario de insumos</t>
  </si>
  <si>
    <t>A usar</t>
  </si>
  <si>
    <t>Utilidad No Distribuida</t>
  </si>
  <si>
    <t>Ajuste de Utilidades no distribuidas</t>
  </si>
  <si>
    <t>(Expresado en bolivares fuertes constantes)</t>
  </si>
  <si>
    <t>Ajuste a Partidas del Estado de Resultados</t>
  </si>
  <si>
    <t>Partidas o Cuentas</t>
  </si>
  <si>
    <t>Prom Ene11 - Dic11</t>
  </si>
  <si>
    <t>Prom Ene11 - Dic12</t>
  </si>
  <si>
    <t>Costo (Beneficio) Integral de Financ.:</t>
  </si>
  <si>
    <t>Ganancias Monetarias</t>
  </si>
  <si>
    <t>Ventas de inventario de obras en proceso</t>
  </si>
  <si>
    <t>Ajuste del Ejercicio</t>
  </si>
  <si>
    <t>Saldos al 31/12/2011</t>
  </si>
  <si>
    <t>BALANCE GENERAL COMPARATIVO 2011 - 2010</t>
  </si>
  <si>
    <t>listo</t>
  </si>
  <si>
    <t>Ajuste en patrimonio por ejercicios anteriores</t>
  </si>
  <si>
    <t>Aumento de Cuentas por Cobrar Clientes</t>
  </si>
  <si>
    <t>Aumento de Cuentas por Cobrar Relaciondas</t>
  </si>
  <si>
    <t>Aumento de Anticipo a proveedores de bienes y servicios</t>
  </si>
  <si>
    <t>Aumento de Materias primas</t>
  </si>
  <si>
    <t>Disminucion de Inventario de obras en proceso</t>
  </si>
  <si>
    <t>Disminucion de Impuesto pagado por anticipado</t>
  </si>
  <si>
    <t>Aumento de efectos por pagar</t>
  </si>
  <si>
    <t>Disminucion de Cuentas por pagar</t>
  </si>
  <si>
    <t>Aumento de ISLR por pagar</t>
  </si>
  <si>
    <t>Disminucion de Cuentas por pagar accionistas</t>
  </si>
  <si>
    <t>Aumento de Retenciones por Pagar</t>
  </si>
  <si>
    <t>Aumento de Prestaciones Sociales por Pagar</t>
  </si>
  <si>
    <t>Disminucion de Anticipo sobre Ventas</t>
  </si>
  <si>
    <t>Ganancias monetarias</t>
  </si>
  <si>
    <t xml:space="preserve">Revelacion exigida por DPC 10 Revisada e Integrada </t>
  </si>
  <si>
    <t>(Parrafo 141)</t>
  </si>
  <si>
    <t>Histórico</t>
  </si>
  <si>
    <t>Efecto Monetario</t>
  </si>
  <si>
    <t>Actividades operativas</t>
  </si>
  <si>
    <t>Actividades de Inversión</t>
  </si>
  <si>
    <t>Actividades de financiamiento</t>
  </si>
  <si>
    <t>Efectivo</t>
  </si>
  <si>
    <t>Disminucion de Cuentas por Cobrar Clientes</t>
  </si>
  <si>
    <t>Disminucion de Anticipo a proveedores de bienes y servicios</t>
  </si>
  <si>
    <t>Disminucion de Prestaciones Sociales por Pagar</t>
  </si>
  <si>
    <t>Reserva para Aumento de Capital</t>
  </si>
  <si>
    <t>EJEMPLO, S.A.</t>
  </si>
  <si>
    <t>FERRETERIA LA PROFESIONAL, C.A.</t>
  </si>
  <si>
    <t>Cuadro Resumen de Ventas</t>
  </si>
  <si>
    <t>Ventas Año 2.013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</si>
  <si>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</si>
  <si>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</si>
  <si>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</si>
  <si>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</si>
  <si>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</si>
  <si>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</si>
  <si>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</si>
  <si>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</si>
  <si>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</si>
  <si>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</si>
  <si>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</si>
  <si>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</si>
  <si>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Accesorios baño      </t>
  </si>
  <si>
    <t>Aceites      </t>
  </si>
  <si>
    <t>Adhesivos      </t>
  </si>
  <si>
    <t>Adornos      </t>
  </si>
  <si>
    <t>Alambre      </t>
  </si>
  <si>
    <t>Alcayatas      </t>
  </si>
  <si>
    <t>Alcotanas      </t>
  </si>
  <si>
    <t>Aldaba      </t>
  </si>
  <si>
    <t>Aldabilla      </t>
  </si>
  <si>
    <t>Alicates      </t>
  </si>
  <si>
    <t>Alzapaños      </t>
  </si>
  <si>
    <t>Amaestramiento      </t>
  </si>
  <si>
    <t>Amoladoras      </t>
  </si>
  <si>
    <t>Angulo      </t>
  </si>
  <si>
    <t>Anillas      </t>
  </si>
  <si>
    <t>Antipanicos      </t>
  </si>
  <si>
    <t>Antirrobos      </t>
  </si>
  <si>
    <t>Aplacadoras      </t>
  </si>
  <si>
    <t>Apliques      </t>
  </si>
  <si>
    <t>Apliques para luz      </t>
  </si>
  <si>
    <t>Aprieto      </t>
  </si>
  <si>
    <t>Arandelas      </t>
  </si>
  <si>
    <t>Archivaddores      </t>
  </si>
  <si>
    <t>Arcos de segueta      </t>
  </si>
  <si>
    <t>Arcos de sierra      </t>
  </si>
  <si>
    <t>Armeros      </t>
  </si>
  <si>
    <t>Asas      </t>
  </si>
  <si>
    <t>Aspiradores      </t>
  </si>
  <si>
    <t>Avellanadores      </t>
  </si>
  <si>
    <t>Bancos      </t>
  </si>
  <si>
    <t>Barandilla      </t>
  </si>
  <si>
    <t>Barras      </t>
  </si>
  <si>
    <t>Barrenas      </t>
  </si>
  <si>
    <t>Bases      </t>
  </si>
  <si>
    <t>Bateriaz</t>
  </si>
  <si>
    <t>Berbiquis      </t>
  </si>
  <si>
    <t>Bisagras      </t>
  </si>
  <si>
    <t>Bloqueador      </t>
  </si>
  <si>
    <t>Bocallaves      </t>
  </si>
  <si>
    <t>Bombilos      </t>
  </si>
  <si>
    <t>Botiquines      </t>
  </si>
  <si>
    <t>Brocas      </t>
  </si>
  <si>
    <t>Burletes      </t>
  </si>
  <si>
    <t>Buzones      </t>
  </si>
  <si>
    <t>Cadenas      </t>
  </si>
  <si>
    <t>Cajas fuertes      </t>
  </si>
  <si>
    <t>Calibres      </t>
  </si>
  <si>
    <t>Calzado      </t>
  </si>
  <si>
    <t>Campanas      </t>
  </si>
  <si>
    <t>Candados      </t>
  </si>
  <si>
    <t>Cantoneras      </t>
  </si>
  <si>
    <t>Capitel      </t>
  </si>
  <si>
    <t>Cariatides      </t>
  </si>
  <si>
    <t>Carretilla      </t>
  </si>
  <si>
    <t>Carriles      </t>
  </si>
  <si>
    <t>Cartelas      </t>
  </si>
  <si>
    <t>Casquillos      </t>
  </si>
  <si>
    <t>Cazoletas      </t>
  </si>
  <si>
    <t>Cepillos      </t>
  </si>
  <si>
    <t>Cerraderos      </t>
  </si>
  <si>
    <t>Cerraduras      </t>
  </si>
  <si>
    <t>Cerraduras mueble      </t>
  </si>
  <si>
    <t>Cerrojillos      </t>
  </si>
  <si>
    <t>Cerrojo      </t>
  </si>
  <si>
    <t>Cestas      </t>
  </si>
  <si>
    <t>Chapas      </t>
  </si>
  <si>
    <t>Cierrapuertas      </t>
  </si>
  <si>
    <t>Cierre      </t>
  </si>
  <si>
    <t>Cinceles      </t>
  </si>
  <si>
    <t>Cinta      </t>
  </si>
  <si>
    <t>Cinturoneros      </t>
  </si>
  <si>
    <t>Cizallas      </t>
  </si>
  <si>
    <t>Clavadoras      </t>
  </si>
  <si>
    <t>Clavoz</t>
  </si>
  <si>
    <t>Colgantes      </t>
  </si>
  <si>
    <t>Colgar      </t>
  </si>
  <si>
    <t>Collarines      </t>
  </si>
  <si>
    <t>Compases      </t>
  </si>
  <si>
    <t>Compresores      </t>
  </si>
  <si>
    <t>Condena      </t>
  </si>
  <si>
    <t>Contactos      </t>
  </si>
  <si>
    <t>Corbateros      </t>
  </si>
  <si>
    <t>Coronas      </t>
  </si>
  <si>
    <t>Correderas      </t>
  </si>
  <si>
    <t>Cortador      </t>
  </si>
  <si>
    <t>Cortafrios      </t>
  </si>
  <si>
    <t>Cortatubos      </t>
  </si>
  <si>
    <t>Cremonas      </t>
  </si>
  <si>
    <t>Cuadradillo      </t>
  </si>
  <si>
    <t>Cuchillos      </t>
  </si>
  <si>
    <t>Cuerda      </t>
  </si>
  <si>
    <t>Cutters      </t>
  </si>
  <si>
    <t>Decaparadores      </t>
  </si>
  <si>
    <t>Desbloqueo      </t>
  </si>
  <si>
    <t>Destornilladores      </t>
  </si>
  <si>
    <t>Discos      </t>
  </si>
  <si>
    <t>Dosificadores      </t>
  </si>
  <si>
    <t>Dremel      </t>
  </si>
  <si>
    <t>Ventas Año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</si>
</sst>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-* #,##0.00\ _€_-;\-* #,##0.00\ _€_-;_-* &quot;-&quot;??\ _€_-;_-@_-"/>
    <numFmt numFmtId="165" formatCode="_(* #,##0.00_);_(* \(#,##0.00\);_(* &quot;-&quot;??_);_(@_)"/>
    <numFmt numFmtId="166" formatCode="#,##0.000000"/>
    <numFmt numFmtId="167" formatCode="_ * #,##0.0000000000_ ;_ * \-#,##0.0000000000_ ;_ * &quot;-&quot;??_ ;_ @_ 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name val="Book Antiqua"/>
      <family val="1"/>
    </font>
    <font>
      <sz val="11"/>
      <name val="Tahoma"/>
      <family val="2"/>
    </font>
    <font>
      <b/>
      <sz val="11"/>
      <name val="Tahoma"/>
      <family val="2"/>
    </font>
    <font>
      <i/>
      <sz val="11"/>
      <name val="Calibri"/>
      <family val="2"/>
    </font>
    <font>
      <b/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4"/>
      <name val="Calibri"/>
      <family val="2"/>
      <scheme val="minor"/>
    </font>
    <font>
      <b/>
      <u val="double"/>
      <sz val="10"/>
      <name val="Calibri"/>
      <family val="2"/>
      <scheme val="minor"/>
    </font>
    <font>
      <sz val="12"/>
      <name val="Calibri"/>
      <family val="2"/>
      <scheme val="minor"/>
    </font>
    <font>
      <b/>
      <i/>
      <u val="double"/>
      <sz val="14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Font="1"/>
    <xf numFmtId="0" fontId="9" fillId="0" borderId="0" xfId="2" applyFont="1" applyFill="1" applyAlignment="1" applyProtection="1">
      <alignment horizontal="left" vertical="top"/>
      <protection locked="0"/>
    </xf>
    <xf numFmtId="4" fontId="9" fillId="0" borderId="0" xfId="2" applyNumberFormat="1" applyFont="1" applyFill="1" applyAlignment="1" applyProtection="1">
      <alignment horizontal="right" vertical="top"/>
      <protection locked="0"/>
    </xf>
    <xf numFmtId="4" fontId="9" fillId="0" borderId="1" xfId="2" applyNumberFormat="1" applyFont="1" applyFill="1" applyBorder="1" applyAlignment="1" applyProtection="1">
      <alignment horizontal="right" vertical="top"/>
      <protection locked="0"/>
    </xf>
    <xf numFmtId="4" fontId="9" fillId="0" borderId="0" xfId="2" applyNumberFormat="1" applyFont="1"/>
    <xf numFmtId="4" fontId="10" fillId="0" borderId="2" xfId="2" applyNumberFormat="1" applyFont="1" applyFill="1" applyBorder="1" applyAlignment="1" applyProtection="1">
      <alignment horizontal="right" vertical="top"/>
      <protection locked="0"/>
    </xf>
    <xf numFmtId="0" fontId="11" fillId="0" borderId="0" xfId="2" applyFont="1" applyFill="1" applyAlignment="1" applyProtection="1">
      <alignment horizontal="left" vertical="top"/>
      <protection locked="0"/>
    </xf>
    <xf numFmtId="4" fontId="10" fillId="0" borderId="0" xfId="2" applyNumberFormat="1" applyFont="1" applyFill="1" applyAlignment="1" applyProtection="1">
      <alignment horizontal="right" vertical="top"/>
      <protection locked="0"/>
    </xf>
    <xf numFmtId="0" fontId="0" fillId="0" borderId="0" xfId="0" applyFont="1" applyBorder="1"/>
    <xf numFmtId="0" fontId="10" fillId="0" borderId="0" xfId="2" applyFont="1" applyFill="1" applyAlignment="1" applyProtection="1">
      <alignment horizontal="center" vertical="top"/>
      <protection locked="0"/>
    </xf>
    <xf numFmtId="0" fontId="12" fillId="0" borderId="0" xfId="0" applyFont="1" applyAlignment="1">
      <alignment horizontal="center"/>
    </xf>
    <xf numFmtId="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/>
    <xf numFmtId="4" fontId="12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 applyBorder="1"/>
    <xf numFmtId="4" fontId="12" fillId="0" borderId="0" xfId="0" applyNumberFormat="1" applyFont="1" applyBorder="1"/>
    <xf numFmtId="4" fontId="13" fillId="0" borderId="0" xfId="0" applyNumberFormat="1" applyFont="1"/>
    <xf numFmtId="0" fontId="12" fillId="0" borderId="0" xfId="0" applyFont="1" applyAlignment="1"/>
    <xf numFmtId="4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left"/>
    </xf>
    <xf numFmtId="0" fontId="2" fillId="0" borderId="0" xfId="0" applyFont="1"/>
    <xf numFmtId="43" fontId="12" fillId="0" borderId="0" xfId="0" applyNumberFormat="1" applyFont="1"/>
    <xf numFmtId="43" fontId="12" fillId="0" borderId="1" xfId="0" applyNumberFormat="1" applyFont="1" applyBorder="1"/>
    <xf numFmtId="43" fontId="13" fillId="0" borderId="3" xfId="0" applyNumberFormat="1" applyFont="1" applyBorder="1"/>
    <xf numFmtId="43" fontId="12" fillId="0" borderId="0" xfId="0" applyNumberFormat="1" applyFont="1" applyBorder="1"/>
    <xf numFmtId="43" fontId="13" fillId="0" borderId="0" xfId="0" applyNumberFormat="1" applyFont="1" applyBorder="1"/>
    <xf numFmtId="43" fontId="13" fillId="0" borderId="0" xfId="0" applyNumberFormat="1" applyFont="1"/>
    <xf numFmtId="43" fontId="13" fillId="0" borderId="1" xfId="0" applyNumberFormat="1" applyFont="1" applyBorder="1"/>
    <xf numFmtId="0" fontId="15" fillId="0" borderId="0" xfId="0" applyFont="1" applyAlignment="1">
      <alignment horizontal="left"/>
    </xf>
    <xf numFmtId="3" fontId="0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0" fillId="0" borderId="0" xfId="0" applyNumberFormat="1" applyFont="1"/>
    <xf numFmtId="0" fontId="12" fillId="0" borderId="0" xfId="0" applyFont="1" applyAlignment="1">
      <alignment horizontal="center"/>
    </xf>
    <xf numFmtId="165" fontId="0" fillId="0" borderId="4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14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3" fontId="17" fillId="0" borderId="0" xfId="0" applyNumberFormat="1" applyFont="1"/>
    <xf numFmtId="165" fontId="17" fillId="0" borderId="0" xfId="0" applyNumberFormat="1" applyFont="1"/>
    <xf numFmtId="0" fontId="0" fillId="0" borderId="0" xfId="0" applyFont="1" applyAlignment="1">
      <alignment horizontal="center"/>
    </xf>
    <xf numFmtId="165" fontId="0" fillId="0" borderId="6" xfId="0" applyNumberFormat="1" applyFont="1" applyBorder="1"/>
    <xf numFmtId="165" fontId="13" fillId="0" borderId="0" xfId="0" applyNumberFormat="1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4" fillId="0" borderId="0" xfId="0" applyNumberFormat="1" applyFont="1"/>
    <xf numFmtId="165" fontId="13" fillId="0" borderId="0" xfId="0" applyNumberFormat="1" applyFont="1" applyBorder="1"/>
    <xf numFmtId="0" fontId="0" fillId="0" borderId="0" xfId="0" applyFont="1"/>
    <xf numFmtId="0" fontId="19" fillId="0" borderId="7" xfId="0" applyFont="1" applyFill="1" applyBorder="1" applyAlignment="1">
      <alignment horizontal="center" vertical="distributed"/>
    </xf>
    <xf numFmtId="0" fontId="19" fillId="0" borderId="8" xfId="0" applyFont="1" applyFill="1" applyBorder="1" applyAlignment="1">
      <alignment horizontal="center" vertical="distributed"/>
    </xf>
    <xf numFmtId="0" fontId="19" fillId="0" borderId="9" xfId="0" applyFont="1" applyFill="1" applyBorder="1" applyAlignment="1">
      <alignment horizontal="center" vertical="distributed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4" fillId="0" borderId="10" xfId="0" applyFont="1" applyBorder="1" applyAlignment="1">
      <alignment horizontal="left"/>
    </xf>
    <xf numFmtId="165" fontId="0" fillId="0" borderId="11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165" fontId="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165" fontId="17" fillId="0" borderId="14" xfId="0" applyNumberFormat="1" applyFont="1" applyBorder="1" applyAlignment="1">
      <alignment horizontal="center"/>
    </xf>
    <xf numFmtId="165" fontId="17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 applyAlignment="1"/>
    <xf numFmtId="4" fontId="4" fillId="0" borderId="0" xfId="0" applyNumberFormat="1" applyFont="1" applyAlignment="1"/>
    <xf numFmtId="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2" applyFont="1" applyFill="1" applyBorder="1" applyAlignment="1" applyProtection="1">
      <alignment horizontal="center" vertical="top"/>
      <protection locked="0"/>
    </xf>
    <xf numFmtId="4" fontId="10" fillId="0" borderId="0" xfId="2" applyNumberFormat="1" applyFont="1" applyFill="1" applyBorder="1" applyAlignment="1" applyProtection="1">
      <alignment horizontal="right" vertical="top"/>
      <protection locked="0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9" fillId="0" borderId="0" xfId="2" applyNumberFormat="1" applyFont="1" applyFill="1" applyBorder="1" applyAlignment="1" applyProtection="1">
      <alignment horizontal="right" vertical="top"/>
      <protection locked="0"/>
    </xf>
    <xf numFmtId="0" fontId="9" fillId="0" borderId="0" xfId="2" applyFont="1" applyFill="1" applyAlignment="1" applyProtection="1">
      <alignment horizontal="center" vertical="top"/>
      <protection locked="0"/>
    </xf>
    <xf numFmtId="0" fontId="8" fillId="0" borderId="0" xfId="0" applyFont="1"/>
    <xf numFmtId="0" fontId="10" fillId="0" borderId="0" xfId="2" applyFont="1" applyFill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17" fontId="0" fillId="0" borderId="0" xfId="0" applyNumberFormat="1" applyFont="1" applyAlignment="1">
      <alignment horizontal="center"/>
    </xf>
    <xf numFmtId="166" fontId="0" fillId="0" borderId="0" xfId="0" applyNumberFormat="1" applyFont="1"/>
    <xf numFmtId="4" fontId="0" fillId="0" borderId="0" xfId="0" applyNumberFormat="1" applyFont="1"/>
    <xf numFmtId="4" fontId="0" fillId="0" borderId="5" xfId="0" applyNumberFormat="1" applyFont="1" applyBorder="1"/>
    <xf numFmtId="4" fontId="14" fillId="0" borderId="0" xfId="0" applyNumberFormat="1" applyFont="1"/>
    <xf numFmtId="4" fontId="0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17" fontId="0" fillId="0" borderId="0" xfId="0" applyNumberFormat="1" applyAlignment="1">
      <alignment horizontal="center"/>
    </xf>
    <xf numFmtId="4" fontId="0" fillId="0" borderId="0" xfId="0" applyNumberFormat="1" applyFont="1" applyBorder="1"/>
    <xf numFmtId="4" fontId="0" fillId="0" borderId="15" xfId="0" applyNumberFormat="1" applyFont="1" applyBorder="1"/>
    <xf numFmtId="4" fontId="13" fillId="0" borderId="0" xfId="0" applyNumberFormat="1" applyFont="1" applyAlignment="1"/>
    <xf numFmtId="4" fontId="13" fillId="0" borderId="4" xfId="0" applyNumberFormat="1" applyFont="1" applyBorder="1" applyAlignment="1"/>
    <xf numFmtId="0" fontId="13" fillId="0" borderId="0" xfId="0" applyFont="1" applyAlignment="1">
      <alignment horizontal="center" wrapText="1"/>
    </xf>
    <xf numFmtId="0" fontId="0" fillId="0" borderId="0" xfId="0" applyFont="1" applyBorder="1" applyAlignment="1"/>
    <xf numFmtId="4" fontId="13" fillId="0" borderId="0" xfId="0" applyNumberFormat="1" applyFont="1" applyBorder="1"/>
    <xf numFmtId="0" fontId="0" fillId="0" borderId="0" xfId="0" applyFont="1" applyBorder="1" applyAlignment="1">
      <alignment horizontal="center"/>
    </xf>
    <xf numFmtId="43" fontId="0" fillId="0" borderId="0" xfId="0" applyNumberFormat="1"/>
    <xf numFmtId="4" fontId="0" fillId="0" borderId="0" xfId="0" applyNumberFormat="1"/>
    <xf numFmtId="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/>
    <xf numFmtId="43" fontId="0" fillId="0" borderId="0" xfId="0" applyNumberFormat="1" applyBorder="1"/>
    <xf numFmtId="0" fontId="22" fillId="0" borderId="0" xfId="0" applyFont="1"/>
    <xf numFmtId="0" fontId="23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" fontId="16" fillId="0" borderId="0" xfId="0" applyNumberFormat="1" applyFont="1"/>
    <xf numFmtId="4" fontId="12" fillId="0" borderId="0" xfId="0" applyNumberFormat="1" applyFont="1" applyAlignment="1"/>
    <xf numFmtId="4" fontId="12" fillId="0" borderId="4" xfId="0" applyNumberFormat="1" applyFont="1" applyBorder="1" applyAlignment="1"/>
    <xf numFmtId="4" fontId="12" fillId="0" borderId="0" xfId="0" applyNumberFormat="1" applyFont="1" applyBorder="1" applyAlignment="1"/>
    <xf numFmtId="4" fontId="12" fillId="0" borderId="15" xfId="0" applyNumberFormat="1" applyFont="1" applyBorder="1" applyAlignment="1"/>
    <xf numFmtId="4" fontId="13" fillId="0" borderId="4" xfId="0" applyNumberFormat="1" applyFont="1" applyBorder="1"/>
    <xf numFmtId="0" fontId="24" fillId="0" borderId="0" xfId="0" applyFont="1" applyAlignment="1">
      <alignment horizontal="center"/>
    </xf>
    <xf numFmtId="4" fontId="24" fillId="0" borderId="0" xfId="0" applyNumberFormat="1" applyFont="1"/>
    <xf numFmtId="43" fontId="12" fillId="0" borderId="15" xfId="0" applyNumberFormat="1" applyFont="1" applyBorder="1"/>
    <xf numFmtId="0" fontId="8" fillId="0" borderId="0" xfId="0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7" fillId="0" borderId="0" xfId="3" applyNumberFormat="1" applyFont="1"/>
    <xf numFmtId="4" fontId="0" fillId="0" borderId="5" xfId="0" applyNumberFormat="1" applyBorder="1"/>
    <xf numFmtId="167" fontId="0" fillId="0" borderId="0" xfId="0" applyNumberFormat="1"/>
    <xf numFmtId="43" fontId="0" fillId="0" borderId="0" xfId="0" applyNumberFormat="1" applyFont="1"/>
    <xf numFmtId="0" fontId="23" fillId="0" borderId="0" xfId="0" applyFont="1"/>
    <xf numFmtId="0" fontId="16" fillId="0" borderId="0" xfId="0" applyFont="1" applyAlignment="1">
      <alignment horizontal="left"/>
    </xf>
    <xf numFmtId="165" fontId="12" fillId="0" borderId="0" xfId="0" applyNumberFormat="1" applyFont="1"/>
    <xf numFmtId="4" fontId="1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left"/>
    </xf>
    <xf numFmtId="0" fontId="15" fillId="0" borderId="0" xfId="0" applyFont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justify"/>
    </xf>
    <xf numFmtId="43" fontId="0" fillId="0" borderId="15" xfId="0" applyNumberFormat="1" applyFont="1" applyBorder="1"/>
    <xf numFmtId="43" fontId="13" fillId="0" borderId="16" xfId="0" applyNumberFormat="1" applyFont="1" applyBorder="1"/>
    <xf numFmtId="43" fontId="12" fillId="0" borderId="27" xfId="0" applyNumberFormat="1" applyFont="1" applyBorder="1"/>
    <xf numFmtId="43" fontId="12" fillId="0" borderId="28" xfId="0" applyNumberFormat="1" applyFont="1" applyBorder="1"/>
    <xf numFmtId="43" fontId="12" fillId="0" borderId="29" xfId="0" applyNumberFormat="1" applyFont="1" applyBorder="1"/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/>
    <xf numFmtId="0" fontId="24" fillId="2" borderId="17" xfId="0" applyFont="1" applyFill="1" applyBorder="1" applyAlignment="1">
      <alignment horizontal="center"/>
    </xf>
    <xf numFmtId="0" fontId="24" fillId="2" borderId="18" xfId="0" applyFont="1" applyFill="1" applyBorder="1" applyAlignment="1">
      <alignment horizontal="center"/>
    </xf>
    <xf numFmtId="0" fontId="16" fillId="0" borderId="19" xfId="0" applyFont="1" applyBorder="1"/>
    <xf numFmtId="164" fontId="16" fillId="0" borderId="20" xfId="0" applyNumberFormat="1" applyFont="1" applyBorder="1"/>
    <xf numFmtId="164" fontId="16" fillId="0" borderId="12" xfId="0" applyNumberFormat="1" applyFont="1" applyBorder="1"/>
    <xf numFmtId="164" fontId="16" fillId="0" borderId="11" xfId="0" applyNumberFormat="1" applyFont="1" applyBorder="1"/>
    <xf numFmtId="0" fontId="14" fillId="0" borderId="21" xfId="0" applyFont="1" applyBorder="1" applyAlignment="1">
      <alignment horizontal="center"/>
    </xf>
    <xf numFmtId="164" fontId="14" fillId="0" borderId="22" xfId="0" applyNumberFormat="1" applyFont="1" applyBorder="1"/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3" fontId="12" fillId="0" borderId="31" xfId="0" applyNumberFormat="1" applyFont="1" applyBorder="1"/>
    <xf numFmtId="43" fontId="12" fillId="0" borderId="30" xfId="0" applyNumberFormat="1" applyFont="1" applyBorder="1"/>
    <xf numFmtId="43" fontId="12" fillId="0" borderId="32" xfId="0" applyNumberFormat="1" applyFont="1" applyBorder="1"/>
    <xf numFmtId="43" fontId="12" fillId="0" borderId="34" xfId="0" applyNumberFormat="1" applyFont="1" applyBorder="1"/>
    <xf numFmtId="43" fontId="12" fillId="0" borderId="35" xfId="0" applyNumberFormat="1" applyFont="1" applyBorder="1"/>
    <xf numFmtId="4" fontId="12" fillId="0" borderId="33" xfId="0" applyNumberFormat="1" applyFont="1" applyBorder="1"/>
    <xf numFmtId="43" fontId="12" fillId="0" borderId="33" xfId="0" applyNumberFormat="1" applyFont="1" applyBorder="1"/>
    <xf numFmtId="0" fontId="0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" fontId="24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24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/>
    </xf>
    <xf numFmtId="0" fontId="33" fillId="2" borderId="26" xfId="0" applyFont="1" applyFill="1" applyBorder="1" applyAlignment="1">
      <alignment horizontal="center"/>
    </xf>
    <xf numFmtId="0" fontId="33" fillId="2" borderId="20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 2" xfId="2"/>
    <cellStyle name="Porcentaje" xfId="3" builtinId="5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a3" displayName="Tabla3" ref="A58:G72" totalsRowShown="0" headerRowDxfId="71" dataDxfId="70">
  <autoFilter ref="A58:G72"/>
  <tableColumns count="7">
    <tableColumn id="1" name="Descripcion"/>
    <tableColumn id="2" name="Fecha Origen" dataDxfId="69"/>
    <tableColumn id="3" name="Ipc Cierre" dataDxfId="68"/>
    <tableColumn id="4" name="Ipc Origen" dataDxfId="67"/>
    <tableColumn id="5" name="Factor" dataDxfId="66"/>
    <tableColumn id="6" name="Historico " dataDxfId="65"/>
    <tableColumn id="7" name="Reexpresado" dataDxfId="6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77:G93" totalsRowShown="0" headerRowDxfId="63" dataDxfId="62">
  <autoFilter ref="A77:G93"/>
  <tableColumns count="7">
    <tableColumn id="1" name="Descripcion"/>
    <tableColumn id="2" name="Fecha Origen" dataDxfId="61"/>
    <tableColumn id="3" name="Ipc Cierre" dataDxfId="60"/>
    <tableColumn id="4" name="Ipc Origen" dataDxfId="59"/>
    <tableColumn id="5" name="Factor" dataDxfId="58"/>
    <tableColumn id="6" name="Historico " dataDxfId="57"/>
    <tableColumn id="7" name="Reexpresado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98:G118" totalsRowShown="0" headerRowDxfId="55" dataDxfId="54">
  <autoFilter ref="A98:G118"/>
  <tableColumns count="7">
    <tableColumn id="1" name="Descripcion"/>
    <tableColumn id="2" name="Fecha Origen" dataDxfId="53"/>
    <tableColumn id="3" name="Ipc Cierre" dataDxfId="52"/>
    <tableColumn id="4" name="Ipc Origen" dataDxfId="51"/>
    <tableColumn id="5" name="Factor" dataDxfId="50"/>
    <tableColumn id="6" name="Historico " dataDxfId="49"/>
    <tableColumn id="7" name="Reexpresado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23:G178" totalsRowShown="0" headerRowDxfId="47" dataDxfId="46">
  <autoFilter ref="A123:G178"/>
  <tableColumns count="7">
    <tableColumn id="1" name="Descripcion"/>
    <tableColumn id="2" name="Fecha Origen" dataDxfId="45"/>
    <tableColumn id="3" name="Ipc Cierre" dataDxfId="44"/>
    <tableColumn id="4" name="Ipc Origen" dataDxfId="43"/>
    <tableColumn id="5" name="Factor" dataDxfId="42"/>
    <tableColumn id="6" name="Historico " dataDxfId="41"/>
    <tableColumn id="7" name="Reexpresado" dataDxfId="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8:G22" totalsRowShown="0" headerRowDxfId="39" dataDxfId="38">
  <autoFilter ref="A8:G22"/>
  <tableColumns count="7">
    <tableColumn id="1" name="Descripcion"/>
    <tableColumn id="2" name="Fecha Origen" dataDxfId="37"/>
    <tableColumn id="3" name="Ipc Cierre" dataDxfId="36"/>
    <tableColumn id="4" name="Ipc Origen" dataDxfId="35"/>
    <tableColumn id="5" name="Factor" dataDxfId="34"/>
    <tableColumn id="6" name="Historico " dataDxfId="33"/>
    <tableColumn id="7" name="Reexpresado" dataDxfId="3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a8" displayName="Tabla8" ref="A183:G238" totalsRowShown="0" headerRowDxfId="31" dataDxfId="30">
  <autoFilter ref="A183:G238"/>
  <tableColumns count="7">
    <tableColumn id="1" name="Descripcion"/>
    <tableColumn id="2" name="Fecha Origen" dataDxfId="29"/>
    <tableColumn id="3" name="Ipc Cierre" dataDxfId="28"/>
    <tableColumn id="4" name="Ipc Origen" dataDxfId="27"/>
    <tableColumn id="5" name="Factor" dataDxfId="26"/>
    <tableColumn id="6" name="Historico " dataDxfId="25"/>
    <tableColumn id="7" name="Reexpresado" dataDxfId="2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la10" displayName="Tabla10" ref="A243:G257" totalsRowShown="0" headerRowDxfId="23" dataDxfId="22">
  <autoFilter ref="A243:G257"/>
  <tableColumns count="7">
    <tableColumn id="1" name="Descripcion"/>
    <tableColumn id="2" name="Fecha Origen" dataDxfId="21"/>
    <tableColumn id="3" name="Ipc Cierre" dataDxfId="20"/>
    <tableColumn id="4" name="Ipc Origen" dataDxfId="19"/>
    <tableColumn id="5" name="Factor" dataDxfId="18"/>
    <tableColumn id="6" name="Historico " dataDxfId="17"/>
    <tableColumn id="7" name="Reexpresado" dataDxfId="1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a11" displayName="Tabla11" ref="A262:G278" totalsRowShown="0" headerRowDxfId="15" dataDxfId="14">
  <autoFilter ref="A262:G278"/>
  <tableColumns count="7">
    <tableColumn id="1" name="Descripcion"/>
    <tableColumn id="2" name="Fecha Origen" dataDxfId="13"/>
    <tableColumn id="3" name="Ipc Cierre" dataDxfId="12"/>
    <tableColumn id="4" name="Ipc Origen" dataDxfId="11"/>
    <tableColumn id="5" name="Factor" dataDxfId="10"/>
    <tableColumn id="6" name="Historico " dataDxfId="9"/>
    <tableColumn id="7" name="Reexpresado" dataDxfId="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283:G303" totalsRowShown="0" headerRowDxfId="7" dataDxfId="6">
  <autoFilter ref="A283:G303"/>
  <tableColumns count="7">
    <tableColumn id="1" name="Descripcion"/>
    <tableColumn id="2" name="Fecha Origen" dataDxfId="5"/>
    <tableColumn id="3" name="Ipc Cierre" dataDxfId="4"/>
    <tableColumn id="4" name="Ipc Origen" dataDxfId="3"/>
    <tableColumn id="5" name="Factor" dataDxfId="2"/>
    <tableColumn id="6" name="Historico " dataDxfId="1"/>
    <tableColumn id="7" name="Reexpres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workbookViewId="0"/>
  </sheetViews>
  <sheetFormatPr baseColWidth="10" defaultRowHeight="15" x14ac:dyDescent="0.25"/>
  <cols>
    <col min="1" max="1" width="28.7109375" bestFit="1" customWidth="1"/>
    <col min="2" max="2" width="16.85546875" customWidth="1"/>
    <col min="3" max="4" width="16.7109375" customWidth="1"/>
    <col min="5" max="5" width="13.28515625" bestFit="1" customWidth="1"/>
    <col min="6" max="7" width="14.5703125" customWidth="1"/>
    <col min="9" max="9" width="13.28515625" bestFit="1" customWidth="1"/>
    <col min="10" max="10" width="11.5703125" bestFit="1" customWidth="1"/>
  </cols>
  <sheetData>
    <row r="1" spans="1:7" ht="15.75" x14ac:dyDescent="0.25">
      <c r="A1" s="90"/>
    </row>
    <row r="2" spans="1:7" ht="15.75" x14ac:dyDescent="0.25">
      <c r="A2" s="181" t="s">
        <v>116</v>
      </c>
      <c r="B2" s="181"/>
      <c r="C2" s="181"/>
      <c r="D2" s="181"/>
      <c r="E2" s="181"/>
      <c r="F2" s="181"/>
      <c r="G2" s="181"/>
    </row>
    <row r="3" spans="1:7" x14ac:dyDescent="0.25">
      <c r="A3" s="182" t="s">
        <v>117</v>
      </c>
      <c r="B3" s="183"/>
      <c r="C3" s="183"/>
      <c r="D3" s="183"/>
      <c r="E3" s="183"/>
      <c r="F3" s="183"/>
      <c r="G3" s="183"/>
    </row>
    <row r="4" spans="1:7" x14ac:dyDescent="0.25">
      <c r="A4" s="52"/>
      <c r="B4" s="52"/>
      <c r="C4" s="52"/>
      <c r="D4" s="52"/>
      <c r="E4" s="52"/>
      <c r="F4" s="52"/>
      <c r="G4" s="52"/>
    </row>
    <row r="5" spans="1:7" x14ac:dyDescent="0.25">
      <c r="A5" s="76" t="s">
        <v>118</v>
      </c>
      <c r="B5" s="76" t="s">
        <v>119</v>
      </c>
      <c r="C5" s="76" t="s">
        <v>120</v>
      </c>
      <c r="D5" s="76" t="s">
        <v>121</v>
      </c>
      <c r="E5" s="76" t="s">
        <v>122</v>
      </c>
      <c r="F5" s="76" t="s">
        <v>123</v>
      </c>
      <c r="G5" s="76" t="s">
        <v>124</v>
      </c>
    </row>
    <row r="6" spans="1:7" x14ac:dyDescent="0.25">
      <c r="A6" s="14" t="s">
        <v>21</v>
      </c>
      <c r="B6" s="91">
        <v>40513</v>
      </c>
      <c r="C6" s="92">
        <v>275</v>
      </c>
      <c r="D6" s="92">
        <v>213.2</v>
      </c>
      <c r="E6" s="92">
        <f t="shared" ref="E6:E16" si="0">C6/D6</f>
        <v>1.2898686679174485</v>
      </c>
      <c r="F6" s="25">
        <f>'BG Hist Dic10'!C10</f>
        <v>694019.9</v>
      </c>
      <c r="G6" s="93">
        <f t="shared" ref="G6:G16" si="1">F6*E6</f>
        <v>895194.52392120077</v>
      </c>
    </row>
    <row r="7" spans="1:7" x14ac:dyDescent="0.25">
      <c r="A7" s="14" t="s">
        <v>65</v>
      </c>
      <c r="B7" s="91">
        <v>40513</v>
      </c>
      <c r="C7" s="92">
        <v>275</v>
      </c>
      <c r="D7" s="92">
        <v>213.2</v>
      </c>
      <c r="E7" s="92">
        <f t="shared" si="0"/>
        <v>1.2898686679174485</v>
      </c>
      <c r="F7" s="25">
        <f>'BG Hist Dic10'!C12</f>
        <v>5751670.4299999997</v>
      </c>
      <c r="G7" s="93">
        <f t="shared" si="1"/>
        <v>7418899.475844278</v>
      </c>
    </row>
    <row r="8" spans="1:7" x14ac:dyDescent="0.25">
      <c r="A8" s="14" t="s">
        <v>103</v>
      </c>
      <c r="B8" s="91">
        <v>40513</v>
      </c>
      <c r="C8" s="92">
        <v>275</v>
      </c>
      <c r="D8" s="92">
        <v>213.2</v>
      </c>
      <c r="E8" s="92">
        <f t="shared" si="0"/>
        <v>1.2898686679174485</v>
      </c>
      <c r="F8" s="25">
        <f>'BG Hist Dic10'!C13</f>
        <v>613425.38</v>
      </c>
      <c r="G8" s="93">
        <f t="shared" si="1"/>
        <v>791238.17776735465</v>
      </c>
    </row>
    <row r="9" spans="1:7" x14ac:dyDescent="0.25">
      <c r="A9" s="14" t="s">
        <v>104</v>
      </c>
      <c r="B9" s="91">
        <v>40513</v>
      </c>
      <c r="C9" s="92">
        <v>275</v>
      </c>
      <c r="D9" s="92">
        <v>213.2</v>
      </c>
      <c r="E9" s="92">
        <f t="shared" si="0"/>
        <v>1.2898686679174485</v>
      </c>
      <c r="F9" s="25">
        <f>'BG Hist Dic10'!C14</f>
        <v>1095585.3999999999</v>
      </c>
      <c r="G9" s="93">
        <f t="shared" si="1"/>
        <v>1413161.2804878049</v>
      </c>
    </row>
    <row r="10" spans="1:7" x14ac:dyDescent="0.25">
      <c r="A10" s="14" t="s">
        <v>39</v>
      </c>
      <c r="B10" s="91">
        <v>40513</v>
      </c>
      <c r="C10" s="92">
        <v>275</v>
      </c>
      <c r="D10" s="92">
        <v>213.2</v>
      </c>
      <c r="E10" s="92">
        <f t="shared" si="0"/>
        <v>1.2898686679174485</v>
      </c>
      <c r="F10" s="25">
        <f>'BG Hist Dic10'!C18</f>
        <v>953669.25</v>
      </c>
      <c r="G10" s="93">
        <f t="shared" si="1"/>
        <v>1230108.085131332</v>
      </c>
    </row>
    <row r="11" spans="1:7" x14ac:dyDescent="0.25">
      <c r="A11" s="18" t="s">
        <v>41</v>
      </c>
      <c r="B11" s="91">
        <v>40513</v>
      </c>
      <c r="C11" s="92">
        <v>275</v>
      </c>
      <c r="D11" s="92">
        <v>213.2</v>
      </c>
      <c r="E11" s="92">
        <f t="shared" si="0"/>
        <v>1.2898686679174485</v>
      </c>
      <c r="F11" s="25">
        <f>'BG Hist Dic10'!C31</f>
        <v>916750.08</v>
      </c>
      <c r="G11" s="93">
        <f t="shared" si="1"/>
        <v>1182487.2045028142</v>
      </c>
    </row>
    <row r="12" spans="1:7" x14ac:dyDescent="0.25">
      <c r="A12" s="18" t="s">
        <v>105</v>
      </c>
      <c r="B12" s="91">
        <v>40513</v>
      </c>
      <c r="C12" s="92">
        <v>275</v>
      </c>
      <c r="D12" s="92">
        <v>213.2</v>
      </c>
      <c r="E12" s="92">
        <f t="shared" si="0"/>
        <v>1.2898686679174485</v>
      </c>
      <c r="F12" s="25">
        <f>'BG Hist Dic10'!C32</f>
        <v>173724.09</v>
      </c>
      <c r="G12" s="93">
        <f t="shared" si="1"/>
        <v>224081.26055347093</v>
      </c>
    </row>
    <row r="13" spans="1:7" x14ac:dyDescent="0.25">
      <c r="A13" s="18" t="s">
        <v>40</v>
      </c>
      <c r="B13" s="91">
        <v>40513</v>
      </c>
      <c r="C13" s="92">
        <v>275</v>
      </c>
      <c r="D13" s="92">
        <v>213.2</v>
      </c>
      <c r="E13" s="92">
        <f t="shared" si="0"/>
        <v>1.2898686679174485</v>
      </c>
      <c r="F13" s="25">
        <f>'BG Hist Dic10'!C33</f>
        <v>117846.18</v>
      </c>
      <c r="G13" s="93">
        <f t="shared" si="1"/>
        <v>152006.09521575985</v>
      </c>
    </row>
    <row r="14" spans="1:7" x14ac:dyDescent="0.25">
      <c r="A14" s="18" t="s">
        <v>42</v>
      </c>
      <c r="B14" s="91">
        <v>40513</v>
      </c>
      <c r="C14" s="92">
        <v>275</v>
      </c>
      <c r="D14" s="92">
        <v>213.2</v>
      </c>
      <c r="E14" s="92">
        <f t="shared" si="0"/>
        <v>1.2898686679174485</v>
      </c>
      <c r="F14" s="25">
        <f>'BG Hist Dic10'!C34</f>
        <v>98095.17</v>
      </c>
      <c r="G14" s="93">
        <f t="shared" si="1"/>
        <v>126529.88625703566</v>
      </c>
    </row>
    <row r="15" spans="1:7" x14ac:dyDescent="0.25">
      <c r="A15" s="18" t="s">
        <v>46</v>
      </c>
      <c r="B15" s="91">
        <v>40513</v>
      </c>
      <c r="C15" s="92">
        <v>275</v>
      </c>
      <c r="D15" s="92">
        <v>213.2</v>
      </c>
      <c r="E15" s="92">
        <f t="shared" si="0"/>
        <v>1.2898686679174485</v>
      </c>
      <c r="F15" s="93">
        <f>'BG Hist Dic10'!C37</f>
        <v>154229.99</v>
      </c>
      <c r="G15" s="93">
        <f t="shared" si="1"/>
        <v>198936.43175422138</v>
      </c>
    </row>
    <row r="16" spans="1:7" ht="15.75" thickBot="1" x14ac:dyDescent="0.3">
      <c r="A16" s="18" t="s">
        <v>47</v>
      </c>
      <c r="B16" s="91">
        <v>40513</v>
      </c>
      <c r="C16" s="92">
        <v>275</v>
      </c>
      <c r="D16" s="92">
        <v>213.2</v>
      </c>
      <c r="E16" s="92">
        <f t="shared" si="0"/>
        <v>1.2898686679174485</v>
      </c>
      <c r="F16" s="94">
        <f>'BG Hist Dic10'!C38</f>
        <v>18736541.349999998</v>
      </c>
      <c r="G16" s="94">
        <f t="shared" si="1"/>
        <v>24167677.63250469</v>
      </c>
    </row>
    <row r="17" spans="1:7" ht="15.75" thickTop="1" x14ac:dyDescent="0.25">
      <c r="A17" s="179" t="s">
        <v>125</v>
      </c>
      <c r="B17" s="179"/>
      <c r="C17" s="179"/>
      <c r="D17" s="179"/>
      <c r="E17" s="179"/>
      <c r="F17" s="95">
        <f>SUM(F6:F16)</f>
        <v>29305557.219999999</v>
      </c>
      <c r="G17" s="95">
        <f>SUM(G6:G16)</f>
        <v>37800320.053939968</v>
      </c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93"/>
      <c r="G20" s="52"/>
    </row>
    <row r="21" spans="1:7" ht="15.75" x14ac:dyDescent="0.25">
      <c r="A21" s="181" t="s">
        <v>126</v>
      </c>
      <c r="B21" s="181"/>
      <c r="C21" s="181"/>
      <c r="D21" s="181"/>
      <c r="E21" s="181"/>
      <c r="F21" s="181"/>
      <c r="G21" s="181"/>
    </row>
    <row r="22" spans="1:7" x14ac:dyDescent="0.25">
      <c r="A22" s="182" t="s">
        <v>117</v>
      </c>
      <c r="B22" s="183"/>
      <c r="C22" s="183"/>
      <c r="D22" s="183"/>
      <c r="E22" s="183"/>
      <c r="F22" s="183"/>
      <c r="G22" s="183"/>
    </row>
    <row r="23" spans="1:7" x14ac:dyDescent="0.25">
      <c r="A23" s="79"/>
      <c r="B23" s="79"/>
      <c r="C23" s="79"/>
      <c r="D23" s="79"/>
      <c r="E23" s="79"/>
      <c r="F23" s="79"/>
      <c r="G23" s="79"/>
    </row>
    <row r="24" spans="1:7" ht="15.75" x14ac:dyDescent="0.25">
      <c r="A24" s="90"/>
      <c r="B24" s="79"/>
      <c r="C24" s="79"/>
      <c r="D24" s="79"/>
      <c r="E24" s="79"/>
      <c r="F24" s="79"/>
      <c r="G24" s="79"/>
    </row>
    <row r="25" spans="1:7" ht="15.75" x14ac:dyDescent="0.25">
      <c r="A25" s="178" t="s">
        <v>162</v>
      </c>
      <c r="B25" s="178"/>
      <c r="C25" s="178"/>
      <c r="D25" s="178"/>
      <c r="E25" s="178"/>
      <c r="F25" s="178"/>
      <c r="G25" s="178"/>
    </row>
    <row r="26" spans="1:7" x14ac:dyDescent="0.25">
      <c r="A26" s="79"/>
      <c r="B26" s="79"/>
      <c r="C26" s="79"/>
      <c r="D26" s="79"/>
      <c r="E26" s="79"/>
      <c r="F26" s="79"/>
      <c r="G26" s="79"/>
    </row>
    <row r="27" spans="1:7" x14ac:dyDescent="0.25">
      <c r="A27" s="76" t="s">
        <v>118</v>
      </c>
      <c r="B27" s="76" t="s">
        <v>119</v>
      </c>
      <c r="C27" s="76" t="s">
        <v>120</v>
      </c>
      <c r="D27" s="76" t="s">
        <v>121</v>
      </c>
      <c r="E27" s="76" t="s">
        <v>122</v>
      </c>
      <c r="F27" s="76" t="s">
        <v>123</v>
      </c>
      <c r="G27" s="76" t="s">
        <v>124</v>
      </c>
    </row>
    <row r="28" spans="1:7" x14ac:dyDescent="0.25">
      <c r="A28" t="s">
        <v>163</v>
      </c>
      <c r="B28" s="91">
        <v>40483</v>
      </c>
      <c r="C28" s="92">
        <v>275</v>
      </c>
      <c r="D28" s="92">
        <v>209.7</v>
      </c>
      <c r="E28" s="92">
        <f>C28/D28</f>
        <v>1.3113972341440154</v>
      </c>
      <c r="F28" s="93">
        <v>0</v>
      </c>
      <c r="G28" s="93">
        <f>F28*E28</f>
        <v>0</v>
      </c>
    </row>
    <row r="29" spans="1:7" ht="15.75" thickBot="1" x14ac:dyDescent="0.3">
      <c r="A29" t="s">
        <v>163</v>
      </c>
      <c r="B29" s="91">
        <v>40513</v>
      </c>
      <c r="C29" s="92">
        <v>275</v>
      </c>
      <c r="D29" s="92">
        <v>213.2</v>
      </c>
      <c r="E29" s="92">
        <f>C29/D29</f>
        <v>1.2898686679174485</v>
      </c>
      <c r="F29" s="94">
        <v>0</v>
      </c>
      <c r="G29" s="94">
        <f>F29*E29</f>
        <v>0</v>
      </c>
    </row>
    <row r="30" spans="1:7" ht="15.75" thickTop="1" x14ac:dyDescent="0.25">
      <c r="A30" s="179" t="s">
        <v>128</v>
      </c>
      <c r="B30" s="179"/>
      <c r="C30" s="179"/>
      <c r="D30" s="179"/>
      <c r="E30" s="179"/>
      <c r="F30" s="95">
        <f>SUM(F28:F29)</f>
        <v>0</v>
      </c>
      <c r="G30" s="95">
        <f>SUM(G28:G29)</f>
        <v>0</v>
      </c>
    </row>
    <row r="31" spans="1:7" x14ac:dyDescent="0.25">
      <c r="A31" s="76"/>
      <c r="B31" s="76"/>
      <c r="C31" s="76"/>
      <c r="D31" s="76"/>
      <c r="E31" s="76"/>
      <c r="F31" s="95"/>
      <c r="G31" s="95"/>
    </row>
    <row r="32" spans="1:7" ht="15.75" x14ac:dyDescent="0.25">
      <c r="A32" s="90"/>
      <c r="B32" s="52"/>
      <c r="C32" s="52"/>
      <c r="D32" s="52"/>
      <c r="E32" s="52"/>
      <c r="F32" s="95"/>
      <c r="G32" s="95"/>
    </row>
    <row r="33" spans="1:7" ht="15.75" x14ac:dyDescent="0.25">
      <c r="A33" s="178" t="s">
        <v>66</v>
      </c>
      <c r="B33" s="178"/>
      <c r="C33" s="178"/>
      <c r="D33" s="178"/>
      <c r="E33" s="178"/>
      <c r="F33" s="178"/>
      <c r="G33" s="178"/>
    </row>
    <row r="34" spans="1:7" x14ac:dyDescent="0.25">
      <c r="A34" s="79"/>
      <c r="B34" s="79"/>
      <c r="C34" s="79"/>
      <c r="D34" s="79"/>
      <c r="E34" s="79"/>
      <c r="F34" s="79"/>
      <c r="G34" s="79"/>
    </row>
    <row r="35" spans="1:7" x14ac:dyDescent="0.25">
      <c r="A35" s="76" t="s">
        <v>118</v>
      </c>
      <c r="B35" s="76" t="s">
        <v>119</v>
      </c>
      <c r="C35" s="76" t="s">
        <v>120</v>
      </c>
      <c r="D35" s="76" t="s">
        <v>121</v>
      </c>
      <c r="E35" s="76" t="s">
        <v>122</v>
      </c>
      <c r="F35" s="76" t="s">
        <v>123</v>
      </c>
      <c r="G35" s="76" t="s">
        <v>124</v>
      </c>
    </row>
    <row r="36" spans="1:7" x14ac:dyDescent="0.25">
      <c r="A36" t="s">
        <v>127</v>
      </c>
      <c r="B36" s="98" t="s">
        <v>144</v>
      </c>
      <c r="C36" s="92">
        <v>275</v>
      </c>
      <c r="D36" s="92">
        <v>194.32499999999999</v>
      </c>
      <c r="E36" s="92">
        <f>C36/D36</f>
        <v>1.4151550238003345</v>
      </c>
      <c r="F36" s="93">
        <f>'BG Hist Dic10'!C16</f>
        <v>7072643.8099999996</v>
      </c>
      <c r="G36" s="93">
        <f>F36*E36</f>
        <v>10008887.419271838</v>
      </c>
    </row>
    <row r="37" spans="1:7" ht="15.75" thickBot="1" x14ac:dyDescent="0.3">
      <c r="A37" t="s">
        <v>127</v>
      </c>
      <c r="B37" s="91">
        <v>40513</v>
      </c>
      <c r="C37" s="92">
        <v>275</v>
      </c>
      <c r="D37" s="92">
        <v>213.2</v>
      </c>
      <c r="E37" s="92">
        <f>C37/D37</f>
        <v>1.2898686679174485</v>
      </c>
      <c r="F37" s="94">
        <v>0</v>
      </c>
      <c r="G37" s="94">
        <f>F37*E37</f>
        <v>0</v>
      </c>
    </row>
    <row r="38" spans="1:7" ht="15.75" thickTop="1" x14ac:dyDescent="0.25">
      <c r="A38" s="179" t="s">
        <v>128</v>
      </c>
      <c r="B38" s="179"/>
      <c r="C38" s="179"/>
      <c r="D38" s="179"/>
      <c r="E38" s="179"/>
      <c r="F38" s="95">
        <f>SUM(F36:F37)</f>
        <v>7072643.8099999996</v>
      </c>
      <c r="G38" s="95">
        <f>SUM(G36:G37)</f>
        <v>10008887.419271838</v>
      </c>
    </row>
    <row r="39" spans="1:7" x14ac:dyDescent="0.25">
      <c r="A39" s="76"/>
      <c r="B39" s="76"/>
      <c r="C39" s="76"/>
      <c r="D39" s="76"/>
      <c r="E39" s="76"/>
      <c r="F39" s="95"/>
      <c r="G39" s="95"/>
    </row>
    <row r="40" spans="1:7" x14ac:dyDescent="0.25">
      <c r="A40" s="76"/>
      <c r="B40" s="76"/>
      <c r="C40" s="76"/>
      <c r="D40" s="76"/>
      <c r="E40" s="76"/>
      <c r="F40" s="95"/>
      <c r="G40" s="95"/>
    </row>
    <row r="41" spans="1:7" ht="15.75" x14ac:dyDescent="0.25">
      <c r="A41" s="178" t="s">
        <v>160</v>
      </c>
      <c r="B41" s="178"/>
      <c r="C41" s="178"/>
      <c r="D41" s="178"/>
      <c r="E41" s="178"/>
      <c r="F41" s="178"/>
      <c r="G41" s="178"/>
    </row>
    <row r="42" spans="1:7" x14ac:dyDescent="0.25">
      <c r="A42" s="79"/>
      <c r="B42" s="79"/>
      <c r="C42" s="79"/>
      <c r="D42" s="79"/>
      <c r="E42" s="79"/>
      <c r="F42" s="79"/>
      <c r="G42" s="79"/>
    </row>
    <row r="43" spans="1:7" x14ac:dyDescent="0.25">
      <c r="A43" s="76" t="s">
        <v>118</v>
      </c>
      <c r="B43" s="76" t="s">
        <v>119</v>
      </c>
      <c r="C43" s="76" t="s">
        <v>120</v>
      </c>
      <c r="D43" s="76" t="s">
        <v>121</v>
      </c>
      <c r="E43" s="76" t="s">
        <v>122</v>
      </c>
      <c r="F43" s="76" t="s">
        <v>123</v>
      </c>
      <c r="G43" s="76" t="s">
        <v>124</v>
      </c>
    </row>
    <row r="44" spans="1:7" ht="15.75" thickBot="1" x14ac:dyDescent="0.3">
      <c r="A44" t="s">
        <v>161</v>
      </c>
      <c r="B44" s="91">
        <v>39783</v>
      </c>
      <c r="C44" s="92">
        <v>275</v>
      </c>
      <c r="D44" s="92">
        <v>131.9</v>
      </c>
      <c r="E44" s="92">
        <f>C44/D44</f>
        <v>2.0849128127369219</v>
      </c>
      <c r="F44" s="94">
        <f>'BG Hist Dic10'!D21</f>
        <v>245076.35</v>
      </c>
      <c r="G44" s="94">
        <f>F44*E44</f>
        <v>510962.82221379835</v>
      </c>
    </row>
    <row r="45" spans="1:7" ht="15.75" thickTop="1" x14ac:dyDescent="0.25">
      <c r="A45" s="179" t="s">
        <v>128</v>
      </c>
      <c r="B45" s="179"/>
      <c r="C45" s="179"/>
      <c r="D45" s="179"/>
      <c r="E45" s="179"/>
      <c r="F45" s="95">
        <f>SUM(F44:F44)</f>
        <v>245076.35</v>
      </c>
      <c r="G45" s="95">
        <f>SUM(G44:G44)</f>
        <v>510962.82221379835</v>
      </c>
    </row>
    <row r="46" spans="1:7" x14ac:dyDescent="0.25">
      <c r="A46" s="76"/>
      <c r="B46" s="76"/>
      <c r="C46" s="76"/>
      <c r="D46" s="76"/>
      <c r="E46" s="76"/>
      <c r="F46" s="95"/>
      <c r="G46" s="95"/>
    </row>
    <row r="47" spans="1:7" x14ac:dyDescent="0.25">
      <c r="A47" s="76"/>
      <c r="B47" s="76"/>
      <c r="C47" s="76"/>
      <c r="D47" s="76"/>
      <c r="E47" s="76"/>
      <c r="F47" s="95"/>
      <c r="G47" s="95"/>
    </row>
    <row r="48" spans="1:7" ht="15.75" x14ac:dyDescent="0.25">
      <c r="A48" s="178" t="s">
        <v>129</v>
      </c>
      <c r="B48" s="178"/>
      <c r="C48" s="178"/>
      <c r="D48" s="178"/>
      <c r="E48" s="178"/>
      <c r="F48" s="178"/>
      <c r="G48" s="178"/>
    </row>
    <row r="49" spans="1:9" x14ac:dyDescent="0.25">
      <c r="A49" s="79"/>
      <c r="B49" s="79"/>
      <c r="C49" s="79"/>
      <c r="D49" s="79"/>
      <c r="E49" s="79"/>
      <c r="F49" s="79"/>
      <c r="G49" s="79"/>
    </row>
    <row r="50" spans="1:9" x14ac:dyDescent="0.25">
      <c r="A50" s="76" t="s">
        <v>118</v>
      </c>
      <c r="B50" s="76" t="s">
        <v>119</v>
      </c>
      <c r="C50" s="76" t="s">
        <v>120</v>
      </c>
      <c r="D50" s="76" t="s">
        <v>121</v>
      </c>
      <c r="E50" s="76" t="s">
        <v>122</v>
      </c>
      <c r="F50" s="76" t="s">
        <v>123</v>
      </c>
      <c r="G50" s="76" t="s">
        <v>124</v>
      </c>
    </row>
    <row r="51" spans="1:9" x14ac:dyDescent="0.25">
      <c r="A51" t="s">
        <v>130</v>
      </c>
      <c r="B51" s="91">
        <v>39601</v>
      </c>
      <c r="C51" s="92">
        <v>275</v>
      </c>
      <c r="D51" s="92">
        <v>116.3</v>
      </c>
      <c r="E51" s="92">
        <f>C51/D51</f>
        <v>2.36457437661221</v>
      </c>
      <c r="F51" s="93">
        <v>80000</v>
      </c>
      <c r="G51" s="93">
        <f>F51*E51</f>
        <v>189165.95012897681</v>
      </c>
    </row>
    <row r="52" spans="1:9" x14ac:dyDescent="0.25">
      <c r="A52" t="s">
        <v>130</v>
      </c>
      <c r="B52" s="91">
        <v>40078</v>
      </c>
      <c r="C52" s="92">
        <v>1</v>
      </c>
      <c r="D52" s="92">
        <v>1</v>
      </c>
      <c r="E52" s="92">
        <f>C52/D52</f>
        <v>1</v>
      </c>
      <c r="F52" s="93">
        <v>0</v>
      </c>
      <c r="G52" s="93">
        <f>F52*E52</f>
        <v>0</v>
      </c>
    </row>
    <row r="53" spans="1:9" x14ac:dyDescent="0.25">
      <c r="A53" t="s">
        <v>130</v>
      </c>
      <c r="B53" s="91">
        <v>40470</v>
      </c>
      <c r="C53" s="92">
        <v>1</v>
      </c>
      <c r="D53" s="92">
        <v>1</v>
      </c>
      <c r="E53" s="92">
        <f>C53/D53</f>
        <v>1</v>
      </c>
      <c r="F53" s="93">
        <v>0</v>
      </c>
      <c r="G53" s="93">
        <f>F53*E53</f>
        <v>0</v>
      </c>
    </row>
    <row r="54" spans="1:9" ht="15.75" thickBot="1" x14ac:dyDescent="0.3">
      <c r="A54" t="s">
        <v>130</v>
      </c>
      <c r="B54" s="91">
        <v>40831</v>
      </c>
      <c r="C54" s="92">
        <v>1</v>
      </c>
      <c r="D54" s="92">
        <v>1</v>
      </c>
      <c r="E54" s="92">
        <f>C54/D54</f>
        <v>1</v>
      </c>
      <c r="F54" s="94">
        <v>0</v>
      </c>
      <c r="G54" s="94">
        <f>F54*E54</f>
        <v>0</v>
      </c>
    </row>
    <row r="55" spans="1:9" ht="15.75" thickTop="1" x14ac:dyDescent="0.25">
      <c r="A55" s="179" t="s">
        <v>128</v>
      </c>
      <c r="B55" s="179"/>
      <c r="C55" s="179"/>
      <c r="D55" s="179"/>
      <c r="E55" s="179"/>
      <c r="F55" s="95">
        <f>SUM(F51:F54)</f>
        <v>80000</v>
      </c>
      <c r="G55" s="95">
        <f>SUM(G51:G54)</f>
        <v>189165.95012897681</v>
      </c>
    </row>
    <row r="56" spans="1:9" x14ac:dyDescent="0.25">
      <c r="A56" s="76"/>
      <c r="B56" s="76"/>
      <c r="C56" s="76"/>
      <c r="D56" s="76"/>
      <c r="E56" s="76"/>
      <c r="F56" s="95"/>
      <c r="G56" s="95"/>
    </row>
    <row r="57" spans="1:9" x14ac:dyDescent="0.25">
      <c r="A57" s="76"/>
      <c r="B57" s="76"/>
      <c r="C57" s="76"/>
      <c r="D57" s="76"/>
      <c r="E57" s="76"/>
      <c r="F57" s="95"/>
      <c r="G57" s="95"/>
    </row>
    <row r="58" spans="1:9" ht="15.75" x14ac:dyDescent="0.25">
      <c r="A58" s="178" t="s">
        <v>166</v>
      </c>
      <c r="B58" s="178"/>
      <c r="C58" s="178"/>
      <c r="D58" s="178"/>
      <c r="E58" s="178"/>
      <c r="F58" s="178"/>
      <c r="G58" s="178"/>
    </row>
    <row r="59" spans="1:9" x14ac:dyDescent="0.25">
      <c r="A59" s="79"/>
      <c r="B59" s="79"/>
      <c r="C59" s="79"/>
      <c r="D59" s="79"/>
      <c r="E59" s="79"/>
      <c r="F59" s="79"/>
      <c r="G59" s="79"/>
    </row>
    <row r="60" spans="1:9" x14ac:dyDescent="0.25">
      <c r="A60" s="76" t="s">
        <v>118</v>
      </c>
      <c r="B60" s="76" t="s">
        <v>119</v>
      </c>
      <c r="C60" s="76" t="s">
        <v>120</v>
      </c>
      <c r="D60" s="76" t="s">
        <v>121</v>
      </c>
      <c r="E60" s="76" t="s">
        <v>122</v>
      </c>
      <c r="F60" s="76" t="s">
        <v>123</v>
      </c>
      <c r="G60" s="76" t="s">
        <v>124</v>
      </c>
    </row>
    <row r="61" spans="1:9" x14ac:dyDescent="0.25">
      <c r="A61" t="s">
        <v>164</v>
      </c>
      <c r="B61" s="91">
        <v>39782</v>
      </c>
      <c r="C61" s="92">
        <v>275</v>
      </c>
      <c r="D61" s="92">
        <v>128.5</v>
      </c>
      <c r="E61" s="92">
        <f>C61/D61</f>
        <v>2.1400778210116731</v>
      </c>
      <c r="F61" s="93">
        <v>250000</v>
      </c>
      <c r="G61" s="93">
        <f>F61*E61</f>
        <v>535019.4552529183</v>
      </c>
    </row>
    <row r="62" spans="1:9" ht="15.75" thickBot="1" x14ac:dyDescent="0.3">
      <c r="A62" t="s">
        <v>164</v>
      </c>
      <c r="B62" s="91">
        <v>40337</v>
      </c>
      <c r="C62" s="92">
        <v>275</v>
      </c>
      <c r="D62" s="92">
        <v>195.4</v>
      </c>
      <c r="E62" s="92">
        <f>C62/D62</f>
        <v>1.4073694984646878</v>
      </c>
      <c r="F62" s="94">
        <v>0</v>
      </c>
      <c r="G62" s="94">
        <f>F62*E62</f>
        <v>0</v>
      </c>
    </row>
    <row r="63" spans="1:9" ht="15.75" thickTop="1" x14ac:dyDescent="0.25">
      <c r="A63" s="179" t="s">
        <v>128</v>
      </c>
      <c r="B63" s="179"/>
      <c r="C63" s="179"/>
      <c r="D63" s="179"/>
      <c r="E63" s="179"/>
      <c r="F63" s="95">
        <f>SUM(F61:F62)</f>
        <v>250000</v>
      </c>
      <c r="G63" s="95">
        <f>SUM(G61:G62)</f>
        <v>535019.4552529183</v>
      </c>
      <c r="I63">
        <v>250000</v>
      </c>
    </row>
    <row r="64" spans="1:9" x14ac:dyDescent="0.25">
      <c r="A64" s="76"/>
      <c r="B64" s="76"/>
      <c r="C64" s="76"/>
      <c r="D64" s="76"/>
      <c r="E64" s="76"/>
      <c r="F64" s="95"/>
      <c r="G64" s="95"/>
    </row>
    <row r="65" spans="1:7" ht="15.75" x14ac:dyDescent="0.25">
      <c r="A65" s="90"/>
      <c r="B65" s="52"/>
      <c r="C65" s="52"/>
      <c r="D65" s="52"/>
      <c r="E65" s="52"/>
      <c r="F65" s="96"/>
      <c r="G65" s="93"/>
    </row>
    <row r="66" spans="1:7" ht="15.75" x14ac:dyDescent="0.25">
      <c r="A66" s="178" t="s">
        <v>131</v>
      </c>
      <c r="B66" s="178"/>
      <c r="C66" s="178"/>
      <c r="D66" s="178"/>
      <c r="E66" s="178"/>
      <c r="F66" s="178"/>
      <c r="G66" s="178"/>
    </row>
    <row r="67" spans="1:7" x14ac:dyDescent="0.25">
      <c r="A67" s="79"/>
      <c r="B67" s="79"/>
      <c r="C67" s="79"/>
      <c r="D67" s="79"/>
      <c r="E67" s="79"/>
      <c r="F67" s="79"/>
      <c r="G67" s="79"/>
    </row>
    <row r="68" spans="1:7" x14ac:dyDescent="0.25">
      <c r="A68" s="76" t="s">
        <v>118</v>
      </c>
      <c r="B68" s="76" t="s">
        <v>119</v>
      </c>
      <c r="C68" s="76" t="s">
        <v>120</v>
      </c>
      <c r="D68" s="76" t="s">
        <v>121</v>
      </c>
      <c r="E68" s="76" t="s">
        <v>122</v>
      </c>
      <c r="F68" s="76" t="s">
        <v>123</v>
      </c>
      <c r="G68" s="76" t="s">
        <v>124</v>
      </c>
    </row>
    <row r="69" spans="1:7" x14ac:dyDescent="0.25">
      <c r="A69" t="s">
        <v>207</v>
      </c>
      <c r="B69" s="91">
        <v>39113</v>
      </c>
      <c r="C69" s="92">
        <v>275</v>
      </c>
      <c r="D69" s="92">
        <v>83.294548649999996</v>
      </c>
      <c r="E69" s="92">
        <f>C69/D69</f>
        <v>3.3015365886132333</v>
      </c>
      <c r="F69" s="93">
        <v>140.35</v>
      </c>
      <c r="G69" s="93">
        <f>F69*E69</f>
        <v>463.37066021186729</v>
      </c>
    </row>
    <row r="70" spans="1:7" x14ac:dyDescent="0.25">
      <c r="A70" t="s">
        <v>208</v>
      </c>
      <c r="B70" s="91">
        <v>39114</v>
      </c>
      <c r="C70" s="92">
        <v>275</v>
      </c>
      <c r="D70" s="92">
        <v>84.436516810000001</v>
      </c>
      <c r="E70" s="92">
        <f t="shared" ref="E70:E76" si="2">C70/D70</f>
        <v>3.256884703318685</v>
      </c>
      <c r="F70" s="93">
        <v>964.92</v>
      </c>
      <c r="G70" s="93">
        <f t="shared" ref="G70:G79" si="3">F70*E70</f>
        <v>3142.6331879262652</v>
      </c>
    </row>
    <row r="71" spans="1:7" x14ac:dyDescent="0.25">
      <c r="A71" t="s">
        <v>208</v>
      </c>
      <c r="B71" s="91">
        <v>39173</v>
      </c>
      <c r="C71" s="92">
        <v>275</v>
      </c>
      <c r="D71" s="92">
        <v>84.994287389999997</v>
      </c>
      <c r="E71" s="92">
        <f t="shared" si="2"/>
        <v>3.2355115672439312</v>
      </c>
      <c r="F71" s="93">
        <v>1500</v>
      </c>
      <c r="G71" s="93">
        <f t="shared" si="3"/>
        <v>4853.2673508658963</v>
      </c>
    </row>
    <row r="72" spans="1:7" x14ac:dyDescent="0.25">
      <c r="A72" t="s">
        <v>209</v>
      </c>
      <c r="B72" s="91">
        <v>39203</v>
      </c>
      <c r="C72" s="92">
        <v>275</v>
      </c>
      <c r="D72" s="92">
        <v>86.468087789999998</v>
      </c>
      <c r="E72" s="92">
        <f t="shared" si="2"/>
        <v>3.1803640745228048</v>
      </c>
      <c r="F72" s="93">
        <v>1657.66</v>
      </c>
      <c r="G72" s="93">
        <f t="shared" si="3"/>
        <v>5271.9623117734727</v>
      </c>
    </row>
    <row r="73" spans="1:7" x14ac:dyDescent="0.25">
      <c r="A73" t="s">
        <v>210</v>
      </c>
      <c r="B73" s="91">
        <v>39513</v>
      </c>
      <c r="C73" s="92">
        <v>275</v>
      </c>
      <c r="D73" s="92">
        <v>108.2</v>
      </c>
      <c r="E73" s="92">
        <f t="shared" si="2"/>
        <v>2.5415896487985212</v>
      </c>
      <c r="F73" s="93">
        <v>1889.95</v>
      </c>
      <c r="G73" s="93">
        <f t="shared" si="3"/>
        <v>4803.4773567467655</v>
      </c>
    </row>
    <row r="74" spans="1:7" x14ac:dyDescent="0.25">
      <c r="A74" t="s">
        <v>211</v>
      </c>
      <c r="B74" s="91">
        <v>39514</v>
      </c>
      <c r="C74" s="92">
        <v>275</v>
      </c>
      <c r="D74" s="92">
        <v>108.2</v>
      </c>
      <c r="E74" s="92">
        <f t="shared" si="2"/>
        <v>2.5415896487985212</v>
      </c>
      <c r="F74" s="93">
        <v>3467.87</v>
      </c>
      <c r="G74" s="93">
        <f t="shared" si="3"/>
        <v>8813.9024953789267</v>
      </c>
    </row>
    <row r="75" spans="1:7" x14ac:dyDescent="0.25">
      <c r="A75" t="s">
        <v>212</v>
      </c>
      <c r="B75" s="91">
        <v>39533</v>
      </c>
      <c r="C75" s="92">
        <v>275</v>
      </c>
      <c r="D75" s="92">
        <v>108.2</v>
      </c>
      <c r="E75" s="92">
        <f t="shared" si="2"/>
        <v>2.5415896487985212</v>
      </c>
      <c r="F75" s="93">
        <v>11926.62</v>
      </c>
      <c r="G75" s="93">
        <f t="shared" si="3"/>
        <v>30312.573937153422</v>
      </c>
    </row>
    <row r="76" spans="1:7" x14ac:dyDescent="0.25">
      <c r="A76" t="s">
        <v>213</v>
      </c>
      <c r="B76" s="91">
        <v>39562</v>
      </c>
      <c r="C76" s="92">
        <v>275</v>
      </c>
      <c r="D76" s="92">
        <v>109.9</v>
      </c>
      <c r="E76" s="92">
        <f t="shared" si="2"/>
        <v>2.5022747952684257</v>
      </c>
      <c r="F76" s="93">
        <v>1477.06</v>
      </c>
      <c r="G76" s="93">
        <f t="shared" si="3"/>
        <v>3696.0100090991805</v>
      </c>
    </row>
    <row r="77" spans="1:7" x14ac:dyDescent="0.25">
      <c r="A77" t="s">
        <v>214</v>
      </c>
      <c r="B77" s="91">
        <v>39687</v>
      </c>
      <c r="C77" s="92">
        <v>275</v>
      </c>
      <c r="D77" s="92">
        <v>120.2</v>
      </c>
      <c r="E77" s="92">
        <f>C77/D77</f>
        <v>2.287853577371048</v>
      </c>
      <c r="F77" s="93">
        <v>2944.23</v>
      </c>
      <c r="G77" s="93">
        <f t="shared" si="3"/>
        <v>6735.9671381031603</v>
      </c>
    </row>
    <row r="78" spans="1:7" x14ac:dyDescent="0.25">
      <c r="A78" t="s">
        <v>214</v>
      </c>
      <c r="B78" s="91">
        <v>39687</v>
      </c>
      <c r="C78" s="92">
        <v>275</v>
      </c>
      <c r="D78" s="92">
        <v>120.2</v>
      </c>
      <c r="E78" s="92">
        <f>C78/D78</f>
        <v>2.287853577371048</v>
      </c>
      <c r="F78" s="93">
        <v>2072.66</v>
      </c>
      <c r="G78" s="93">
        <f t="shared" si="3"/>
        <v>4741.942595673876</v>
      </c>
    </row>
    <row r="79" spans="1:7" x14ac:dyDescent="0.25">
      <c r="A79" t="s">
        <v>215</v>
      </c>
      <c r="B79" s="91">
        <v>39757</v>
      </c>
      <c r="C79" s="92">
        <v>275</v>
      </c>
      <c r="D79" s="92">
        <v>128.5</v>
      </c>
      <c r="E79" s="92">
        <f>C79/D79</f>
        <v>2.1400778210116731</v>
      </c>
      <c r="F79" s="93">
        <v>1100.92</v>
      </c>
      <c r="G79" s="93">
        <f t="shared" si="3"/>
        <v>2356.0544747081713</v>
      </c>
    </row>
    <row r="80" spans="1:7" x14ac:dyDescent="0.25">
      <c r="A80" t="s">
        <v>215</v>
      </c>
      <c r="B80" s="91">
        <v>39757</v>
      </c>
      <c r="C80" s="92">
        <v>275</v>
      </c>
      <c r="D80" s="92">
        <v>128.5</v>
      </c>
      <c r="E80" s="92">
        <f>C80/D80</f>
        <v>2.1400778210116731</v>
      </c>
      <c r="F80" s="93">
        <v>1100.92</v>
      </c>
      <c r="G80" s="93">
        <f>F80*E80</f>
        <v>2356.0544747081713</v>
      </c>
    </row>
    <row r="81" spans="1:7" ht="15.75" thickBot="1" x14ac:dyDescent="0.3">
      <c r="A81" t="s">
        <v>216</v>
      </c>
      <c r="B81" s="91">
        <v>39931</v>
      </c>
      <c r="C81" s="92">
        <v>275</v>
      </c>
      <c r="D81" s="92">
        <v>142.19999999999999</v>
      </c>
      <c r="E81" s="92">
        <f>C81/D81</f>
        <v>1.9338959212376936</v>
      </c>
      <c r="F81" s="94">
        <v>4999</v>
      </c>
      <c r="G81" s="94">
        <f>F81*E81</f>
        <v>9667.5457102672299</v>
      </c>
    </row>
    <row r="82" spans="1:7" ht="15.75" thickTop="1" x14ac:dyDescent="0.25">
      <c r="A82" s="179" t="s">
        <v>128</v>
      </c>
      <c r="B82" s="179"/>
      <c r="C82" s="179"/>
      <c r="D82" s="179"/>
      <c r="E82" s="179"/>
      <c r="F82" s="95">
        <f>SUM(F69:F81)</f>
        <v>35242.160000000003</v>
      </c>
      <c r="G82" s="95">
        <f>SUM(G69:G81)</f>
        <v>87214.761702616408</v>
      </c>
    </row>
    <row r="83" spans="1:7" x14ac:dyDescent="0.25">
      <c r="A83" s="76"/>
      <c r="B83" s="76"/>
      <c r="C83" s="76"/>
      <c r="D83" s="76"/>
      <c r="E83" s="76"/>
      <c r="F83" s="95"/>
      <c r="G83" s="95"/>
    </row>
    <row r="84" spans="1:7" x14ac:dyDescent="0.25">
      <c r="A84" s="76"/>
      <c r="B84" s="76"/>
      <c r="C84" s="76"/>
      <c r="D84" s="76"/>
      <c r="E84" s="76"/>
      <c r="F84" s="95"/>
      <c r="G84" s="95"/>
    </row>
    <row r="85" spans="1:7" ht="15.75" x14ac:dyDescent="0.25">
      <c r="A85" s="178" t="s">
        <v>132</v>
      </c>
      <c r="B85" s="178"/>
      <c r="C85" s="178"/>
      <c r="D85" s="178"/>
      <c r="E85" s="178"/>
      <c r="F85" s="178"/>
      <c r="G85" s="178"/>
    </row>
    <row r="86" spans="1:7" x14ac:dyDescent="0.25">
      <c r="A86" s="79"/>
      <c r="B86" s="79"/>
      <c r="C86" s="79"/>
      <c r="D86" s="79"/>
      <c r="E86" s="79"/>
      <c r="F86" s="79"/>
      <c r="G86" s="79"/>
    </row>
    <row r="87" spans="1:7" x14ac:dyDescent="0.25">
      <c r="A87" s="76" t="s">
        <v>118</v>
      </c>
      <c r="B87" s="76" t="s">
        <v>119</v>
      </c>
      <c r="C87" s="76" t="s">
        <v>120</v>
      </c>
      <c r="D87" s="76" t="s">
        <v>121</v>
      </c>
      <c r="E87" s="76" t="s">
        <v>122</v>
      </c>
      <c r="F87" s="76" t="s">
        <v>123</v>
      </c>
      <c r="G87" s="76" t="s">
        <v>124</v>
      </c>
    </row>
    <row r="88" spans="1:7" x14ac:dyDescent="0.25">
      <c r="A88" t="s">
        <v>217</v>
      </c>
      <c r="B88" s="91">
        <v>38990</v>
      </c>
      <c r="C88" s="92">
        <v>275</v>
      </c>
      <c r="D88" s="92">
        <v>78.566846979999994</v>
      </c>
      <c r="E88" s="92">
        <f>C88/D88</f>
        <v>3.5002041009740927</v>
      </c>
      <c r="F88" s="93">
        <v>10032.07</v>
      </c>
      <c r="G88" s="93">
        <f>F88*E88</f>
        <v>35114.292555259162</v>
      </c>
    </row>
    <row r="89" spans="1:7" x14ac:dyDescent="0.25">
      <c r="A89" t="s">
        <v>217</v>
      </c>
      <c r="B89" s="91">
        <v>39051</v>
      </c>
      <c r="C89" s="92">
        <v>275</v>
      </c>
      <c r="D89" s="92">
        <v>80.187476090000004</v>
      </c>
      <c r="E89" s="92">
        <f t="shared" ref="E89:E102" si="4">C89/D89</f>
        <v>3.4294632205576381</v>
      </c>
      <c r="F89" s="93">
        <v>96.49</v>
      </c>
      <c r="G89" s="93">
        <f t="shared" ref="G89:G101" si="5">F89*E89</f>
        <v>330.90890615160646</v>
      </c>
    </row>
    <row r="90" spans="1:7" x14ac:dyDescent="0.25">
      <c r="A90" t="s">
        <v>217</v>
      </c>
      <c r="B90" s="91">
        <v>39082</v>
      </c>
      <c r="C90" s="92">
        <v>275</v>
      </c>
      <c r="D90" s="92">
        <v>81.661321659999999</v>
      </c>
      <c r="E90" s="92">
        <f t="shared" si="4"/>
        <v>3.367567342896713</v>
      </c>
      <c r="F90" s="93">
        <v>32300</v>
      </c>
      <c r="G90" s="93">
        <f t="shared" si="5"/>
        <v>108772.42517556383</v>
      </c>
    </row>
    <row r="91" spans="1:7" x14ac:dyDescent="0.25">
      <c r="A91" t="s">
        <v>218</v>
      </c>
      <c r="B91" s="91">
        <v>38990</v>
      </c>
      <c r="C91" s="92">
        <v>275</v>
      </c>
      <c r="D91" s="92">
        <v>78.566846979999994</v>
      </c>
      <c r="E91" s="92">
        <f t="shared" si="4"/>
        <v>3.5002041009740927</v>
      </c>
      <c r="F91" s="93">
        <v>10866.1</v>
      </c>
      <c r="G91" s="93">
        <f t="shared" si="5"/>
        <v>38033.567781594589</v>
      </c>
    </row>
    <row r="92" spans="1:7" x14ac:dyDescent="0.25">
      <c r="A92" t="s">
        <v>218</v>
      </c>
      <c r="B92" s="91">
        <v>39082</v>
      </c>
      <c r="C92" s="92">
        <v>275</v>
      </c>
      <c r="D92" s="92">
        <v>81.661321659999999</v>
      </c>
      <c r="E92" s="92">
        <f t="shared" si="4"/>
        <v>3.367567342896713</v>
      </c>
      <c r="F92" s="93">
        <v>47888</v>
      </c>
      <c r="G92" s="93">
        <f t="shared" si="5"/>
        <v>161266.06491663778</v>
      </c>
    </row>
    <row r="93" spans="1:7" x14ac:dyDescent="0.25">
      <c r="A93" t="s">
        <v>219</v>
      </c>
      <c r="B93" s="91">
        <v>39203</v>
      </c>
      <c r="C93" s="92">
        <v>275</v>
      </c>
      <c r="D93" s="92">
        <v>86.468087789999998</v>
      </c>
      <c r="E93" s="92">
        <f t="shared" si="4"/>
        <v>3.1803640745228048</v>
      </c>
      <c r="F93" s="93">
        <v>675.68</v>
      </c>
      <c r="G93" s="93">
        <f t="shared" si="5"/>
        <v>2148.9083978735684</v>
      </c>
    </row>
    <row r="94" spans="1:7" x14ac:dyDescent="0.25">
      <c r="A94" t="s">
        <v>220</v>
      </c>
      <c r="B94" s="91">
        <v>39533</v>
      </c>
      <c r="C94" s="92">
        <v>275</v>
      </c>
      <c r="D94" s="92">
        <v>108.2</v>
      </c>
      <c r="E94" s="92">
        <f t="shared" si="4"/>
        <v>2.5415896487985212</v>
      </c>
      <c r="F94" s="93">
        <v>1009.18</v>
      </c>
      <c r="G94" s="93">
        <f t="shared" si="5"/>
        <v>2564.9214417744915</v>
      </c>
    </row>
    <row r="95" spans="1:7" x14ac:dyDescent="0.25">
      <c r="A95" t="s">
        <v>220</v>
      </c>
      <c r="B95" s="91">
        <v>39533</v>
      </c>
      <c r="C95" s="92">
        <v>275</v>
      </c>
      <c r="D95" s="92">
        <v>108.2</v>
      </c>
      <c r="E95" s="92">
        <f t="shared" si="4"/>
        <v>2.5415896487985212</v>
      </c>
      <c r="F95" s="93">
        <v>1009.18</v>
      </c>
      <c r="G95" s="93">
        <f t="shared" si="5"/>
        <v>2564.9214417744915</v>
      </c>
    </row>
    <row r="96" spans="1:7" x14ac:dyDescent="0.25">
      <c r="A96" t="s">
        <v>220</v>
      </c>
      <c r="B96" s="91">
        <v>39533</v>
      </c>
      <c r="C96" s="92">
        <v>275</v>
      </c>
      <c r="D96" s="92">
        <v>108.2</v>
      </c>
      <c r="E96" s="92">
        <f t="shared" si="4"/>
        <v>2.5415896487985212</v>
      </c>
      <c r="F96" s="93">
        <v>1422.02</v>
      </c>
      <c r="G96" s="93">
        <f t="shared" si="5"/>
        <v>3614.1913123844729</v>
      </c>
    </row>
    <row r="97" spans="1:10" x14ac:dyDescent="0.25">
      <c r="A97" t="s">
        <v>221</v>
      </c>
      <c r="B97" s="91">
        <v>39533</v>
      </c>
      <c r="C97" s="92">
        <v>275</v>
      </c>
      <c r="D97" s="92">
        <v>108.2</v>
      </c>
      <c r="E97" s="92">
        <f t="shared" si="4"/>
        <v>2.5415896487985212</v>
      </c>
      <c r="F97" s="93">
        <v>182.56</v>
      </c>
      <c r="G97" s="93">
        <f t="shared" si="5"/>
        <v>463.99260628465805</v>
      </c>
    </row>
    <row r="98" spans="1:10" x14ac:dyDescent="0.25">
      <c r="A98" t="s">
        <v>222</v>
      </c>
      <c r="B98" s="91">
        <v>39660</v>
      </c>
      <c r="C98" s="92">
        <v>275</v>
      </c>
      <c r="D98" s="92">
        <v>118.2</v>
      </c>
      <c r="E98" s="92">
        <f t="shared" si="4"/>
        <v>2.3265651438240269</v>
      </c>
      <c r="F98" s="93">
        <v>596.33000000000004</v>
      </c>
      <c r="G98" s="93">
        <f t="shared" si="5"/>
        <v>1387.400592216582</v>
      </c>
    </row>
    <row r="99" spans="1:10" x14ac:dyDescent="0.25">
      <c r="A99" t="s">
        <v>223</v>
      </c>
      <c r="B99" s="91">
        <v>39771</v>
      </c>
      <c r="C99" s="92">
        <v>275</v>
      </c>
      <c r="D99" s="92">
        <v>128.5</v>
      </c>
      <c r="E99" s="92">
        <f t="shared" si="4"/>
        <v>2.1400778210116731</v>
      </c>
      <c r="F99" s="93">
        <v>4035</v>
      </c>
      <c r="G99" s="93">
        <f t="shared" si="5"/>
        <v>8635.2140077821005</v>
      </c>
    </row>
    <row r="100" spans="1:10" x14ac:dyDescent="0.25">
      <c r="A100" t="s">
        <v>224</v>
      </c>
      <c r="B100" s="91">
        <v>39840</v>
      </c>
      <c r="C100" s="92">
        <v>275</v>
      </c>
      <c r="D100" s="92">
        <v>135.1</v>
      </c>
      <c r="E100" s="92">
        <f t="shared" si="4"/>
        <v>2.0355292376017764</v>
      </c>
      <c r="F100" s="93">
        <v>577.98</v>
      </c>
      <c r="G100" s="93">
        <f t="shared" si="5"/>
        <v>1176.4951887490747</v>
      </c>
    </row>
    <row r="101" spans="1:10" x14ac:dyDescent="0.25">
      <c r="A101" t="s">
        <v>224</v>
      </c>
      <c r="B101" s="91">
        <v>39840</v>
      </c>
      <c r="C101" s="92">
        <v>275</v>
      </c>
      <c r="D101" s="92">
        <v>135.1</v>
      </c>
      <c r="E101" s="92">
        <f t="shared" si="4"/>
        <v>2.0355292376017764</v>
      </c>
      <c r="F101" s="93">
        <v>577.98</v>
      </c>
      <c r="G101" s="93">
        <f t="shared" si="5"/>
        <v>1176.4951887490747</v>
      </c>
    </row>
    <row r="102" spans="1:10" ht="15.75" thickBot="1" x14ac:dyDescent="0.3">
      <c r="A102" t="s">
        <v>225</v>
      </c>
      <c r="B102" s="91">
        <v>39938</v>
      </c>
      <c r="C102" s="92">
        <v>275</v>
      </c>
      <c r="D102" s="92">
        <v>145.19999999999999</v>
      </c>
      <c r="E102" s="92">
        <f t="shared" si="4"/>
        <v>1.893939393939394</v>
      </c>
      <c r="F102" s="94">
        <v>4694.37</v>
      </c>
      <c r="G102" s="94">
        <f>F102*E102</f>
        <v>8890.8522727272721</v>
      </c>
    </row>
    <row r="103" spans="1:10" ht="15.75" thickTop="1" x14ac:dyDescent="0.25">
      <c r="A103" s="179" t="s">
        <v>133</v>
      </c>
      <c r="B103" s="179"/>
      <c r="C103" s="179"/>
      <c r="D103" s="179"/>
      <c r="E103" s="179"/>
      <c r="F103" s="95">
        <f>SUM(F88:F102)</f>
        <v>115962.93999999997</v>
      </c>
      <c r="G103" s="95">
        <f>SUM(G88:G102)</f>
        <v>376140.6517855227</v>
      </c>
      <c r="I103" s="93">
        <v>113314.24000000001</v>
      </c>
      <c r="J103" s="108">
        <f>F103-I103</f>
        <v>2648.699999999968</v>
      </c>
    </row>
    <row r="104" spans="1:10" x14ac:dyDescent="0.25">
      <c r="A104" s="76"/>
      <c r="B104" s="76"/>
      <c r="C104" s="76"/>
      <c r="D104" s="76"/>
      <c r="E104" s="76"/>
      <c r="F104" s="95"/>
      <c r="G104" s="95"/>
    </row>
    <row r="105" spans="1:10" x14ac:dyDescent="0.25">
      <c r="A105" s="76"/>
      <c r="B105" s="76"/>
      <c r="C105" s="76"/>
      <c r="D105" s="76"/>
      <c r="E105" s="76"/>
      <c r="F105" s="95"/>
      <c r="G105" s="95"/>
    </row>
    <row r="106" spans="1:10" ht="15.75" x14ac:dyDescent="0.25">
      <c r="A106" s="178" t="s">
        <v>134</v>
      </c>
      <c r="B106" s="178"/>
      <c r="C106" s="178"/>
      <c r="D106" s="178"/>
      <c r="E106" s="178"/>
      <c r="F106" s="178"/>
      <c r="G106" s="178"/>
    </row>
    <row r="107" spans="1:10" x14ac:dyDescent="0.25">
      <c r="A107" s="79"/>
      <c r="B107" s="79"/>
      <c r="C107" s="79"/>
      <c r="D107" s="79"/>
      <c r="E107" s="79"/>
      <c r="F107" s="79"/>
      <c r="G107" s="79"/>
    </row>
    <row r="108" spans="1:10" x14ac:dyDescent="0.25">
      <c r="A108" s="76" t="s">
        <v>118</v>
      </c>
      <c r="B108" s="76" t="s">
        <v>119</v>
      </c>
      <c r="C108" s="76" t="s">
        <v>120</v>
      </c>
      <c r="D108" s="76" t="s">
        <v>121</v>
      </c>
      <c r="E108" s="76" t="s">
        <v>122</v>
      </c>
      <c r="F108" s="76" t="s">
        <v>123</v>
      </c>
      <c r="G108" s="76" t="s">
        <v>124</v>
      </c>
    </row>
    <row r="109" spans="1:10" x14ac:dyDescent="0.25">
      <c r="A109" t="s">
        <v>226</v>
      </c>
      <c r="B109" s="91">
        <v>39051</v>
      </c>
      <c r="C109" s="92">
        <v>275</v>
      </c>
      <c r="D109" s="92">
        <v>80.187476090000004</v>
      </c>
      <c r="E109" s="92">
        <f>C109/D109</f>
        <v>3.4294632205576381</v>
      </c>
      <c r="F109" s="93">
        <v>122807.02</v>
      </c>
      <c r="G109" s="93">
        <f>F109*E109</f>
        <v>421162.15831628628</v>
      </c>
    </row>
    <row r="110" spans="1:10" x14ac:dyDescent="0.25">
      <c r="A110" t="s">
        <v>227</v>
      </c>
      <c r="B110" s="91">
        <v>39142</v>
      </c>
      <c r="C110" s="92">
        <v>275</v>
      </c>
      <c r="D110" s="92">
        <v>83.812530649999999</v>
      </c>
      <c r="E110" s="92">
        <f t="shared" ref="E110:E125" si="6">C110/D110</f>
        <v>3.2811322825747418</v>
      </c>
      <c r="F110" s="93">
        <v>42547.519999999997</v>
      </c>
      <c r="G110" s="93">
        <f t="shared" ref="G110:G126" si="7">F110*E110</f>
        <v>139604.04141549446</v>
      </c>
    </row>
    <row r="111" spans="1:10" x14ac:dyDescent="0.25">
      <c r="A111" t="s">
        <v>228</v>
      </c>
      <c r="B111" s="91">
        <v>39142</v>
      </c>
      <c r="C111" s="92">
        <v>275</v>
      </c>
      <c r="D111" s="92">
        <v>83.812530649999999</v>
      </c>
      <c r="E111" s="92">
        <f t="shared" si="6"/>
        <v>3.2811322825747418</v>
      </c>
      <c r="F111" s="93">
        <v>2000</v>
      </c>
      <c r="G111" s="93">
        <f t="shared" si="7"/>
        <v>6562.2645651494831</v>
      </c>
    </row>
    <row r="112" spans="1:10" x14ac:dyDescent="0.25">
      <c r="A112" t="s">
        <v>229</v>
      </c>
      <c r="B112" s="91">
        <v>39326</v>
      </c>
      <c r="C112" s="92">
        <v>275</v>
      </c>
      <c r="D112" s="92">
        <v>90.557581049999996</v>
      </c>
      <c r="E112" s="92">
        <f t="shared" si="6"/>
        <v>3.036741891859533</v>
      </c>
      <c r="F112" s="93">
        <v>80000</v>
      </c>
      <c r="G112" s="93">
        <f t="shared" si="7"/>
        <v>242939.35134876263</v>
      </c>
    </row>
    <row r="113" spans="1:9" x14ac:dyDescent="0.25">
      <c r="A113" t="s">
        <v>230</v>
      </c>
      <c r="B113" s="91">
        <v>39355</v>
      </c>
      <c r="C113" s="92">
        <v>275</v>
      </c>
      <c r="D113" s="92">
        <v>90.557581049999996</v>
      </c>
      <c r="E113" s="92">
        <f t="shared" si="6"/>
        <v>3.036741891859533</v>
      </c>
      <c r="F113" s="93">
        <v>80000</v>
      </c>
      <c r="G113" s="93">
        <f t="shared" si="7"/>
        <v>242939.35134876263</v>
      </c>
    </row>
    <row r="114" spans="1:9" x14ac:dyDescent="0.25">
      <c r="A114" t="s">
        <v>230</v>
      </c>
      <c r="B114" s="91">
        <v>39355</v>
      </c>
      <c r="C114" s="92">
        <v>275</v>
      </c>
      <c r="D114" s="92">
        <v>90.557581049999996</v>
      </c>
      <c r="E114" s="92">
        <f t="shared" si="6"/>
        <v>3.036741891859533</v>
      </c>
      <c r="F114" s="93">
        <v>47000</v>
      </c>
      <c r="G114" s="93">
        <f t="shared" si="7"/>
        <v>142726.86891739804</v>
      </c>
    </row>
    <row r="115" spans="1:9" x14ac:dyDescent="0.25">
      <c r="A115" t="s">
        <v>230</v>
      </c>
      <c r="B115" s="91">
        <v>39386</v>
      </c>
      <c r="C115" s="92">
        <v>275</v>
      </c>
      <c r="D115" s="92">
        <v>92.775336339999996</v>
      </c>
      <c r="E115" s="92">
        <f t="shared" si="6"/>
        <v>2.964149857589188</v>
      </c>
      <c r="F115" s="93">
        <v>24000</v>
      </c>
      <c r="G115" s="93">
        <f t="shared" si="7"/>
        <v>71139.596582140512</v>
      </c>
    </row>
    <row r="116" spans="1:9" x14ac:dyDescent="0.25">
      <c r="A116" t="s">
        <v>230</v>
      </c>
      <c r="B116" s="91">
        <v>39416</v>
      </c>
      <c r="C116" s="92">
        <v>275</v>
      </c>
      <c r="D116" s="92">
        <v>96.812918629999999</v>
      </c>
      <c r="E116" s="92">
        <f t="shared" si="6"/>
        <v>2.8405300025195617</v>
      </c>
      <c r="F116" s="93">
        <v>24000</v>
      </c>
      <c r="G116" s="93">
        <f t="shared" si="7"/>
        <v>68172.720060469481</v>
      </c>
    </row>
    <row r="117" spans="1:9" x14ac:dyDescent="0.25">
      <c r="A117" t="s">
        <v>231</v>
      </c>
      <c r="B117" s="91">
        <v>39455</v>
      </c>
      <c r="C117" s="92">
        <v>275</v>
      </c>
      <c r="D117" s="92">
        <v>103.4</v>
      </c>
      <c r="E117" s="92">
        <f t="shared" si="6"/>
        <v>2.6595744680851063</v>
      </c>
      <c r="F117" s="93">
        <v>63072</v>
      </c>
      <c r="G117" s="93">
        <f t="shared" si="7"/>
        <v>167744.68085106384</v>
      </c>
    </row>
    <row r="118" spans="1:9" x14ac:dyDescent="0.25">
      <c r="A118" t="s">
        <v>232</v>
      </c>
      <c r="B118" s="91">
        <v>39599</v>
      </c>
      <c r="C118" s="92">
        <v>275</v>
      </c>
      <c r="D118" s="92">
        <v>113.7</v>
      </c>
      <c r="E118" s="92">
        <f t="shared" si="6"/>
        <v>2.4186455584872473</v>
      </c>
      <c r="F118" s="93">
        <v>50458.720000000001</v>
      </c>
      <c r="G118" s="93">
        <f t="shared" si="7"/>
        <v>122041.75901495163</v>
      </c>
    </row>
    <row r="119" spans="1:9" x14ac:dyDescent="0.25">
      <c r="A119" t="s">
        <v>232</v>
      </c>
      <c r="B119" s="91">
        <v>39599</v>
      </c>
      <c r="C119" s="92">
        <v>275</v>
      </c>
      <c r="D119" s="92">
        <v>113.7</v>
      </c>
      <c r="E119" s="92">
        <f t="shared" si="6"/>
        <v>2.4186455584872473</v>
      </c>
      <c r="F119" s="93">
        <v>77981.649999999994</v>
      </c>
      <c r="G119" s="93">
        <f t="shared" si="7"/>
        <v>188609.97141600703</v>
      </c>
    </row>
    <row r="120" spans="1:9" x14ac:dyDescent="0.25">
      <c r="A120" t="s">
        <v>232</v>
      </c>
      <c r="B120" s="91">
        <v>39599</v>
      </c>
      <c r="C120" s="92">
        <v>275</v>
      </c>
      <c r="D120" s="92">
        <v>113.7</v>
      </c>
      <c r="E120" s="92">
        <f t="shared" si="6"/>
        <v>2.4186455584872473</v>
      </c>
      <c r="F120" s="93">
        <v>56500</v>
      </c>
      <c r="G120" s="93">
        <f t="shared" si="7"/>
        <v>136653.47405452948</v>
      </c>
    </row>
    <row r="121" spans="1:9" x14ac:dyDescent="0.25">
      <c r="A121" t="s">
        <v>233</v>
      </c>
      <c r="B121" s="91">
        <v>39599</v>
      </c>
      <c r="C121" s="92">
        <v>275</v>
      </c>
      <c r="D121" s="92">
        <v>113.7</v>
      </c>
      <c r="E121" s="92">
        <f t="shared" si="6"/>
        <v>2.4186455584872473</v>
      </c>
      <c r="F121" s="93">
        <v>65000</v>
      </c>
      <c r="G121" s="93">
        <f t="shared" si="7"/>
        <v>157211.96130167108</v>
      </c>
    </row>
    <row r="122" spans="1:9" x14ac:dyDescent="0.25">
      <c r="A122" t="s">
        <v>234</v>
      </c>
      <c r="B122" s="91">
        <v>40255</v>
      </c>
      <c r="C122" s="92">
        <v>275</v>
      </c>
      <c r="D122" s="92">
        <v>178.2</v>
      </c>
      <c r="E122" s="92">
        <f t="shared" si="6"/>
        <v>1.5432098765432101</v>
      </c>
      <c r="F122" s="93">
        <v>192501.16</v>
      </c>
      <c r="G122" s="93">
        <f t="shared" si="7"/>
        <v>297069.69135802472</v>
      </c>
    </row>
    <row r="123" spans="1:9" x14ac:dyDescent="0.25">
      <c r="A123" t="s">
        <v>235</v>
      </c>
      <c r="B123" s="91">
        <v>40429</v>
      </c>
      <c r="C123" s="92">
        <v>275</v>
      </c>
      <c r="D123" s="92">
        <v>204</v>
      </c>
      <c r="E123" s="92">
        <f t="shared" si="6"/>
        <v>1.3480392156862746</v>
      </c>
      <c r="F123" s="93">
        <v>150000</v>
      </c>
      <c r="G123" s="93">
        <f t="shared" si="7"/>
        <v>202205.8823529412</v>
      </c>
    </row>
    <row r="124" spans="1:9" x14ac:dyDescent="0.25">
      <c r="A124" t="s">
        <v>236</v>
      </c>
      <c r="B124" s="91">
        <v>40479</v>
      </c>
      <c r="C124" s="92">
        <v>275</v>
      </c>
      <c r="D124" s="92">
        <v>207</v>
      </c>
      <c r="E124" s="92">
        <f t="shared" si="6"/>
        <v>1.3285024154589371</v>
      </c>
      <c r="F124" s="93">
        <v>180000</v>
      </c>
      <c r="G124" s="93">
        <f t="shared" si="7"/>
        <v>239130.43478260867</v>
      </c>
    </row>
    <row r="125" spans="1:9" x14ac:dyDescent="0.25">
      <c r="A125" t="s">
        <v>237</v>
      </c>
      <c r="B125" s="91">
        <v>40500</v>
      </c>
      <c r="C125" s="92">
        <v>275</v>
      </c>
      <c r="D125" s="92">
        <v>209.7</v>
      </c>
      <c r="E125" s="92">
        <f t="shared" si="6"/>
        <v>1.3113972341440154</v>
      </c>
      <c r="F125" s="93">
        <v>250000</v>
      </c>
      <c r="G125" s="93">
        <f t="shared" si="7"/>
        <v>327849.30853600387</v>
      </c>
    </row>
    <row r="126" spans="1:9" x14ac:dyDescent="0.25">
      <c r="A126" t="s">
        <v>237</v>
      </c>
      <c r="B126" s="91">
        <v>40500</v>
      </c>
      <c r="C126" s="92">
        <v>275</v>
      </c>
      <c r="D126" s="92">
        <v>209.7</v>
      </c>
      <c r="E126" s="92">
        <f>C126/D126</f>
        <v>1.3113972341440154</v>
      </c>
      <c r="F126" s="93">
        <v>250000</v>
      </c>
      <c r="G126" s="93">
        <f t="shared" si="7"/>
        <v>327849.30853600387</v>
      </c>
    </row>
    <row r="127" spans="1:9" ht="15.75" thickBot="1" x14ac:dyDescent="0.3">
      <c r="A127" t="s">
        <v>238</v>
      </c>
      <c r="B127" s="91">
        <v>40626</v>
      </c>
      <c r="C127" s="92">
        <v>275</v>
      </c>
      <c r="D127" s="92">
        <v>229.3</v>
      </c>
      <c r="E127" s="92">
        <f>C127/D127</f>
        <v>1.1993022241604885</v>
      </c>
      <c r="F127" s="94">
        <v>0</v>
      </c>
      <c r="G127" s="94">
        <f>F127*E127</f>
        <v>0</v>
      </c>
    </row>
    <row r="128" spans="1:9" ht="15.75" thickTop="1" x14ac:dyDescent="0.25">
      <c r="A128" s="179" t="s">
        <v>133</v>
      </c>
      <c r="B128" s="179"/>
      <c r="C128" s="179"/>
      <c r="D128" s="179"/>
      <c r="E128" s="179"/>
      <c r="F128" s="95">
        <f>SUM(F109:F127)</f>
        <v>1757868.07</v>
      </c>
      <c r="G128" s="95">
        <f>SUM(G109:G127)</f>
        <v>3501612.8247582689</v>
      </c>
      <c r="I128" s="93">
        <v>1757868.07</v>
      </c>
    </row>
    <row r="129" spans="1:7" x14ac:dyDescent="0.25">
      <c r="A129" s="76"/>
      <c r="B129" s="76"/>
      <c r="C129" s="76"/>
      <c r="D129" s="76"/>
      <c r="E129" s="76"/>
      <c r="F129" s="95"/>
      <c r="G129" s="95"/>
    </row>
    <row r="130" spans="1:7" x14ac:dyDescent="0.25">
      <c r="A130" s="76"/>
      <c r="B130" s="76"/>
      <c r="C130" s="76"/>
      <c r="D130" s="76"/>
      <c r="E130" s="76"/>
      <c r="F130" s="95"/>
      <c r="G130" s="95"/>
    </row>
    <row r="131" spans="1:7" ht="15.75" x14ac:dyDescent="0.25">
      <c r="A131" s="178" t="s">
        <v>165</v>
      </c>
      <c r="B131" s="178"/>
      <c r="C131" s="178"/>
      <c r="D131" s="178"/>
      <c r="E131" s="178"/>
      <c r="F131" s="178"/>
      <c r="G131" s="178"/>
    </row>
    <row r="132" spans="1:7" x14ac:dyDescent="0.25">
      <c r="A132" s="79"/>
      <c r="B132" s="79"/>
      <c r="C132" s="79"/>
      <c r="D132" s="79"/>
      <c r="E132" s="79"/>
      <c r="F132" s="79"/>
      <c r="G132" s="79"/>
    </row>
    <row r="133" spans="1:7" x14ac:dyDescent="0.25">
      <c r="A133" s="76" t="s">
        <v>118</v>
      </c>
      <c r="B133" s="76" t="s">
        <v>119</v>
      </c>
      <c r="C133" s="76" t="s">
        <v>120</v>
      </c>
      <c r="D133" s="76" t="s">
        <v>121</v>
      </c>
      <c r="E133" s="76" t="s">
        <v>122</v>
      </c>
      <c r="F133" s="76" t="s">
        <v>123</v>
      </c>
      <c r="G133" s="76" t="s">
        <v>124</v>
      </c>
    </row>
    <row r="134" spans="1:7" x14ac:dyDescent="0.25">
      <c r="A134" t="s">
        <v>167</v>
      </c>
      <c r="B134" s="91">
        <v>39203</v>
      </c>
      <c r="C134" s="92">
        <v>275</v>
      </c>
      <c r="D134" s="92">
        <v>90.557581049999996</v>
      </c>
      <c r="E134" s="92">
        <f>C134/D134</f>
        <v>3.036741891859533</v>
      </c>
      <c r="F134" s="93">
        <v>7000</v>
      </c>
      <c r="G134" s="93">
        <f>F134*E134</f>
        <v>21257.193243016733</v>
      </c>
    </row>
    <row r="135" spans="1:7" x14ac:dyDescent="0.25">
      <c r="A135" t="s">
        <v>168</v>
      </c>
      <c r="B135" s="91">
        <v>39203</v>
      </c>
      <c r="C135" s="92">
        <v>275</v>
      </c>
      <c r="D135" s="92">
        <v>90.557581049999996</v>
      </c>
      <c r="E135" s="92">
        <f t="shared" ref="E135:E187" si="8">C135/D135</f>
        <v>3.036741891859533</v>
      </c>
      <c r="F135" s="93">
        <v>1000</v>
      </c>
      <c r="G135" s="93">
        <f t="shared" ref="G135:G187" si="9">F135*E135</f>
        <v>3036.7418918595331</v>
      </c>
    </row>
    <row r="136" spans="1:7" x14ac:dyDescent="0.25">
      <c r="A136" t="s">
        <v>169</v>
      </c>
      <c r="B136" s="91">
        <v>39203</v>
      </c>
      <c r="C136" s="92">
        <v>275</v>
      </c>
      <c r="D136" s="92">
        <v>90.557581049999996</v>
      </c>
      <c r="E136" s="92">
        <f t="shared" si="8"/>
        <v>3.036741891859533</v>
      </c>
      <c r="F136" s="93">
        <v>660</v>
      </c>
      <c r="G136" s="93">
        <f t="shared" si="9"/>
        <v>2004.2496486272919</v>
      </c>
    </row>
    <row r="137" spans="1:7" x14ac:dyDescent="0.25">
      <c r="A137" t="s">
        <v>170</v>
      </c>
      <c r="B137" s="91">
        <v>39203</v>
      </c>
      <c r="C137" s="92">
        <v>275</v>
      </c>
      <c r="D137" s="92">
        <v>90.557581049999996</v>
      </c>
      <c r="E137" s="92">
        <f t="shared" si="8"/>
        <v>3.036741891859533</v>
      </c>
      <c r="F137" s="93">
        <v>11094</v>
      </c>
      <c r="G137" s="93">
        <f t="shared" si="9"/>
        <v>33689.614548289661</v>
      </c>
    </row>
    <row r="138" spans="1:7" x14ac:dyDescent="0.25">
      <c r="A138" t="s">
        <v>171</v>
      </c>
      <c r="B138" s="91">
        <v>39082</v>
      </c>
      <c r="C138" s="92">
        <v>275</v>
      </c>
      <c r="D138" s="92">
        <v>81.661321659999999</v>
      </c>
      <c r="E138" s="92">
        <f t="shared" si="8"/>
        <v>3.367567342896713</v>
      </c>
      <c r="F138" s="93">
        <v>25000</v>
      </c>
      <c r="G138" s="93">
        <f t="shared" si="9"/>
        <v>84189.183572417824</v>
      </c>
    </row>
    <row r="139" spans="1:7" x14ac:dyDescent="0.25">
      <c r="A139" t="s">
        <v>172</v>
      </c>
      <c r="B139" s="91">
        <v>39082</v>
      </c>
      <c r="C139" s="92">
        <v>275</v>
      </c>
      <c r="D139" s="92">
        <v>81.661321659999999</v>
      </c>
      <c r="E139" s="92">
        <f t="shared" si="8"/>
        <v>3.367567342896713</v>
      </c>
      <c r="F139" s="93">
        <v>60000</v>
      </c>
      <c r="G139" s="93">
        <f t="shared" si="9"/>
        <v>202054.04057380278</v>
      </c>
    </row>
    <row r="140" spans="1:7" x14ac:dyDescent="0.25">
      <c r="A140" t="s">
        <v>173</v>
      </c>
      <c r="B140" s="91">
        <v>39082</v>
      </c>
      <c r="C140" s="92">
        <v>275</v>
      </c>
      <c r="D140" s="92">
        <v>81.661321659999999</v>
      </c>
      <c r="E140" s="92">
        <f t="shared" si="8"/>
        <v>3.367567342896713</v>
      </c>
      <c r="F140" s="93">
        <v>8000</v>
      </c>
      <c r="G140" s="93">
        <f t="shared" si="9"/>
        <v>26940.538743173704</v>
      </c>
    </row>
    <row r="141" spans="1:7" x14ac:dyDescent="0.25">
      <c r="A141" t="s">
        <v>173</v>
      </c>
      <c r="B141" s="91">
        <v>39082</v>
      </c>
      <c r="C141" s="92">
        <v>275</v>
      </c>
      <c r="D141" s="92">
        <v>81.661321659999999</v>
      </c>
      <c r="E141" s="92">
        <f t="shared" si="8"/>
        <v>3.367567342896713</v>
      </c>
      <c r="F141" s="93">
        <v>8000</v>
      </c>
      <c r="G141" s="93">
        <f t="shared" si="9"/>
        <v>26940.538743173704</v>
      </c>
    </row>
    <row r="142" spans="1:7" x14ac:dyDescent="0.25">
      <c r="A142" t="s">
        <v>174</v>
      </c>
      <c r="B142" s="91">
        <v>39082</v>
      </c>
      <c r="C142" s="92">
        <v>275</v>
      </c>
      <c r="D142" s="92">
        <v>81.661321659999999</v>
      </c>
      <c r="E142" s="92">
        <f t="shared" si="8"/>
        <v>3.367567342896713</v>
      </c>
      <c r="F142" s="93">
        <v>6000</v>
      </c>
      <c r="G142" s="93">
        <f t="shared" si="9"/>
        <v>20205.404057380278</v>
      </c>
    </row>
    <row r="143" spans="1:7" x14ac:dyDescent="0.25">
      <c r="A143" t="s">
        <v>175</v>
      </c>
      <c r="B143" s="91">
        <v>39082</v>
      </c>
      <c r="C143" s="92">
        <v>275</v>
      </c>
      <c r="D143" s="92">
        <v>81.661321659999999</v>
      </c>
      <c r="E143" s="92">
        <f t="shared" si="8"/>
        <v>3.367567342896713</v>
      </c>
      <c r="F143" s="93">
        <v>20000</v>
      </c>
      <c r="G143" s="93">
        <f t="shared" si="9"/>
        <v>67351.346857934259</v>
      </c>
    </row>
    <row r="144" spans="1:7" x14ac:dyDescent="0.25">
      <c r="A144" t="s">
        <v>176</v>
      </c>
      <c r="B144" s="91">
        <v>39082</v>
      </c>
      <c r="C144" s="92">
        <v>275</v>
      </c>
      <c r="D144" s="92">
        <v>81.661321659999999</v>
      </c>
      <c r="E144" s="92">
        <f t="shared" si="8"/>
        <v>3.367567342896713</v>
      </c>
      <c r="F144" s="93">
        <v>15000</v>
      </c>
      <c r="G144" s="93">
        <f t="shared" si="9"/>
        <v>50513.510143450694</v>
      </c>
    </row>
    <row r="145" spans="1:9" x14ac:dyDescent="0.25">
      <c r="A145" t="s">
        <v>177</v>
      </c>
      <c r="B145" s="91">
        <v>39082</v>
      </c>
      <c r="C145" s="92">
        <v>275</v>
      </c>
      <c r="D145" s="92">
        <v>81.661321659999999</v>
      </c>
      <c r="E145" s="92">
        <f t="shared" si="8"/>
        <v>3.367567342896713</v>
      </c>
      <c r="F145" s="93">
        <v>15000</v>
      </c>
      <c r="G145" s="93">
        <f t="shared" si="9"/>
        <v>50513.510143450694</v>
      </c>
    </row>
    <row r="146" spans="1:9" x14ac:dyDescent="0.25">
      <c r="A146" t="s">
        <v>178</v>
      </c>
      <c r="B146" s="91">
        <v>39082</v>
      </c>
      <c r="C146" s="92">
        <v>275</v>
      </c>
      <c r="D146" s="92">
        <v>81.661321659999999</v>
      </c>
      <c r="E146" s="92">
        <f t="shared" si="8"/>
        <v>3.367567342896713</v>
      </c>
      <c r="F146" s="93">
        <v>50000</v>
      </c>
      <c r="G146" s="93">
        <f t="shared" si="9"/>
        <v>168378.36714483565</v>
      </c>
    </row>
    <row r="147" spans="1:9" x14ac:dyDescent="0.25">
      <c r="A147" t="s">
        <v>179</v>
      </c>
      <c r="B147" s="91">
        <v>38990</v>
      </c>
      <c r="C147" s="92">
        <v>275</v>
      </c>
      <c r="D147" s="92">
        <v>78.566846979999994</v>
      </c>
      <c r="E147" s="92">
        <f t="shared" si="8"/>
        <v>3.5002041009740927</v>
      </c>
      <c r="F147" s="93">
        <v>120000</v>
      </c>
      <c r="G147" s="93">
        <f t="shared" si="9"/>
        <v>420024.49211689114</v>
      </c>
    </row>
    <row r="148" spans="1:9" x14ac:dyDescent="0.25">
      <c r="A148" t="s">
        <v>180</v>
      </c>
      <c r="B148" s="91">
        <v>38990</v>
      </c>
      <c r="C148" s="92">
        <v>275</v>
      </c>
      <c r="D148" s="92">
        <v>78.566846979999994</v>
      </c>
      <c r="E148" s="92">
        <f t="shared" si="8"/>
        <v>3.5002041009740927</v>
      </c>
      <c r="F148" s="93">
        <v>30000</v>
      </c>
      <c r="G148" s="93">
        <f t="shared" si="9"/>
        <v>105006.12302922278</v>
      </c>
    </row>
    <row r="149" spans="1:9" x14ac:dyDescent="0.25">
      <c r="A149" t="s">
        <v>181</v>
      </c>
      <c r="B149" s="91">
        <v>38990</v>
      </c>
      <c r="C149" s="92">
        <v>275</v>
      </c>
      <c r="D149" s="92">
        <v>78.566846979999994</v>
      </c>
      <c r="E149" s="92">
        <f t="shared" si="8"/>
        <v>3.5002041009740927</v>
      </c>
      <c r="F149" s="93">
        <v>40000</v>
      </c>
      <c r="G149" s="93">
        <f t="shared" si="9"/>
        <v>140008.1640389637</v>
      </c>
    </row>
    <row r="150" spans="1:9" x14ac:dyDescent="0.25">
      <c r="A150" t="s">
        <v>182</v>
      </c>
      <c r="B150" s="91">
        <v>39142</v>
      </c>
      <c r="C150" s="92">
        <v>275</v>
      </c>
      <c r="D150" s="92">
        <v>83.812530649999999</v>
      </c>
      <c r="E150" s="92">
        <f t="shared" si="8"/>
        <v>3.2811322825747418</v>
      </c>
      <c r="F150" s="93">
        <v>14706</v>
      </c>
      <c r="G150" s="93">
        <f t="shared" si="9"/>
        <v>48252.331347544154</v>
      </c>
    </row>
    <row r="151" spans="1:9" x14ac:dyDescent="0.25">
      <c r="A151" t="s">
        <v>183</v>
      </c>
      <c r="B151" s="91">
        <v>38990</v>
      </c>
      <c r="C151" s="92">
        <v>275</v>
      </c>
      <c r="D151" s="92">
        <v>78.566846979999994</v>
      </c>
      <c r="E151" s="92">
        <f t="shared" si="8"/>
        <v>3.5002041009740927</v>
      </c>
      <c r="F151" s="93">
        <v>5481.47</v>
      </c>
      <c r="G151" s="93">
        <f t="shared" si="9"/>
        <v>19186.26377336646</v>
      </c>
    </row>
    <row r="152" spans="1:9" x14ac:dyDescent="0.25">
      <c r="A152" t="s">
        <v>183</v>
      </c>
      <c r="B152" s="91">
        <v>39082</v>
      </c>
      <c r="C152" s="92">
        <v>275</v>
      </c>
      <c r="D152" s="92">
        <v>81.661321659999999</v>
      </c>
      <c r="E152" s="92">
        <f t="shared" si="8"/>
        <v>3.367567342896713</v>
      </c>
      <c r="F152" s="93">
        <v>130100</v>
      </c>
      <c r="G152" s="93">
        <f t="shared" si="9"/>
        <v>438120.51131086238</v>
      </c>
    </row>
    <row r="153" spans="1:9" x14ac:dyDescent="0.25">
      <c r="A153" t="s">
        <v>184</v>
      </c>
      <c r="B153" s="91">
        <v>38990</v>
      </c>
      <c r="C153" s="92">
        <v>275</v>
      </c>
      <c r="D153" s="92">
        <v>78.566846979999994</v>
      </c>
      <c r="E153" s="92">
        <f t="shared" si="8"/>
        <v>3.5002041009740927</v>
      </c>
      <c r="F153" s="93">
        <v>8620.41</v>
      </c>
      <c r="G153" s="93">
        <f t="shared" si="9"/>
        <v>30173.194434078079</v>
      </c>
    </row>
    <row r="154" spans="1:9" x14ac:dyDescent="0.25">
      <c r="A154" t="s">
        <v>184</v>
      </c>
      <c r="B154" s="91">
        <v>39020</v>
      </c>
      <c r="C154" s="92">
        <v>275</v>
      </c>
      <c r="D154" s="92">
        <v>79.151384570000005</v>
      </c>
      <c r="E154" s="92">
        <f t="shared" si="8"/>
        <v>3.4743548896077128</v>
      </c>
      <c r="F154" s="93">
        <v>500</v>
      </c>
      <c r="G154" s="93">
        <f t="shared" si="9"/>
        <v>1737.1774448038564</v>
      </c>
    </row>
    <row r="155" spans="1:9" x14ac:dyDescent="0.25">
      <c r="A155" t="s">
        <v>184</v>
      </c>
      <c r="B155" s="91">
        <v>39082</v>
      </c>
      <c r="C155" s="92">
        <v>275</v>
      </c>
      <c r="D155" s="92">
        <v>81.661321659999999</v>
      </c>
      <c r="E155" s="92">
        <f t="shared" si="8"/>
        <v>3.367567342896713</v>
      </c>
      <c r="F155" s="93">
        <v>80000</v>
      </c>
      <c r="G155" s="93">
        <f t="shared" si="9"/>
        <v>269405.38743173704</v>
      </c>
    </row>
    <row r="156" spans="1:9" x14ac:dyDescent="0.25">
      <c r="A156" t="s">
        <v>185</v>
      </c>
      <c r="B156" s="91">
        <v>39082</v>
      </c>
      <c r="C156" s="92">
        <v>275</v>
      </c>
      <c r="D156" s="92">
        <v>81.661321659999999</v>
      </c>
      <c r="E156" s="92">
        <f t="shared" si="8"/>
        <v>3.367567342896713</v>
      </c>
      <c r="F156" s="93">
        <v>29935.24</v>
      </c>
      <c r="G156" s="93">
        <f t="shared" si="9"/>
        <v>100808.9366257754</v>
      </c>
    </row>
    <row r="157" spans="1:9" x14ac:dyDescent="0.25">
      <c r="A157" t="s">
        <v>186</v>
      </c>
      <c r="B157" s="91">
        <v>39611</v>
      </c>
      <c r="C157" s="92">
        <v>275</v>
      </c>
      <c r="D157" s="92">
        <v>116.3</v>
      </c>
      <c r="E157" s="92">
        <f t="shared" si="8"/>
        <v>2.36457437661221</v>
      </c>
      <c r="F157" s="93">
        <v>20800</v>
      </c>
      <c r="G157" s="93">
        <f t="shared" si="9"/>
        <v>49183.147033533969</v>
      </c>
      <c r="I157" s="108"/>
    </row>
    <row r="158" spans="1:9" x14ac:dyDescent="0.25">
      <c r="A158" t="s">
        <v>187</v>
      </c>
      <c r="B158" s="91">
        <v>39651</v>
      </c>
      <c r="C158" s="92">
        <v>275</v>
      </c>
      <c r="D158" s="92">
        <v>118.2</v>
      </c>
      <c r="E158" s="92">
        <f t="shared" si="8"/>
        <v>2.3265651438240269</v>
      </c>
      <c r="F158" s="93">
        <v>21192.66</v>
      </c>
      <c r="G158" s="93">
        <f t="shared" si="9"/>
        <v>49306.104060913698</v>
      </c>
    </row>
    <row r="159" spans="1:9" x14ac:dyDescent="0.25">
      <c r="A159" t="s">
        <v>188</v>
      </c>
      <c r="B159" s="91">
        <v>39722</v>
      </c>
      <c r="C159" s="92">
        <v>275</v>
      </c>
      <c r="D159" s="92">
        <v>125.8</v>
      </c>
      <c r="E159" s="92">
        <f t="shared" si="8"/>
        <v>2.1860095389507155</v>
      </c>
      <c r="F159" s="93">
        <v>22935.78</v>
      </c>
      <c r="G159" s="93">
        <f t="shared" si="9"/>
        <v>50137.833863275038</v>
      </c>
    </row>
    <row r="160" spans="1:9" x14ac:dyDescent="0.25">
      <c r="A160" t="s">
        <v>189</v>
      </c>
      <c r="B160" s="91">
        <v>39798</v>
      </c>
      <c r="C160" s="92">
        <v>275</v>
      </c>
      <c r="D160" s="92">
        <v>131.9</v>
      </c>
      <c r="E160" s="92">
        <f t="shared" si="8"/>
        <v>2.0849128127369219</v>
      </c>
      <c r="F160" s="93">
        <v>13623.85</v>
      </c>
      <c r="G160" s="93">
        <f t="shared" si="9"/>
        <v>28404.539423805913</v>
      </c>
    </row>
    <row r="161" spans="1:7" x14ac:dyDescent="0.25">
      <c r="A161" t="s">
        <v>189</v>
      </c>
      <c r="B161" s="91">
        <v>39813</v>
      </c>
      <c r="C161" s="92">
        <v>275</v>
      </c>
      <c r="D161" s="92">
        <v>131.9</v>
      </c>
      <c r="E161" s="92">
        <f t="shared" si="8"/>
        <v>2.0849128127369219</v>
      </c>
      <c r="F161" s="93">
        <v>13623.85</v>
      </c>
      <c r="G161" s="93">
        <f t="shared" si="9"/>
        <v>28404.539423805913</v>
      </c>
    </row>
    <row r="162" spans="1:7" x14ac:dyDescent="0.25">
      <c r="A162" t="s">
        <v>190</v>
      </c>
      <c r="B162" s="91">
        <v>39813</v>
      </c>
      <c r="C162" s="92">
        <v>275</v>
      </c>
      <c r="D162" s="92">
        <v>131.9</v>
      </c>
      <c r="E162" s="92">
        <f t="shared" si="8"/>
        <v>2.0849128127369219</v>
      </c>
      <c r="F162" s="93">
        <v>10370.629999999999</v>
      </c>
      <c r="G162" s="93">
        <f t="shared" si="9"/>
        <v>21621.859363153901</v>
      </c>
    </row>
    <row r="163" spans="1:7" x14ac:dyDescent="0.25">
      <c r="A163" t="s">
        <v>190</v>
      </c>
      <c r="B163" s="91">
        <v>39813</v>
      </c>
      <c r="C163" s="92">
        <v>275</v>
      </c>
      <c r="D163" s="92">
        <v>131.9</v>
      </c>
      <c r="E163" s="92">
        <f t="shared" si="8"/>
        <v>2.0849128127369219</v>
      </c>
      <c r="F163" s="93">
        <v>20624.349999999999</v>
      </c>
      <c r="G163" s="93">
        <f t="shared" si="9"/>
        <v>42999.971569370733</v>
      </c>
    </row>
    <row r="164" spans="1:7" x14ac:dyDescent="0.25">
      <c r="A164" t="s">
        <v>191</v>
      </c>
      <c r="B164" s="91">
        <v>39813</v>
      </c>
      <c r="C164" s="92">
        <v>275</v>
      </c>
      <c r="D164" s="92">
        <v>131.9</v>
      </c>
      <c r="E164" s="92">
        <f t="shared" si="8"/>
        <v>2.0849128127369219</v>
      </c>
      <c r="F164" s="93">
        <v>10750</v>
      </c>
      <c r="G164" s="93">
        <f t="shared" si="9"/>
        <v>22412.812736921911</v>
      </c>
    </row>
    <row r="165" spans="1:7" x14ac:dyDescent="0.25">
      <c r="A165" t="s">
        <v>191</v>
      </c>
      <c r="B165" s="91">
        <v>39813</v>
      </c>
      <c r="C165" s="92">
        <v>275</v>
      </c>
      <c r="D165" s="92">
        <v>131.9</v>
      </c>
      <c r="E165" s="92">
        <f t="shared" si="8"/>
        <v>2.0849128127369219</v>
      </c>
      <c r="F165" s="93">
        <v>12900</v>
      </c>
      <c r="G165" s="93">
        <f t="shared" si="9"/>
        <v>26895.37528430629</v>
      </c>
    </row>
    <row r="166" spans="1:7" x14ac:dyDescent="0.25">
      <c r="A166" t="s">
        <v>191</v>
      </c>
      <c r="B166" s="91">
        <v>39813</v>
      </c>
      <c r="C166" s="92">
        <v>275</v>
      </c>
      <c r="D166" s="92">
        <v>131.9</v>
      </c>
      <c r="E166" s="92">
        <f t="shared" si="8"/>
        <v>2.0849128127369219</v>
      </c>
      <c r="F166" s="93">
        <v>27876.9</v>
      </c>
      <c r="G166" s="93">
        <f t="shared" si="9"/>
        <v>58120.905989385901</v>
      </c>
    </row>
    <row r="167" spans="1:7" x14ac:dyDescent="0.25">
      <c r="A167" t="s">
        <v>191</v>
      </c>
      <c r="B167" s="91">
        <v>39813</v>
      </c>
      <c r="C167" s="92">
        <v>275</v>
      </c>
      <c r="D167" s="92">
        <v>131.9</v>
      </c>
      <c r="E167" s="92">
        <f t="shared" si="8"/>
        <v>2.0849128127369219</v>
      </c>
      <c r="F167" s="93">
        <v>27876.9</v>
      </c>
      <c r="G167" s="93">
        <f t="shared" si="9"/>
        <v>58120.905989385901</v>
      </c>
    </row>
    <row r="168" spans="1:7" x14ac:dyDescent="0.25">
      <c r="A168" t="s">
        <v>191</v>
      </c>
      <c r="B168" s="91">
        <v>39813</v>
      </c>
      <c r="C168" s="92">
        <v>275</v>
      </c>
      <c r="D168" s="92">
        <v>131.9</v>
      </c>
      <c r="E168" s="92">
        <f t="shared" si="8"/>
        <v>2.0849128127369219</v>
      </c>
      <c r="F168" s="93">
        <v>8073.74</v>
      </c>
      <c r="G168" s="93">
        <f t="shared" si="9"/>
        <v>16833.043972706597</v>
      </c>
    </row>
    <row r="169" spans="1:7" x14ac:dyDescent="0.25">
      <c r="A169" t="s">
        <v>191</v>
      </c>
      <c r="B169" s="91">
        <v>39813</v>
      </c>
      <c r="C169" s="92">
        <v>275</v>
      </c>
      <c r="D169" s="92">
        <v>131.9</v>
      </c>
      <c r="E169" s="92">
        <f t="shared" si="8"/>
        <v>2.0849128127369219</v>
      </c>
      <c r="F169" s="93">
        <v>15827.44</v>
      </c>
      <c r="G169" s="93">
        <f t="shared" si="9"/>
        <v>32998.832448824869</v>
      </c>
    </row>
    <row r="170" spans="1:7" x14ac:dyDescent="0.25">
      <c r="A170" t="s">
        <v>192</v>
      </c>
      <c r="B170" s="91">
        <v>39813</v>
      </c>
      <c r="C170" s="92">
        <v>275</v>
      </c>
      <c r="D170" s="92">
        <v>131.9</v>
      </c>
      <c r="E170" s="92">
        <f t="shared" si="8"/>
        <v>2.0849128127369219</v>
      </c>
      <c r="F170" s="93">
        <v>895.48</v>
      </c>
      <c r="G170" s="93">
        <f t="shared" si="9"/>
        <v>1866.9977255496588</v>
      </c>
    </row>
    <row r="171" spans="1:7" x14ac:dyDescent="0.25">
      <c r="A171" t="s">
        <v>193</v>
      </c>
      <c r="B171" s="91">
        <v>39840</v>
      </c>
      <c r="C171" s="92">
        <v>275</v>
      </c>
      <c r="D171" s="92">
        <v>135.1</v>
      </c>
      <c r="E171" s="92">
        <f t="shared" si="8"/>
        <v>2.0355292376017764</v>
      </c>
      <c r="F171" s="93">
        <v>2477.06</v>
      </c>
      <c r="G171" s="93">
        <f t="shared" si="9"/>
        <v>5042.1280532938563</v>
      </c>
    </row>
    <row r="172" spans="1:7" x14ac:dyDescent="0.25">
      <c r="A172" t="s">
        <v>194</v>
      </c>
      <c r="B172" s="91">
        <v>39882</v>
      </c>
      <c r="C172" s="92">
        <v>275</v>
      </c>
      <c r="D172" s="92">
        <v>139</v>
      </c>
      <c r="E172" s="92">
        <f t="shared" si="8"/>
        <v>1.9784172661870503</v>
      </c>
      <c r="F172" s="93">
        <v>50000</v>
      </c>
      <c r="G172" s="93">
        <f t="shared" si="9"/>
        <v>98920.863309352513</v>
      </c>
    </row>
    <row r="173" spans="1:7" x14ac:dyDescent="0.25">
      <c r="A173" t="s">
        <v>195</v>
      </c>
      <c r="B173" s="91">
        <v>39882</v>
      </c>
      <c r="C173" s="92">
        <v>275</v>
      </c>
      <c r="D173" s="92">
        <v>139</v>
      </c>
      <c r="E173" s="92">
        <f t="shared" si="8"/>
        <v>1.9784172661870503</v>
      </c>
      <c r="F173" s="93">
        <v>50000</v>
      </c>
      <c r="G173" s="93">
        <f t="shared" si="9"/>
        <v>98920.863309352513</v>
      </c>
    </row>
    <row r="174" spans="1:7" x14ac:dyDescent="0.25">
      <c r="A174" t="s">
        <v>196</v>
      </c>
      <c r="B174" s="91">
        <v>40209</v>
      </c>
      <c r="C174" s="92">
        <v>275</v>
      </c>
      <c r="D174" s="92">
        <v>171.4</v>
      </c>
      <c r="E174" s="92">
        <f t="shared" si="8"/>
        <v>1.6044340723453909</v>
      </c>
      <c r="F174" s="93">
        <v>9615.3700000000008</v>
      </c>
      <c r="G174" s="93">
        <f t="shared" si="9"/>
        <v>15427.227246207704</v>
      </c>
    </row>
    <row r="175" spans="1:7" x14ac:dyDescent="0.25">
      <c r="A175" t="s">
        <v>197</v>
      </c>
      <c r="B175" s="91">
        <v>40209</v>
      </c>
      <c r="C175" s="92">
        <v>275</v>
      </c>
      <c r="D175" s="92">
        <v>171.4</v>
      </c>
      <c r="E175" s="92">
        <f t="shared" si="8"/>
        <v>1.6044340723453909</v>
      </c>
      <c r="F175" s="93">
        <v>228</v>
      </c>
      <c r="G175" s="93">
        <f t="shared" si="9"/>
        <v>365.81096849474915</v>
      </c>
    </row>
    <row r="176" spans="1:7" x14ac:dyDescent="0.25">
      <c r="A176" t="s">
        <v>198</v>
      </c>
      <c r="B176" s="91">
        <v>40487</v>
      </c>
      <c r="C176" s="92">
        <v>275</v>
      </c>
      <c r="D176" s="92">
        <v>209.7</v>
      </c>
      <c r="E176" s="92">
        <f t="shared" si="8"/>
        <v>1.3113972341440154</v>
      </c>
      <c r="F176" s="93">
        <v>105</v>
      </c>
      <c r="G176" s="93">
        <f t="shared" si="9"/>
        <v>137.69670958512162</v>
      </c>
    </row>
    <row r="177" spans="1:9" x14ac:dyDescent="0.25">
      <c r="A177" t="s">
        <v>199</v>
      </c>
      <c r="B177" s="91">
        <v>40497</v>
      </c>
      <c r="C177" s="92">
        <v>275</v>
      </c>
      <c r="D177" s="92">
        <v>209.7</v>
      </c>
      <c r="E177" s="92">
        <f t="shared" si="8"/>
        <v>1.3113972341440154</v>
      </c>
      <c r="F177" s="93">
        <v>15.18</v>
      </c>
      <c r="G177" s="93">
        <f t="shared" si="9"/>
        <v>19.907010014306152</v>
      </c>
    </row>
    <row r="178" spans="1:9" x14ac:dyDescent="0.25">
      <c r="A178" t="s">
        <v>200</v>
      </c>
      <c r="B178" s="91">
        <v>40499</v>
      </c>
      <c r="C178" s="92">
        <v>275</v>
      </c>
      <c r="D178" s="92">
        <v>209.7</v>
      </c>
      <c r="E178" s="92">
        <f t="shared" si="8"/>
        <v>1.3113972341440154</v>
      </c>
      <c r="F178" s="93">
        <v>276.77999999999997</v>
      </c>
      <c r="G178" s="93">
        <f t="shared" si="9"/>
        <v>362.96852646638058</v>
      </c>
    </row>
    <row r="179" spans="1:9" x14ac:dyDescent="0.25">
      <c r="A179" t="s">
        <v>199</v>
      </c>
      <c r="B179" s="91">
        <v>40500</v>
      </c>
      <c r="C179" s="92">
        <v>275</v>
      </c>
      <c r="D179" s="92">
        <v>209.7</v>
      </c>
      <c r="E179" s="92">
        <f t="shared" si="8"/>
        <v>1.3113972341440154</v>
      </c>
      <c r="F179" s="93">
        <v>535.71</v>
      </c>
      <c r="G179" s="93">
        <f t="shared" si="9"/>
        <v>702.52861230329052</v>
      </c>
    </row>
    <row r="180" spans="1:9" x14ac:dyDescent="0.25">
      <c r="A180" t="s">
        <v>199</v>
      </c>
      <c r="B180" s="91">
        <v>40500</v>
      </c>
      <c r="C180" s="92">
        <v>275</v>
      </c>
      <c r="D180" s="92">
        <v>209.7</v>
      </c>
      <c r="E180" s="92">
        <f t="shared" si="8"/>
        <v>1.3113972341440154</v>
      </c>
      <c r="F180" s="93">
        <v>535.71</v>
      </c>
      <c r="G180" s="93">
        <f t="shared" si="9"/>
        <v>702.52861230329052</v>
      </c>
    </row>
    <row r="181" spans="1:9" x14ac:dyDescent="0.25">
      <c r="A181" t="s">
        <v>201</v>
      </c>
      <c r="B181" s="91">
        <v>40501</v>
      </c>
      <c r="C181" s="92">
        <v>275</v>
      </c>
      <c r="D181" s="92">
        <v>209.7</v>
      </c>
      <c r="E181" s="92">
        <f t="shared" si="8"/>
        <v>1.3113972341440154</v>
      </c>
      <c r="F181" s="93">
        <v>133928.57999999999</v>
      </c>
      <c r="G181" s="93">
        <f t="shared" si="9"/>
        <v>175633.56938483549</v>
      </c>
    </row>
    <row r="182" spans="1:9" x14ac:dyDescent="0.25">
      <c r="A182" t="s">
        <v>202</v>
      </c>
      <c r="B182" s="91">
        <v>40502</v>
      </c>
      <c r="C182" s="92">
        <v>275</v>
      </c>
      <c r="D182" s="92">
        <v>209.7</v>
      </c>
      <c r="E182" s="92">
        <f t="shared" si="8"/>
        <v>1.3113972341440154</v>
      </c>
      <c r="F182" s="93">
        <v>3214.28</v>
      </c>
      <c r="G182" s="93">
        <f t="shared" si="9"/>
        <v>4215.1979017644262</v>
      </c>
    </row>
    <row r="183" spans="1:9" x14ac:dyDescent="0.25">
      <c r="A183" t="s">
        <v>203</v>
      </c>
      <c r="B183" s="91">
        <v>40507</v>
      </c>
      <c r="C183" s="92">
        <v>275</v>
      </c>
      <c r="D183" s="92">
        <v>209.7</v>
      </c>
      <c r="E183" s="92">
        <f t="shared" si="8"/>
        <v>1.3113972341440154</v>
      </c>
      <c r="F183" s="93">
        <v>44642.86</v>
      </c>
      <c r="G183" s="93">
        <f t="shared" si="9"/>
        <v>58544.523128278503</v>
      </c>
    </row>
    <row r="184" spans="1:9" x14ac:dyDescent="0.25">
      <c r="A184" t="s">
        <v>203</v>
      </c>
      <c r="B184" s="91">
        <v>40519</v>
      </c>
      <c r="C184" s="92">
        <v>275</v>
      </c>
      <c r="D184" s="92">
        <v>213.2</v>
      </c>
      <c r="E184" s="92">
        <f t="shared" si="8"/>
        <v>1.2898686679174485</v>
      </c>
      <c r="F184" s="93">
        <v>35.71</v>
      </c>
      <c r="G184" s="93">
        <f t="shared" si="9"/>
        <v>46.061210131332089</v>
      </c>
    </row>
    <row r="185" spans="1:9" x14ac:dyDescent="0.25">
      <c r="A185" t="s">
        <v>204</v>
      </c>
      <c r="B185" s="91">
        <v>40630</v>
      </c>
      <c r="C185" s="92">
        <v>275</v>
      </c>
      <c r="D185" s="92">
        <v>229.3</v>
      </c>
      <c r="E185" s="92">
        <f t="shared" si="8"/>
        <v>1.1993022241604885</v>
      </c>
      <c r="F185" s="93">
        <v>0</v>
      </c>
      <c r="G185" s="93">
        <f t="shared" si="9"/>
        <v>0</v>
      </c>
    </row>
    <row r="186" spans="1:9" x14ac:dyDescent="0.25">
      <c r="A186" t="s">
        <v>205</v>
      </c>
      <c r="B186" s="91">
        <v>40659</v>
      </c>
      <c r="C186" s="92">
        <v>275</v>
      </c>
      <c r="D186" s="92">
        <v>232.3</v>
      </c>
      <c r="E186" s="92">
        <f t="shared" si="8"/>
        <v>1.1838140335772707</v>
      </c>
      <c r="F186" s="93">
        <v>0</v>
      </c>
      <c r="G186" s="93">
        <f t="shared" si="9"/>
        <v>0</v>
      </c>
    </row>
    <row r="187" spans="1:9" ht="15.75" thickBot="1" x14ac:dyDescent="0.3">
      <c r="A187" t="s">
        <v>206</v>
      </c>
      <c r="B187" s="91">
        <v>40787</v>
      </c>
      <c r="C187" s="92">
        <v>275</v>
      </c>
      <c r="D187" s="92">
        <v>258.5</v>
      </c>
      <c r="E187" s="92">
        <f t="shared" si="8"/>
        <v>1.0638297872340425</v>
      </c>
      <c r="F187" s="94">
        <v>0</v>
      </c>
      <c r="G187" s="94">
        <f t="shared" si="9"/>
        <v>0</v>
      </c>
    </row>
    <row r="188" spans="1:9" ht="15.75" thickTop="1" x14ac:dyDescent="0.25">
      <c r="A188" s="179" t="s">
        <v>133</v>
      </c>
      <c r="B188" s="179"/>
      <c r="C188" s="179"/>
      <c r="D188" s="179"/>
      <c r="E188" s="179"/>
      <c r="F188" s="95">
        <f>SUM(F134:F187)</f>
        <v>1209078.9400000002</v>
      </c>
      <c r="G188" s="95">
        <f>SUM(G134:G187)</f>
        <v>3276145.5637319819</v>
      </c>
      <c r="I188" s="93">
        <v>1209078.94</v>
      </c>
    </row>
    <row r="189" spans="1:9" x14ac:dyDescent="0.25">
      <c r="A189" s="76"/>
      <c r="B189" s="76"/>
      <c r="C189" s="76"/>
      <c r="D189" s="76"/>
      <c r="E189" s="76"/>
      <c r="F189" s="95"/>
      <c r="G189" s="95"/>
    </row>
    <row r="190" spans="1:9" x14ac:dyDescent="0.25">
      <c r="A190" s="76"/>
      <c r="B190" s="76"/>
      <c r="C190" s="76"/>
      <c r="D190" s="76"/>
      <c r="E190" s="76"/>
      <c r="F190" s="95"/>
      <c r="G190" s="95"/>
    </row>
    <row r="191" spans="1:9" ht="15.75" x14ac:dyDescent="0.25">
      <c r="A191" s="178" t="s">
        <v>135</v>
      </c>
      <c r="B191" s="178"/>
      <c r="C191" s="178"/>
      <c r="D191" s="178"/>
      <c r="E191" s="178"/>
      <c r="F191" s="178"/>
      <c r="G191" s="178"/>
    </row>
    <row r="192" spans="1:9" x14ac:dyDescent="0.25">
      <c r="A192" s="79"/>
      <c r="B192" s="79"/>
      <c r="C192" s="79"/>
      <c r="D192" s="79"/>
      <c r="E192" s="79"/>
      <c r="F192" s="79"/>
      <c r="G192" s="79"/>
    </row>
    <row r="193" spans="1:7" x14ac:dyDescent="0.25">
      <c r="A193" s="76" t="s">
        <v>118</v>
      </c>
      <c r="B193" s="76" t="s">
        <v>119</v>
      </c>
      <c r="C193" s="76" t="s">
        <v>120</v>
      </c>
      <c r="D193" s="76" t="s">
        <v>121</v>
      </c>
      <c r="E193" s="76" t="s">
        <v>122</v>
      </c>
      <c r="F193" s="76" t="s">
        <v>123</v>
      </c>
      <c r="G193" s="76" t="s">
        <v>124</v>
      </c>
    </row>
    <row r="194" spans="1:7" x14ac:dyDescent="0.25">
      <c r="A194" t="s">
        <v>167</v>
      </c>
      <c r="B194" s="91">
        <v>39203</v>
      </c>
      <c r="C194" s="92">
        <v>275</v>
      </c>
      <c r="D194" s="92">
        <v>90.557581049999996</v>
      </c>
      <c r="E194" s="92">
        <f>C194/D194</f>
        <v>3.036741891859533</v>
      </c>
      <c r="F194" s="93">
        <v>5359.8457751870465</v>
      </c>
      <c r="G194" s="93">
        <f>F194*E194</f>
        <v>16276.468199416837</v>
      </c>
    </row>
    <row r="195" spans="1:7" x14ac:dyDescent="0.25">
      <c r="A195" t="s">
        <v>168</v>
      </c>
      <c r="B195" s="91">
        <v>39203</v>
      </c>
      <c r="C195" s="92">
        <v>275</v>
      </c>
      <c r="D195" s="92">
        <v>90.557581049999996</v>
      </c>
      <c r="E195" s="92">
        <f t="shared" ref="E195:E247" si="10">C195/D195</f>
        <v>3.036741891859533</v>
      </c>
      <c r="F195" s="93">
        <v>765.69225359814948</v>
      </c>
      <c r="G195" s="93">
        <f t="shared" ref="G195:G247" si="11">F195*E195</f>
        <v>2325.2097427738336</v>
      </c>
    </row>
    <row r="196" spans="1:7" x14ac:dyDescent="0.25">
      <c r="A196" t="s">
        <v>169</v>
      </c>
      <c r="B196" s="91">
        <v>39203</v>
      </c>
      <c r="C196" s="92">
        <v>275</v>
      </c>
      <c r="D196" s="92">
        <v>90.557581049999996</v>
      </c>
      <c r="E196" s="92">
        <f t="shared" si="10"/>
        <v>3.036741891859533</v>
      </c>
      <c r="F196" s="93">
        <v>505.35688737477864</v>
      </c>
      <c r="G196" s="93">
        <f t="shared" si="11"/>
        <v>1534.6384302307301</v>
      </c>
    </row>
    <row r="197" spans="1:7" x14ac:dyDescent="0.25">
      <c r="A197" t="s">
        <v>170</v>
      </c>
      <c r="B197" s="91">
        <v>39203</v>
      </c>
      <c r="C197" s="92">
        <v>275</v>
      </c>
      <c r="D197" s="92">
        <v>90.557581049999996</v>
      </c>
      <c r="E197" s="92">
        <f t="shared" si="10"/>
        <v>3.036741891859533</v>
      </c>
      <c r="F197" s="93">
        <v>8494.5898614178695</v>
      </c>
      <c r="G197" s="93">
        <f t="shared" si="11"/>
        <v>25795.87688633291</v>
      </c>
    </row>
    <row r="198" spans="1:7" x14ac:dyDescent="0.25">
      <c r="A198" t="s">
        <v>171</v>
      </c>
      <c r="B198" s="91">
        <v>39082</v>
      </c>
      <c r="C198" s="92">
        <v>275</v>
      </c>
      <c r="D198" s="92">
        <v>81.661321659999999</v>
      </c>
      <c r="E198" s="92">
        <f t="shared" si="10"/>
        <v>3.367567342896713</v>
      </c>
      <c r="F198" s="93">
        <v>19142.306339953739</v>
      </c>
      <c r="G198" s="93">
        <f t="shared" si="11"/>
        <v>64463.005698152912</v>
      </c>
    </row>
    <row r="199" spans="1:7" x14ac:dyDescent="0.25">
      <c r="A199" t="s">
        <v>172</v>
      </c>
      <c r="B199" s="91">
        <v>39082</v>
      </c>
      <c r="C199" s="92">
        <v>275</v>
      </c>
      <c r="D199" s="92">
        <v>81.661321659999999</v>
      </c>
      <c r="E199" s="92">
        <f t="shared" si="10"/>
        <v>3.367567342896713</v>
      </c>
      <c r="F199" s="93">
        <v>45941.535215888973</v>
      </c>
      <c r="G199" s="93">
        <f t="shared" si="11"/>
        <v>154711.21367556701</v>
      </c>
    </row>
    <row r="200" spans="1:7" x14ac:dyDescent="0.25">
      <c r="A200" t="s">
        <v>173</v>
      </c>
      <c r="B200" s="91">
        <v>39082</v>
      </c>
      <c r="C200" s="92">
        <v>275</v>
      </c>
      <c r="D200" s="92">
        <v>81.661321659999999</v>
      </c>
      <c r="E200" s="92">
        <f t="shared" si="10"/>
        <v>3.367567342896713</v>
      </c>
      <c r="F200" s="93">
        <v>6125.5380287851958</v>
      </c>
      <c r="G200" s="93">
        <f t="shared" si="11"/>
        <v>20628.161823408929</v>
      </c>
    </row>
    <row r="201" spans="1:7" x14ac:dyDescent="0.25">
      <c r="A201" t="s">
        <v>173</v>
      </c>
      <c r="B201" s="91">
        <v>39082</v>
      </c>
      <c r="C201" s="92">
        <v>275</v>
      </c>
      <c r="D201" s="92">
        <v>81.661321659999999</v>
      </c>
      <c r="E201" s="92">
        <f t="shared" si="10"/>
        <v>3.367567342896713</v>
      </c>
      <c r="F201" s="93">
        <v>6125.5380287851958</v>
      </c>
      <c r="G201" s="93">
        <f t="shared" si="11"/>
        <v>20628.161823408929</v>
      </c>
    </row>
    <row r="202" spans="1:7" x14ac:dyDescent="0.25">
      <c r="A202" t="s">
        <v>174</v>
      </c>
      <c r="B202" s="91">
        <v>39082</v>
      </c>
      <c r="C202" s="92">
        <v>275</v>
      </c>
      <c r="D202" s="92">
        <v>81.661321659999999</v>
      </c>
      <c r="E202" s="92">
        <f t="shared" si="10"/>
        <v>3.367567342896713</v>
      </c>
      <c r="F202" s="93">
        <v>4594.1535215888971</v>
      </c>
      <c r="G202" s="93">
        <f t="shared" si="11"/>
        <v>15471.1213675567</v>
      </c>
    </row>
    <row r="203" spans="1:7" x14ac:dyDescent="0.25">
      <c r="A203" t="s">
        <v>175</v>
      </c>
      <c r="B203" s="91">
        <v>39082</v>
      </c>
      <c r="C203" s="92">
        <v>275</v>
      </c>
      <c r="D203" s="92">
        <v>81.661321659999999</v>
      </c>
      <c r="E203" s="92">
        <f t="shared" si="10"/>
        <v>3.367567342896713</v>
      </c>
      <c r="F203" s="93">
        <v>15313.845071962991</v>
      </c>
      <c r="G203" s="93">
        <f t="shared" si="11"/>
        <v>51570.404558522328</v>
      </c>
    </row>
    <row r="204" spans="1:7" x14ac:dyDescent="0.25">
      <c r="A204" t="s">
        <v>176</v>
      </c>
      <c r="B204" s="91">
        <v>39082</v>
      </c>
      <c r="C204" s="92">
        <v>275</v>
      </c>
      <c r="D204" s="92">
        <v>81.661321659999999</v>
      </c>
      <c r="E204" s="92">
        <f t="shared" si="10"/>
        <v>3.367567342896713</v>
      </c>
      <c r="F204" s="93">
        <v>11485.383803972243</v>
      </c>
      <c r="G204" s="93">
        <f t="shared" si="11"/>
        <v>38677.803418891752</v>
      </c>
    </row>
    <row r="205" spans="1:7" x14ac:dyDescent="0.25">
      <c r="A205" t="s">
        <v>177</v>
      </c>
      <c r="B205" s="91">
        <v>39082</v>
      </c>
      <c r="C205" s="92">
        <v>275</v>
      </c>
      <c r="D205" s="92">
        <v>81.661321659999999</v>
      </c>
      <c r="E205" s="92">
        <f t="shared" si="10"/>
        <v>3.367567342896713</v>
      </c>
      <c r="F205" s="93">
        <v>11485.383803972243</v>
      </c>
      <c r="G205" s="93">
        <f t="shared" si="11"/>
        <v>38677.803418891752</v>
      </c>
    </row>
    <row r="206" spans="1:7" x14ac:dyDescent="0.25">
      <c r="A206" t="s">
        <v>178</v>
      </c>
      <c r="B206" s="91">
        <v>39082</v>
      </c>
      <c r="C206" s="92">
        <v>275</v>
      </c>
      <c r="D206" s="92">
        <v>81.661321659999999</v>
      </c>
      <c r="E206" s="92">
        <f t="shared" si="10"/>
        <v>3.367567342896713</v>
      </c>
      <c r="F206" s="93">
        <v>38284.612679907477</v>
      </c>
      <c r="G206" s="93">
        <f t="shared" si="11"/>
        <v>128926.01139630582</v>
      </c>
    </row>
    <row r="207" spans="1:7" x14ac:dyDescent="0.25">
      <c r="A207" t="s">
        <v>179</v>
      </c>
      <c r="B207" s="91">
        <v>38990</v>
      </c>
      <c r="C207" s="92">
        <v>275</v>
      </c>
      <c r="D207" s="92">
        <v>78.566846979999994</v>
      </c>
      <c r="E207" s="92">
        <f t="shared" si="10"/>
        <v>3.5002041009740927</v>
      </c>
      <c r="F207" s="93">
        <v>91883.070431777945</v>
      </c>
      <c r="G207" s="93">
        <f t="shared" si="11"/>
        <v>321609.49993540056</v>
      </c>
    </row>
    <row r="208" spans="1:7" x14ac:dyDescent="0.25">
      <c r="A208" t="s">
        <v>180</v>
      </c>
      <c r="B208" s="91">
        <v>38990</v>
      </c>
      <c r="C208" s="92">
        <v>275</v>
      </c>
      <c r="D208" s="92">
        <v>78.566846979999994</v>
      </c>
      <c r="E208" s="92">
        <f t="shared" si="10"/>
        <v>3.5002041009740927</v>
      </c>
      <c r="F208" s="93">
        <v>22970.767607944486</v>
      </c>
      <c r="G208" s="93">
        <f t="shared" si="11"/>
        <v>80402.374983850139</v>
      </c>
    </row>
    <row r="209" spans="1:7" x14ac:dyDescent="0.25">
      <c r="A209" t="s">
        <v>181</v>
      </c>
      <c r="B209" s="91">
        <v>38990</v>
      </c>
      <c r="C209" s="92">
        <v>275</v>
      </c>
      <c r="D209" s="92">
        <v>78.566846979999994</v>
      </c>
      <c r="E209" s="92">
        <f t="shared" si="10"/>
        <v>3.5002041009740927</v>
      </c>
      <c r="F209" s="93">
        <v>30627.690143925982</v>
      </c>
      <c r="G209" s="93">
        <f t="shared" si="11"/>
        <v>107203.16664513352</v>
      </c>
    </row>
    <row r="210" spans="1:7" x14ac:dyDescent="0.25">
      <c r="A210" t="s">
        <v>182</v>
      </c>
      <c r="B210" s="91">
        <v>39142</v>
      </c>
      <c r="C210" s="92">
        <v>275</v>
      </c>
      <c r="D210" s="92">
        <v>83.812530649999999</v>
      </c>
      <c r="E210" s="92">
        <f t="shared" si="10"/>
        <v>3.2811322825747418</v>
      </c>
      <c r="F210" s="93">
        <v>11260.270281414387</v>
      </c>
      <c r="G210" s="93">
        <f t="shared" si="11"/>
        <v>36946.436330865719</v>
      </c>
    </row>
    <row r="211" spans="1:7" x14ac:dyDescent="0.25">
      <c r="A211" t="s">
        <v>183</v>
      </c>
      <c r="B211" s="91">
        <v>38990</v>
      </c>
      <c r="C211" s="92">
        <v>275</v>
      </c>
      <c r="D211" s="92">
        <v>78.566846979999994</v>
      </c>
      <c r="E211" s="92">
        <f t="shared" si="10"/>
        <v>3.5002041009740927</v>
      </c>
      <c r="F211" s="93">
        <v>4197.1191173306488</v>
      </c>
      <c r="G211" s="93">
        <f t="shared" si="11"/>
        <v>14690.773546757502</v>
      </c>
    </row>
    <row r="212" spans="1:7" x14ac:dyDescent="0.25">
      <c r="A212" t="s">
        <v>183</v>
      </c>
      <c r="B212" s="91">
        <v>39082</v>
      </c>
      <c r="C212" s="92">
        <v>275</v>
      </c>
      <c r="D212" s="92">
        <v>81.661321659999999</v>
      </c>
      <c r="E212" s="92">
        <f t="shared" si="10"/>
        <v>3.367567342896713</v>
      </c>
      <c r="F212" s="93">
        <v>99616.562193119244</v>
      </c>
      <c r="G212" s="93">
        <f t="shared" si="11"/>
        <v>335465.48165318771</v>
      </c>
    </row>
    <row r="213" spans="1:7" x14ac:dyDescent="0.25">
      <c r="A213" t="s">
        <v>184</v>
      </c>
      <c r="B213" s="91">
        <v>38990</v>
      </c>
      <c r="C213" s="92">
        <v>275</v>
      </c>
      <c r="D213" s="92">
        <v>78.566846979999994</v>
      </c>
      <c r="E213" s="92">
        <f t="shared" si="10"/>
        <v>3.5002041009740927</v>
      </c>
      <c r="F213" s="93">
        <v>6600.5811598400232</v>
      </c>
      <c r="G213" s="93">
        <f t="shared" si="11"/>
        <v>23103.381244484382</v>
      </c>
    </row>
    <row r="214" spans="1:7" x14ac:dyDescent="0.25">
      <c r="A214" t="s">
        <v>184</v>
      </c>
      <c r="B214" s="91">
        <v>39020</v>
      </c>
      <c r="C214" s="92">
        <v>275</v>
      </c>
      <c r="D214" s="92">
        <v>79.151384570000005</v>
      </c>
      <c r="E214" s="92">
        <f t="shared" si="10"/>
        <v>3.4743548896077128</v>
      </c>
      <c r="F214" s="93">
        <v>382.8</v>
      </c>
      <c r="G214" s="93">
        <f t="shared" si="11"/>
        <v>1329.9830517418325</v>
      </c>
    </row>
    <row r="215" spans="1:7" x14ac:dyDescent="0.25">
      <c r="A215" t="s">
        <v>184</v>
      </c>
      <c r="B215" s="91">
        <v>39082</v>
      </c>
      <c r="C215" s="92">
        <v>275</v>
      </c>
      <c r="D215" s="92">
        <v>81.661321659999999</v>
      </c>
      <c r="E215" s="92">
        <f t="shared" si="10"/>
        <v>3.367567342896713</v>
      </c>
      <c r="F215" s="93">
        <v>61255.380287851964</v>
      </c>
      <c r="G215" s="93">
        <f t="shared" si="11"/>
        <v>206281.61823408931</v>
      </c>
    </row>
    <row r="216" spans="1:7" x14ac:dyDescent="0.25">
      <c r="A216" t="s">
        <v>185</v>
      </c>
      <c r="B216" s="91">
        <v>39082</v>
      </c>
      <c r="C216" s="92">
        <v>275</v>
      </c>
      <c r="D216" s="92">
        <v>81.661321659999999</v>
      </c>
      <c r="E216" s="92">
        <f t="shared" si="10"/>
        <v>3.367567342896713</v>
      </c>
      <c r="F216" s="93">
        <v>22921.181377601471</v>
      </c>
      <c r="G216" s="93">
        <f t="shared" si="11"/>
        <v>77188.621867823007</v>
      </c>
    </row>
    <row r="217" spans="1:7" x14ac:dyDescent="0.25">
      <c r="A217" t="s">
        <v>186</v>
      </c>
      <c r="B217" s="91">
        <v>39611</v>
      </c>
      <c r="C217" s="92">
        <v>275</v>
      </c>
      <c r="D217" s="92">
        <v>116.3</v>
      </c>
      <c r="E217" s="92">
        <f t="shared" si="10"/>
        <v>2.36457437661221</v>
      </c>
      <c r="F217" s="93">
        <v>3466.74</v>
      </c>
      <c r="G217" s="93">
        <f t="shared" si="11"/>
        <v>8197.3645743766119</v>
      </c>
    </row>
    <row r="218" spans="1:7" x14ac:dyDescent="0.25">
      <c r="A218" t="s">
        <v>187</v>
      </c>
      <c r="B218" s="91">
        <v>39651</v>
      </c>
      <c r="C218" s="92">
        <v>275</v>
      </c>
      <c r="D218" s="92">
        <v>118.2</v>
      </c>
      <c r="E218" s="92">
        <f t="shared" si="10"/>
        <v>2.3265651438240269</v>
      </c>
      <c r="F218" s="93">
        <v>4120.83</v>
      </c>
      <c r="G218" s="93">
        <f t="shared" si="11"/>
        <v>9587.3794416243654</v>
      </c>
    </row>
    <row r="219" spans="1:7" x14ac:dyDescent="0.25">
      <c r="A219" t="s">
        <v>188</v>
      </c>
      <c r="B219" s="91">
        <v>39722</v>
      </c>
      <c r="C219" s="92">
        <v>275</v>
      </c>
      <c r="D219" s="92">
        <v>125.8</v>
      </c>
      <c r="E219" s="92">
        <f t="shared" si="10"/>
        <v>2.1860095389507155</v>
      </c>
      <c r="F219" s="93">
        <v>6371.1</v>
      </c>
      <c r="G219" s="93">
        <f t="shared" si="11"/>
        <v>13927.285373608904</v>
      </c>
    </row>
    <row r="220" spans="1:7" x14ac:dyDescent="0.25">
      <c r="A220" t="s">
        <v>189</v>
      </c>
      <c r="B220" s="91">
        <v>39798</v>
      </c>
      <c r="C220" s="92">
        <v>275</v>
      </c>
      <c r="D220" s="92">
        <v>131.9</v>
      </c>
      <c r="E220" s="92">
        <f t="shared" si="10"/>
        <v>2.0849128127369219</v>
      </c>
      <c r="F220" s="93">
        <v>4541.28</v>
      </c>
      <c r="G220" s="93">
        <f t="shared" si="11"/>
        <v>9468.1728582259275</v>
      </c>
    </row>
    <row r="221" spans="1:7" x14ac:dyDescent="0.25">
      <c r="A221" t="s">
        <v>189</v>
      </c>
      <c r="B221" s="91">
        <v>39813</v>
      </c>
      <c r="C221" s="92">
        <v>275</v>
      </c>
      <c r="D221" s="92">
        <v>131.9</v>
      </c>
      <c r="E221" s="92">
        <f t="shared" si="10"/>
        <v>2.0849128127369219</v>
      </c>
      <c r="F221" s="93">
        <v>4541.28</v>
      </c>
      <c r="G221" s="93">
        <f t="shared" si="11"/>
        <v>9468.1728582259275</v>
      </c>
    </row>
    <row r="222" spans="1:7" x14ac:dyDescent="0.25">
      <c r="A222" t="s">
        <v>190</v>
      </c>
      <c r="B222" s="91">
        <v>39813</v>
      </c>
      <c r="C222" s="92">
        <v>275</v>
      </c>
      <c r="D222" s="92">
        <v>131.9</v>
      </c>
      <c r="E222" s="92">
        <f t="shared" si="10"/>
        <v>2.0849128127369219</v>
      </c>
      <c r="F222" s="93">
        <v>3456.84</v>
      </c>
      <c r="G222" s="93">
        <f t="shared" si="11"/>
        <v>7207.2100075815015</v>
      </c>
    </row>
    <row r="223" spans="1:7" x14ac:dyDescent="0.25">
      <c r="A223" t="s">
        <v>190</v>
      </c>
      <c r="B223" s="91">
        <v>39813</v>
      </c>
      <c r="C223" s="92">
        <v>275</v>
      </c>
      <c r="D223" s="92">
        <v>131.9</v>
      </c>
      <c r="E223" s="92">
        <f t="shared" si="10"/>
        <v>2.0849128127369219</v>
      </c>
      <c r="F223" s="93">
        <v>4299.96</v>
      </c>
      <c r="G223" s="93">
        <f t="shared" si="11"/>
        <v>8965.0416982562547</v>
      </c>
    </row>
    <row r="224" spans="1:7" x14ac:dyDescent="0.25">
      <c r="A224" t="s">
        <v>191</v>
      </c>
      <c r="B224" s="91">
        <v>39813</v>
      </c>
      <c r="C224" s="92">
        <v>275</v>
      </c>
      <c r="D224" s="92">
        <v>131.9</v>
      </c>
      <c r="E224" s="92">
        <f t="shared" si="10"/>
        <v>2.0849128127369219</v>
      </c>
      <c r="F224" s="93">
        <v>3583.32</v>
      </c>
      <c r="G224" s="93">
        <f t="shared" si="11"/>
        <v>7470.9097801364669</v>
      </c>
    </row>
    <row r="225" spans="1:7" x14ac:dyDescent="0.25">
      <c r="A225" t="s">
        <v>191</v>
      </c>
      <c r="B225" s="91">
        <v>39813</v>
      </c>
      <c r="C225" s="92">
        <v>275</v>
      </c>
      <c r="D225" s="92">
        <v>131.9</v>
      </c>
      <c r="E225" s="92">
        <f t="shared" si="10"/>
        <v>2.0849128127369219</v>
      </c>
      <c r="F225" s="93">
        <v>4299.96</v>
      </c>
      <c r="G225" s="93">
        <f t="shared" si="11"/>
        <v>8965.0416982562547</v>
      </c>
    </row>
    <row r="226" spans="1:7" x14ac:dyDescent="0.25">
      <c r="A226" t="s">
        <v>191</v>
      </c>
      <c r="B226" s="91">
        <v>39813</v>
      </c>
      <c r="C226" s="92">
        <v>275</v>
      </c>
      <c r="D226" s="92">
        <v>131.9</v>
      </c>
      <c r="E226" s="92">
        <f t="shared" si="10"/>
        <v>2.0849128127369219</v>
      </c>
      <c r="F226" s="93">
        <v>9292.32</v>
      </c>
      <c r="G226" s="93">
        <f t="shared" si="11"/>
        <v>19373.677028051552</v>
      </c>
    </row>
    <row r="227" spans="1:7" x14ac:dyDescent="0.25">
      <c r="A227" t="s">
        <v>191</v>
      </c>
      <c r="B227" s="91">
        <v>39813</v>
      </c>
      <c r="C227" s="92">
        <v>275</v>
      </c>
      <c r="D227" s="92">
        <v>131.9</v>
      </c>
      <c r="E227" s="92">
        <f t="shared" si="10"/>
        <v>2.0849128127369219</v>
      </c>
      <c r="F227" s="93">
        <v>9292.32</v>
      </c>
      <c r="G227" s="93">
        <f t="shared" si="11"/>
        <v>19373.677028051552</v>
      </c>
    </row>
    <row r="228" spans="1:7" x14ac:dyDescent="0.25">
      <c r="A228" t="s">
        <v>191</v>
      </c>
      <c r="B228" s="91">
        <v>39813</v>
      </c>
      <c r="C228" s="92">
        <v>275</v>
      </c>
      <c r="D228" s="92">
        <v>131.9</v>
      </c>
      <c r="E228" s="92">
        <f t="shared" si="10"/>
        <v>2.0849128127369219</v>
      </c>
      <c r="F228" s="93">
        <v>2691.2400000000002</v>
      </c>
      <c r="G228" s="93">
        <f t="shared" si="11"/>
        <v>5611.0007581501141</v>
      </c>
    </row>
    <row r="229" spans="1:7" x14ac:dyDescent="0.25">
      <c r="A229" t="s">
        <v>191</v>
      </c>
      <c r="B229" s="91">
        <v>39813</v>
      </c>
      <c r="C229" s="92">
        <v>275</v>
      </c>
      <c r="D229" s="92">
        <v>131.9</v>
      </c>
      <c r="E229" s="92">
        <f t="shared" si="10"/>
        <v>2.0849128127369219</v>
      </c>
      <c r="F229" s="93">
        <v>5275.7999999999993</v>
      </c>
      <c r="G229" s="93">
        <f t="shared" si="11"/>
        <v>10999.583017437451</v>
      </c>
    </row>
    <row r="230" spans="1:7" x14ac:dyDescent="0.25">
      <c r="A230" t="s">
        <v>192</v>
      </c>
      <c r="B230" s="91">
        <v>39813</v>
      </c>
      <c r="C230" s="92">
        <v>275</v>
      </c>
      <c r="D230" s="92">
        <v>131.9</v>
      </c>
      <c r="E230" s="92">
        <f t="shared" si="10"/>
        <v>2.0849128127369219</v>
      </c>
      <c r="F230" s="93">
        <v>298.44</v>
      </c>
      <c r="G230" s="93">
        <f t="shared" si="11"/>
        <v>622.22137983320692</v>
      </c>
    </row>
    <row r="231" spans="1:7" x14ac:dyDescent="0.25">
      <c r="A231" t="s">
        <v>193</v>
      </c>
      <c r="B231" s="91">
        <v>39840</v>
      </c>
      <c r="C231" s="92">
        <v>275</v>
      </c>
      <c r="D231" s="92">
        <v>135.1</v>
      </c>
      <c r="E231" s="92">
        <f t="shared" si="10"/>
        <v>2.0355292376017764</v>
      </c>
      <c r="F231" s="93">
        <v>825.72</v>
      </c>
      <c r="G231" s="93">
        <f t="shared" si="11"/>
        <v>1680.7772020725388</v>
      </c>
    </row>
    <row r="232" spans="1:7" x14ac:dyDescent="0.25">
      <c r="A232" t="s">
        <v>194</v>
      </c>
      <c r="B232" s="91">
        <v>39882</v>
      </c>
      <c r="C232" s="92">
        <v>275</v>
      </c>
      <c r="D232" s="92">
        <v>139</v>
      </c>
      <c r="E232" s="92">
        <f t="shared" si="10"/>
        <v>1.9784172661870503</v>
      </c>
      <c r="F232" s="93">
        <v>16666.68</v>
      </c>
      <c r="G232" s="93">
        <f t="shared" si="11"/>
        <v>32973.647482014385</v>
      </c>
    </row>
    <row r="233" spans="1:7" x14ac:dyDescent="0.25">
      <c r="A233" t="s">
        <v>195</v>
      </c>
      <c r="B233" s="91">
        <v>39882</v>
      </c>
      <c r="C233" s="92">
        <v>275</v>
      </c>
      <c r="D233" s="92">
        <v>139</v>
      </c>
      <c r="E233" s="92">
        <f t="shared" si="10"/>
        <v>1.9784172661870503</v>
      </c>
      <c r="F233" s="93">
        <v>16666.68</v>
      </c>
      <c r="G233" s="93">
        <f t="shared" si="11"/>
        <v>32973.647482014385</v>
      </c>
    </row>
    <row r="234" spans="1:7" x14ac:dyDescent="0.25">
      <c r="A234" t="s">
        <v>196</v>
      </c>
      <c r="B234" s="91">
        <v>40209</v>
      </c>
      <c r="C234" s="92">
        <v>275</v>
      </c>
      <c r="D234" s="92">
        <v>171.4</v>
      </c>
      <c r="E234" s="92">
        <f t="shared" si="10"/>
        <v>1.6044340723453909</v>
      </c>
      <c r="F234" s="93">
        <v>3205.08</v>
      </c>
      <c r="G234" s="93">
        <f t="shared" si="11"/>
        <v>5142.3395565927658</v>
      </c>
    </row>
    <row r="235" spans="1:7" x14ac:dyDescent="0.25">
      <c r="A235" t="s">
        <v>197</v>
      </c>
      <c r="B235" s="91">
        <v>40209</v>
      </c>
      <c r="C235" s="92">
        <v>275</v>
      </c>
      <c r="D235" s="92">
        <v>171.4</v>
      </c>
      <c r="E235" s="92">
        <f t="shared" si="10"/>
        <v>1.6044340723453909</v>
      </c>
      <c r="F235" s="93">
        <v>75.960000000000008</v>
      </c>
      <c r="G235" s="93">
        <f t="shared" si="11"/>
        <v>121.87281213535591</v>
      </c>
    </row>
    <row r="236" spans="1:7" x14ac:dyDescent="0.25">
      <c r="A236" t="s">
        <v>198</v>
      </c>
      <c r="B236" s="91">
        <v>40487</v>
      </c>
      <c r="C236" s="92">
        <v>275</v>
      </c>
      <c r="D236" s="92">
        <v>209.7</v>
      </c>
      <c r="E236" s="92">
        <f t="shared" si="10"/>
        <v>1.3113972341440154</v>
      </c>
      <c r="F236" s="93">
        <v>35.04</v>
      </c>
      <c r="G236" s="93">
        <f t="shared" si="11"/>
        <v>45.951359084406299</v>
      </c>
    </row>
    <row r="237" spans="1:7" x14ac:dyDescent="0.25">
      <c r="A237" t="s">
        <v>199</v>
      </c>
      <c r="B237" s="91">
        <v>40497</v>
      </c>
      <c r="C237" s="92">
        <v>275</v>
      </c>
      <c r="D237" s="92">
        <v>209.7</v>
      </c>
      <c r="E237" s="92">
        <f t="shared" si="10"/>
        <v>1.3113972341440154</v>
      </c>
      <c r="F237" s="93">
        <v>5.04</v>
      </c>
      <c r="G237" s="93">
        <f t="shared" si="11"/>
        <v>6.6094420600858381</v>
      </c>
    </row>
    <row r="238" spans="1:7" x14ac:dyDescent="0.25">
      <c r="A238" t="s">
        <v>200</v>
      </c>
      <c r="B238" s="91">
        <v>40499</v>
      </c>
      <c r="C238" s="92">
        <v>275</v>
      </c>
      <c r="D238" s="92">
        <v>209.7</v>
      </c>
      <c r="E238" s="92">
        <f t="shared" si="10"/>
        <v>1.3113972341440154</v>
      </c>
      <c r="F238" s="93">
        <v>92.28</v>
      </c>
      <c r="G238" s="93">
        <f t="shared" si="11"/>
        <v>121.01573676680975</v>
      </c>
    </row>
    <row r="239" spans="1:7" x14ac:dyDescent="0.25">
      <c r="A239" t="s">
        <v>199</v>
      </c>
      <c r="B239" s="91">
        <v>40500</v>
      </c>
      <c r="C239" s="92">
        <v>275</v>
      </c>
      <c r="D239" s="92">
        <v>209.7</v>
      </c>
      <c r="E239" s="92">
        <f t="shared" si="10"/>
        <v>1.3113972341440154</v>
      </c>
      <c r="F239" s="93">
        <v>178.56</v>
      </c>
      <c r="G239" s="93">
        <f t="shared" si="11"/>
        <v>234.16309012875539</v>
      </c>
    </row>
    <row r="240" spans="1:7" x14ac:dyDescent="0.25">
      <c r="A240" t="s">
        <v>199</v>
      </c>
      <c r="B240" s="91">
        <v>40500</v>
      </c>
      <c r="C240" s="92">
        <v>275</v>
      </c>
      <c r="D240" s="92">
        <v>209.7</v>
      </c>
      <c r="E240" s="92">
        <f t="shared" si="10"/>
        <v>1.3113972341440154</v>
      </c>
      <c r="F240" s="93">
        <v>178.56</v>
      </c>
      <c r="G240" s="93">
        <f t="shared" si="11"/>
        <v>234.16309012875539</v>
      </c>
    </row>
    <row r="241" spans="1:10" x14ac:dyDescent="0.25">
      <c r="A241" t="s">
        <v>201</v>
      </c>
      <c r="B241" s="91">
        <v>40501</v>
      </c>
      <c r="C241" s="92">
        <v>275</v>
      </c>
      <c r="D241" s="92">
        <v>209.7</v>
      </c>
      <c r="E241" s="92">
        <f t="shared" si="10"/>
        <v>1.3113972341440154</v>
      </c>
      <c r="F241" s="93">
        <v>44642.879999999997</v>
      </c>
      <c r="G241" s="93">
        <f t="shared" si="11"/>
        <v>58544.549356223179</v>
      </c>
    </row>
    <row r="242" spans="1:10" x14ac:dyDescent="0.25">
      <c r="A242" t="s">
        <v>202</v>
      </c>
      <c r="B242" s="91">
        <v>40502</v>
      </c>
      <c r="C242" s="92">
        <v>275</v>
      </c>
      <c r="D242" s="92">
        <v>209.7</v>
      </c>
      <c r="E242" s="92">
        <f t="shared" si="10"/>
        <v>1.3113972341440154</v>
      </c>
      <c r="F242" s="93">
        <v>1071.48</v>
      </c>
      <c r="G242" s="93">
        <f t="shared" si="11"/>
        <v>1405.1359084406297</v>
      </c>
    </row>
    <row r="243" spans="1:10" x14ac:dyDescent="0.25">
      <c r="A243" t="s">
        <v>203</v>
      </c>
      <c r="B243" s="91">
        <v>40507</v>
      </c>
      <c r="C243" s="92">
        <v>275</v>
      </c>
      <c r="D243" s="92">
        <v>209.7</v>
      </c>
      <c r="E243" s="92">
        <f t="shared" si="10"/>
        <v>1.3113972341440154</v>
      </c>
      <c r="F243" s="93">
        <v>14880.96</v>
      </c>
      <c r="G243" s="93">
        <f t="shared" si="11"/>
        <v>19514.849785407725</v>
      </c>
    </row>
    <row r="244" spans="1:10" x14ac:dyDescent="0.25">
      <c r="A244" t="s">
        <v>203</v>
      </c>
      <c r="B244" s="91">
        <v>40519</v>
      </c>
      <c r="C244" s="92">
        <v>275</v>
      </c>
      <c r="D244" s="92">
        <v>213.2</v>
      </c>
      <c r="E244" s="92">
        <f t="shared" si="10"/>
        <v>1.2898686679174485</v>
      </c>
      <c r="F244" s="93">
        <v>11.879999999999999</v>
      </c>
      <c r="G244" s="93">
        <f t="shared" si="11"/>
        <v>15.323639774859286</v>
      </c>
    </row>
    <row r="245" spans="1:10" x14ac:dyDescent="0.25">
      <c r="A245" t="s">
        <v>204</v>
      </c>
      <c r="B245" s="91">
        <v>40630</v>
      </c>
      <c r="C245" s="92">
        <v>275</v>
      </c>
      <c r="D245" s="92">
        <v>229.3</v>
      </c>
      <c r="E245" s="92">
        <f t="shared" si="10"/>
        <v>1.1993022241604885</v>
      </c>
      <c r="F245" s="93">
        <v>0</v>
      </c>
      <c r="G245" s="93">
        <f t="shared" si="11"/>
        <v>0</v>
      </c>
    </row>
    <row r="246" spans="1:10" x14ac:dyDescent="0.25">
      <c r="A246" t="s">
        <v>205</v>
      </c>
      <c r="B246" s="91">
        <v>40659</v>
      </c>
      <c r="C246" s="92">
        <v>275</v>
      </c>
      <c r="D246" s="92">
        <v>232.3</v>
      </c>
      <c r="E246" s="92">
        <f t="shared" si="10"/>
        <v>1.1838140335772707</v>
      </c>
      <c r="F246" s="93">
        <v>0</v>
      </c>
      <c r="G246" s="93">
        <f t="shared" si="11"/>
        <v>0</v>
      </c>
    </row>
    <row r="247" spans="1:10" ht="15.75" thickBot="1" x14ac:dyDescent="0.3">
      <c r="A247" t="s">
        <v>206</v>
      </c>
      <c r="B247" s="91">
        <v>40787</v>
      </c>
      <c r="C247" s="92">
        <v>275</v>
      </c>
      <c r="D247" s="92">
        <v>258.5</v>
      </c>
      <c r="E247" s="92">
        <f t="shared" si="10"/>
        <v>1.0638297872340425</v>
      </c>
      <c r="F247" s="94">
        <v>0</v>
      </c>
      <c r="G247" s="94">
        <f t="shared" si="11"/>
        <v>0</v>
      </c>
    </row>
    <row r="248" spans="1:10" ht="15.75" thickTop="1" x14ac:dyDescent="0.25">
      <c r="A248" s="179" t="s">
        <v>133</v>
      </c>
      <c r="B248" s="179"/>
      <c r="C248" s="179"/>
      <c r="D248" s="179"/>
      <c r="E248" s="179"/>
      <c r="F248" s="95">
        <f>SUM(F194:F247)</f>
        <v>689407.43387320091</v>
      </c>
      <c r="G248" s="95">
        <f>SUM(G194:G247)</f>
        <v>2076158.0013774547</v>
      </c>
      <c r="I248" s="93">
        <v>689407.48</v>
      </c>
      <c r="J248" s="108"/>
    </row>
    <row r="249" spans="1:10" x14ac:dyDescent="0.25">
      <c r="A249" s="76"/>
      <c r="B249" s="76"/>
      <c r="C249" s="76"/>
      <c r="D249" s="76"/>
      <c r="E249" s="76"/>
      <c r="F249" s="95"/>
      <c r="G249" s="95"/>
    </row>
    <row r="250" spans="1:10" ht="15.75" x14ac:dyDescent="0.25">
      <c r="A250" s="90"/>
      <c r="B250" s="52"/>
      <c r="C250" s="52"/>
      <c r="D250" s="52"/>
      <c r="E250" s="52"/>
      <c r="F250" s="96"/>
      <c r="G250" s="93"/>
    </row>
    <row r="251" spans="1:10" ht="15.75" x14ac:dyDescent="0.25">
      <c r="A251" s="178" t="s">
        <v>136</v>
      </c>
      <c r="B251" s="178"/>
      <c r="C251" s="178"/>
      <c r="D251" s="178"/>
      <c r="E251" s="178"/>
      <c r="F251" s="178"/>
      <c r="G251" s="178"/>
    </row>
    <row r="252" spans="1:10" x14ac:dyDescent="0.25">
      <c r="A252" s="79"/>
      <c r="B252" s="79"/>
      <c r="C252" s="79"/>
      <c r="D252" s="79"/>
      <c r="E252" s="79"/>
      <c r="F252" s="79"/>
      <c r="G252" s="79"/>
    </row>
    <row r="253" spans="1:10" x14ac:dyDescent="0.25">
      <c r="A253" s="76" t="s">
        <v>118</v>
      </c>
      <c r="B253" s="76" t="s">
        <v>119</v>
      </c>
      <c r="C253" s="76" t="s">
        <v>120</v>
      </c>
      <c r="D253" s="76" t="s">
        <v>121</v>
      </c>
      <c r="E253" s="76" t="s">
        <v>122</v>
      </c>
      <c r="F253" s="76" t="s">
        <v>123</v>
      </c>
      <c r="G253" s="76" t="s">
        <v>124</v>
      </c>
    </row>
    <row r="254" spans="1:10" x14ac:dyDescent="0.25">
      <c r="A254" t="s">
        <v>207</v>
      </c>
      <c r="B254" s="91">
        <v>39113</v>
      </c>
      <c r="C254" s="92">
        <v>275</v>
      </c>
      <c r="D254" s="92">
        <v>83.294548649999996</v>
      </c>
      <c r="E254" s="92">
        <f>C254/D254</f>
        <v>3.3015365886132333</v>
      </c>
      <c r="F254" s="93">
        <v>120.1764019430137</v>
      </c>
      <c r="G254" s="93">
        <f>F254*E254</f>
        <v>396.76678810275018</v>
      </c>
    </row>
    <row r="255" spans="1:10" x14ac:dyDescent="0.25">
      <c r="A255" t="s">
        <v>208</v>
      </c>
      <c r="B255" s="91">
        <v>39114</v>
      </c>
      <c r="C255" s="92">
        <v>275</v>
      </c>
      <c r="D255" s="92">
        <v>84.436516810000001</v>
      </c>
      <c r="E255" s="92">
        <f t="shared" ref="E255:E264" si="12">C255/D255</f>
        <v>3.256884703318685</v>
      </c>
      <c r="F255" s="93">
        <v>826.224536963682</v>
      </c>
      <c r="G255" s="93">
        <f t="shared" ref="G255:G264" si="13">F255*E255</f>
        <v>2690.9180559435795</v>
      </c>
    </row>
    <row r="256" spans="1:10" x14ac:dyDescent="0.25">
      <c r="A256" t="s">
        <v>208</v>
      </c>
      <c r="B256" s="91">
        <v>39173</v>
      </c>
      <c r="C256" s="92">
        <v>275</v>
      </c>
      <c r="D256" s="92">
        <v>84.994287389999997</v>
      </c>
      <c r="E256" s="92">
        <f t="shared" si="12"/>
        <v>3.2355115672439312</v>
      </c>
      <c r="F256" s="93">
        <v>1284.3933232242289</v>
      </c>
      <c r="G256" s="93">
        <f t="shared" si="13"/>
        <v>4155.6694541828656</v>
      </c>
    </row>
    <row r="257" spans="1:9" x14ac:dyDescent="0.25">
      <c r="A257" t="s">
        <v>209</v>
      </c>
      <c r="B257" s="91">
        <v>39203</v>
      </c>
      <c r="C257" s="92">
        <v>275</v>
      </c>
      <c r="D257" s="92">
        <v>86.468087789999998</v>
      </c>
      <c r="E257" s="92">
        <f t="shared" si="12"/>
        <v>3.1803640745228048</v>
      </c>
      <c r="F257" s="93">
        <v>1419.3916241172503</v>
      </c>
      <c r="G257" s="93">
        <f t="shared" si="13"/>
        <v>4514.1821290210801</v>
      </c>
    </row>
    <row r="258" spans="1:9" x14ac:dyDescent="0.25">
      <c r="A258" t="s">
        <v>210</v>
      </c>
      <c r="B258" s="91">
        <v>39513</v>
      </c>
      <c r="C258" s="92">
        <v>275</v>
      </c>
      <c r="D258" s="92">
        <v>108.2</v>
      </c>
      <c r="E258" s="92">
        <f t="shared" si="12"/>
        <v>2.5415896487985212</v>
      </c>
      <c r="F258" s="93">
        <v>1618.2927741517544</v>
      </c>
      <c r="G258" s="93">
        <f t="shared" si="13"/>
        <v>4113.0361635095423</v>
      </c>
    </row>
    <row r="259" spans="1:9" x14ac:dyDescent="0.25">
      <c r="A259" t="s">
        <v>211</v>
      </c>
      <c r="B259" s="91">
        <v>39514</v>
      </c>
      <c r="C259" s="92">
        <v>275</v>
      </c>
      <c r="D259" s="92">
        <v>108.2</v>
      </c>
      <c r="E259" s="92">
        <f t="shared" si="12"/>
        <v>2.5415896487985212</v>
      </c>
      <c r="F259" s="93">
        <v>2969.4060492064045</v>
      </c>
      <c r="G259" s="93">
        <f t="shared" si="13"/>
        <v>7547.0116777427102</v>
      </c>
    </row>
    <row r="260" spans="1:9" x14ac:dyDescent="0.25">
      <c r="A260" t="s">
        <v>212</v>
      </c>
      <c r="B260" s="91">
        <v>39533</v>
      </c>
      <c r="C260" s="92">
        <v>275</v>
      </c>
      <c r="D260" s="92">
        <v>108.2</v>
      </c>
      <c r="E260" s="92">
        <f t="shared" si="12"/>
        <v>2.5415896487985212</v>
      </c>
      <c r="F260" s="93">
        <v>10212.314064421704</v>
      </c>
      <c r="G260" s="93">
        <f t="shared" si="13"/>
        <v>25955.511716413755</v>
      </c>
    </row>
    <row r="261" spans="1:9" x14ac:dyDescent="0.25">
      <c r="A261" t="s">
        <v>213</v>
      </c>
      <c r="B261" s="91">
        <v>39562</v>
      </c>
      <c r="C261" s="92">
        <v>275</v>
      </c>
      <c r="D261" s="92">
        <v>109.9</v>
      </c>
      <c r="E261" s="92">
        <f t="shared" si="12"/>
        <v>2.5022747952684257</v>
      </c>
      <c r="F261" s="93">
        <v>1264.7506680010531</v>
      </c>
      <c r="G261" s="93">
        <f t="shared" si="13"/>
        <v>3164.7537188379397</v>
      </c>
    </row>
    <row r="262" spans="1:9" x14ac:dyDescent="0.25">
      <c r="A262" t="s">
        <v>214</v>
      </c>
      <c r="B262" s="91">
        <v>39687</v>
      </c>
      <c r="C262" s="92">
        <v>275</v>
      </c>
      <c r="D262" s="92">
        <v>120.2</v>
      </c>
      <c r="E262" s="92">
        <f t="shared" si="12"/>
        <v>2.287853577371048</v>
      </c>
      <c r="F262" s="93">
        <v>2521.0329026909812</v>
      </c>
      <c r="G262" s="93">
        <f t="shared" si="13"/>
        <v>5767.7541450916788</v>
      </c>
    </row>
    <row r="263" spans="1:9" x14ac:dyDescent="0.25">
      <c r="A263" t="s">
        <v>214</v>
      </c>
      <c r="B263" s="91">
        <v>39687</v>
      </c>
      <c r="C263" s="92">
        <v>275</v>
      </c>
      <c r="D263" s="92">
        <v>120.2</v>
      </c>
      <c r="E263" s="92">
        <f t="shared" si="12"/>
        <v>2.287853577371048</v>
      </c>
      <c r="F263" s="93">
        <v>1774.7404435426201</v>
      </c>
      <c r="G263" s="93">
        <f t="shared" si="13"/>
        <v>4060.3462726640641</v>
      </c>
    </row>
    <row r="264" spans="1:9" x14ac:dyDescent="0.25">
      <c r="A264" t="s">
        <v>215</v>
      </c>
      <c r="B264" s="91">
        <v>39757</v>
      </c>
      <c r="C264" s="92">
        <v>275</v>
      </c>
      <c r="D264" s="92">
        <v>128.5</v>
      </c>
      <c r="E264" s="92">
        <f t="shared" si="12"/>
        <v>2.1400778210116731</v>
      </c>
      <c r="F264" s="93">
        <v>942.67619826934549</v>
      </c>
      <c r="G264" s="93">
        <f t="shared" si="13"/>
        <v>2017.4004243118288</v>
      </c>
    </row>
    <row r="265" spans="1:9" x14ac:dyDescent="0.25">
      <c r="A265" t="s">
        <v>215</v>
      </c>
      <c r="B265" s="91">
        <v>39757</v>
      </c>
      <c r="C265" s="92">
        <v>275</v>
      </c>
      <c r="D265" s="92">
        <v>128.5</v>
      </c>
      <c r="E265" s="92">
        <f>C265/D265</f>
        <v>2.1400778210116731</v>
      </c>
      <c r="F265" s="93">
        <v>942.67619826934549</v>
      </c>
      <c r="G265" s="93">
        <f>F265*E265</f>
        <v>2017.4004243118288</v>
      </c>
    </row>
    <row r="266" spans="1:9" ht="15.75" thickBot="1" x14ac:dyDescent="0.3">
      <c r="A266" t="s">
        <v>216</v>
      </c>
      <c r="B266" s="91">
        <v>39931</v>
      </c>
      <c r="C266" s="92">
        <v>275</v>
      </c>
      <c r="D266" s="92">
        <v>142.19999999999999</v>
      </c>
      <c r="E266" s="92">
        <f>C266/D266</f>
        <v>1.9338959212376936</v>
      </c>
      <c r="F266" s="94">
        <v>4280.5</v>
      </c>
      <c r="G266" s="94">
        <f>F266*E266</f>
        <v>8278.0414908579478</v>
      </c>
    </row>
    <row r="267" spans="1:9" ht="15.75" thickTop="1" x14ac:dyDescent="0.25">
      <c r="A267" s="179" t="s">
        <v>128</v>
      </c>
      <c r="B267" s="179"/>
      <c r="C267" s="179"/>
      <c r="D267" s="179"/>
      <c r="E267" s="179"/>
      <c r="F267" s="95">
        <f>SUM(F254:F266)</f>
        <v>30176.575184801386</v>
      </c>
      <c r="G267" s="95">
        <f>SUM(G254:G266)</f>
        <v>74678.792460991564</v>
      </c>
      <c r="I267">
        <v>30176.53</v>
      </c>
    </row>
    <row r="268" spans="1:9" x14ac:dyDescent="0.25">
      <c r="A268" s="76"/>
      <c r="B268" s="76"/>
      <c r="C268" s="76"/>
      <c r="D268" s="76"/>
      <c r="E268" s="76"/>
      <c r="F268" s="95"/>
      <c r="G268" s="95"/>
    </row>
    <row r="269" spans="1:9" x14ac:dyDescent="0.25">
      <c r="A269" s="76"/>
      <c r="B269" s="76"/>
      <c r="C269" s="76"/>
      <c r="D269" s="76"/>
      <c r="E269" s="76"/>
      <c r="F269" s="95"/>
      <c r="G269" s="95"/>
    </row>
    <row r="270" spans="1:9" ht="15.75" x14ac:dyDescent="0.25">
      <c r="A270" s="178" t="s">
        <v>137</v>
      </c>
      <c r="B270" s="178"/>
      <c r="C270" s="178"/>
      <c r="D270" s="178"/>
      <c r="E270" s="178"/>
      <c r="F270" s="178"/>
      <c r="G270" s="178"/>
    </row>
    <row r="271" spans="1:9" x14ac:dyDescent="0.25">
      <c r="A271" s="79"/>
      <c r="B271" s="79"/>
      <c r="C271" s="79"/>
      <c r="D271" s="79"/>
      <c r="E271" s="79"/>
      <c r="F271" s="79"/>
      <c r="G271" s="79"/>
    </row>
    <row r="272" spans="1:9" x14ac:dyDescent="0.25">
      <c r="A272" s="76" t="s">
        <v>118</v>
      </c>
      <c r="B272" s="76" t="s">
        <v>119</v>
      </c>
      <c r="C272" s="76" t="s">
        <v>120</v>
      </c>
      <c r="D272" s="76" t="s">
        <v>121</v>
      </c>
      <c r="E272" s="76" t="s">
        <v>122</v>
      </c>
      <c r="F272" s="76" t="s">
        <v>123</v>
      </c>
      <c r="G272" s="76" t="s">
        <v>124</v>
      </c>
    </row>
    <row r="273" spans="1:9" x14ac:dyDescent="0.25">
      <c r="A273" t="s">
        <v>217</v>
      </c>
      <c r="B273" s="91">
        <v>38990</v>
      </c>
      <c r="C273" s="92">
        <v>275</v>
      </c>
      <c r="D273" s="92">
        <v>78.566846979999994</v>
      </c>
      <c r="E273" s="92">
        <f>C273/D273</f>
        <v>3.5002041009740927</v>
      </c>
      <c r="F273" s="93">
        <v>9681.6847235326768</v>
      </c>
      <c r="G273" s="93">
        <f>F273*E273</f>
        <v>33887.872573647299</v>
      </c>
    </row>
    <row r="274" spans="1:9" x14ac:dyDescent="0.25">
      <c r="A274" t="s">
        <v>217</v>
      </c>
      <c r="B274" s="91">
        <v>39051</v>
      </c>
      <c r="C274" s="92">
        <v>275</v>
      </c>
      <c r="D274" s="92">
        <v>80.187476090000004</v>
      </c>
      <c r="E274" s="92">
        <f t="shared" ref="E274:E287" si="14">C274/D274</f>
        <v>3.4294632205576381</v>
      </c>
      <c r="F274" s="93">
        <v>93.1199402489883</v>
      </c>
      <c r="G274" s="93">
        <f t="shared" ref="G274:G286" si="15">F274*E274</f>
        <v>319.35141018443022</v>
      </c>
    </row>
    <row r="275" spans="1:9" x14ac:dyDescent="0.25">
      <c r="A275" t="s">
        <v>217</v>
      </c>
      <c r="B275" s="91">
        <v>39082</v>
      </c>
      <c r="C275" s="92">
        <v>275</v>
      </c>
      <c r="D275" s="92">
        <v>81.661321659999999</v>
      </c>
      <c r="E275" s="92">
        <f t="shared" si="14"/>
        <v>3.367567342896713</v>
      </c>
      <c r="F275" s="93">
        <v>31171.873458828086</v>
      </c>
      <c r="G275" s="93">
        <f t="shared" si="15"/>
        <v>104973.38307685827</v>
      </c>
    </row>
    <row r="276" spans="1:9" x14ac:dyDescent="0.25">
      <c r="A276" t="s">
        <v>218</v>
      </c>
      <c r="B276" s="91">
        <v>38990</v>
      </c>
      <c r="C276" s="92">
        <v>275</v>
      </c>
      <c r="D276" s="92">
        <v>78.566846979999994</v>
      </c>
      <c r="E276" s="92">
        <f t="shared" si="14"/>
        <v>3.5002041009740927</v>
      </c>
      <c r="F276" s="93">
        <v>10486.536705798728</v>
      </c>
      <c r="G276" s="93">
        <f t="shared" si="15"/>
        <v>36705.018782652063</v>
      </c>
    </row>
    <row r="277" spans="1:9" x14ac:dyDescent="0.25">
      <c r="A277" t="s">
        <v>218</v>
      </c>
      <c r="B277" s="91">
        <v>39082</v>
      </c>
      <c r="C277" s="92">
        <v>275</v>
      </c>
      <c r="D277" s="92">
        <v>81.661321659999999</v>
      </c>
      <c r="E277" s="92">
        <f t="shared" si="14"/>
        <v>3.367567342896713</v>
      </c>
      <c r="F277" s="93">
        <v>46215.43889152816</v>
      </c>
      <c r="G277" s="93">
        <f t="shared" si="15"/>
        <v>155633.6027487489</v>
      </c>
    </row>
    <row r="278" spans="1:9" x14ac:dyDescent="0.25">
      <c r="A278" t="s">
        <v>219</v>
      </c>
      <c r="B278" s="91">
        <v>39203</v>
      </c>
      <c r="C278" s="92">
        <v>275</v>
      </c>
      <c r="D278" s="92">
        <v>86.468087789999998</v>
      </c>
      <c r="E278" s="92">
        <f t="shared" si="14"/>
        <v>3.1803640745228048</v>
      </c>
      <c r="F278" s="93">
        <v>652.08085011334242</v>
      </c>
      <c r="G278" s="93">
        <f t="shared" si="15"/>
        <v>2073.8545093847642</v>
      </c>
    </row>
    <row r="279" spans="1:9" x14ac:dyDescent="0.25">
      <c r="A279" t="s">
        <v>220</v>
      </c>
      <c r="B279" s="91">
        <v>39533</v>
      </c>
      <c r="C279" s="92">
        <v>275</v>
      </c>
      <c r="D279" s="92">
        <v>108.2</v>
      </c>
      <c r="E279" s="92">
        <f t="shared" si="14"/>
        <v>2.5415896487985212</v>
      </c>
      <c r="F279" s="93">
        <v>973.93285625944668</v>
      </c>
      <c r="G279" s="93">
        <f t="shared" si="15"/>
        <v>2475.3376660937879</v>
      </c>
    </row>
    <row r="280" spans="1:9" x14ac:dyDescent="0.25">
      <c r="A280" t="s">
        <v>220</v>
      </c>
      <c r="B280" s="91">
        <v>39533</v>
      </c>
      <c r="C280" s="92">
        <v>275</v>
      </c>
      <c r="D280" s="92">
        <v>108.2</v>
      </c>
      <c r="E280" s="92">
        <f t="shared" si="14"/>
        <v>2.5415896487985212</v>
      </c>
      <c r="F280" s="93">
        <v>973.93285625944668</v>
      </c>
      <c r="G280" s="93">
        <f t="shared" si="15"/>
        <v>2475.3376660937879</v>
      </c>
    </row>
    <row r="281" spans="1:9" x14ac:dyDescent="0.25">
      <c r="A281" t="s">
        <v>220</v>
      </c>
      <c r="B281" s="91">
        <v>39533</v>
      </c>
      <c r="C281" s="92">
        <v>275</v>
      </c>
      <c r="D281" s="92">
        <v>108.2</v>
      </c>
      <c r="E281" s="92">
        <f t="shared" si="14"/>
        <v>2.5415896487985212</v>
      </c>
      <c r="F281" s="93">
        <v>1372.3537924434277</v>
      </c>
      <c r="G281" s="93">
        <f t="shared" si="15"/>
        <v>3487.96019336361</v>
      </c>
    </row>
    <row r="282" spans="1:9" x14ac:dyDescent="0.25">
      <c r="A282" t="s">
        <v>221</v>
      </c>
      <c r="B282" s="91">
        <v>39533</v>
      </c>
      <c r="C282" s="92">
        <v>275</v>
      </c>
      <c r="D282" s="92">
        <v>108.2</v>
      </c>
      <c r="E282" s="92">
        <f t="shared" si="14"/>
        <v>2.5415896487985212</v>
      </c>
      <c r="F282" s="93">
        <v>176.18381481868903</v>
      </c>
      <c r="G282" s="93">
        <f t="shared" si="15"/>
        <v>447.78696002901557</v>
      </c>
    </row>
    <row r="283" spans="1:9" x14ac:dyDescent="0.25">
      <c r="A283" t="s">
        <v>222</v>
      </c>
      <c r="B283" s="91">
        <v>39660</v>
      </c>
      <c r="C283" s="92">
        <v>275</v>
      </c>
      <c r="D283" s="92">
        <v>118.2</v>
      </c>
      <c r="E283" s="92">
        <f t="shared" si="14"/>
        <v>2.3265651438240269</v>
      </c>
      <c r="F283" s="93">
        <v>575.5022693406487</v>
      </c>
      <c r="G283" s="93">
        <f t="shared" si="15"/>
        <v>1338.9435200395801</v>
      </c>
    </row>
    <row r="284" spans="1:9" x14ac:dyDescent="0.25">
      <c r="A284" t="s">
        <v>223</v>
      </c>
      <c r="B284" s="91">
        <v>39771</v>
      </c>
      <c r="C284" s="92">
        <v>275</v>
      </c>
      <c r="D284" s="92">
        <v>128.5</v>
      </c>
      <c r="E284" s="92">
        <f t="shared" si="14"/>
        <v>2.1400778210116731</v>
      </c>
      <c r="F284" s="93">
        <v>3894.0714986492671</v>
      </c>
      <c r="G284" s="93">
        <f t="shared" si="15"/>
        <v>8333.6160476929836</v>
      </c>
    </row>
    <row r="285" spans="1:9" x14ac:dyDescent="0.25">
      <c r="A285" t="s">
        <v>224</v>
      </c>
      <c r="B285" s="91">
        <v>39840</v>
      </c>
      <c r="C285" s="92">
        <v>275</v>
      </c>
      <c r="D285" s="92">
        <v>135.1</v>
      </c>
      <c r="E285" s="92">
        <f t="shared" si="14"/>
        <v>2.0355292376017764</v>
      </c>
      <c r="F285" s="93">
        <v>557.79317095150031</v>
      </c>
      <c r="G285" s="93">
        <f t="shared" si="15"/>
        <v>1135.4043080063848</v>
      </c>
    </row>
    <row r="286" spans="1:9" x14ac:dyDescent="0.25">
      <c r="A286" t="s">
        <v>224</v>
      </c>
      <c r="B286" s="91">
        <v>39840</v>
      </c>
      <c r="C286" s="92">
        <v>275</v>
      </c>
      <c r="D286" s="92">
        <v>135.1</v>
      </c>
      <c r="E286" s="92">
        <f t="shared" si="14"/>
        <v>2.0355292376017764</v>
      </c>
      <c r="F286" s="93">
        <v>557.79317095150031</v>
      </c>
      <c r="G286" s="93">
        <f t="shared" si="15"/>
        <v>1135.4043080063848</v>
      </c>
    </row>
    <row r="287" spans="1:9" ht="15.75" thickBot="1" x14ac:dyDescent="0.3">
      <c r="A287" t="s">
        <v>225</v>
      </c>
      <c r="B287" s="91">
        <v>39938</v>
      </c>
      <c r="C287" s="92">
        <v>275</v>
      </c>
      <c r="D287" s="92">
        <v>145.19999999999999</v>
      </c>
      <c r="E287" s="92">
        <f t="shared" si="14"/>
        <v>1.893939393939394</v>
      </c>
      <c r="F287" s="94">
        <v>4530.4120002761247</v>
      </c>
      <c r="G287" s="94">
        <f>F287*E287</f>
        <v>8580.3257580987211</v>
      </c>
    </row>
    <row r="288" spans="1:9" ht="15.75" thickTop="1" x14ac:dyDescent="0.25">
      <c r="A288" s="179" t="s">
        <v>133</v>
      </c>
      <c r="B288" s="179"/>
      <c r="C288" s="179"/>
      <c r="D288" s="179"/>
      <c r="E288" s="179"/>
      <c r="F288" s="95">
        <f>SUM(F273:F287)</f>
        <v>111912.71000000002</v>
      </c>
      <c r="G288" s="95">
        <f>SUM(G273:G287)</f>
        <v>363003.19952890009</v>
      </c>
      <c r="I288">
        <v>111912.71</v>
      </c>
    </row>
    <row r="289" spans="1:9" x14ac:dyDescent="0.25">
      <c r="A289" s="76"/>
      <c r="B289" s="76"/>
      <c r="C289" s="76"/>
      <c r="D289" s="76"/>
      <c r="E289" s="76"/>
      <c r="F289" s="95"/>
      <c r="G289" s="95"/>
    </row>
    <row r="290" spans="1:9" x14ac:dyDescent="0.25">
      <c r="A290" s="76"/>
      <c r="B290" s="76"/>
      <c r="C290" s="76"/>
      <c r="D290" s="76"/>
      <c r="E290" s="76"/>
      <c r="F290" s="95"/>
      <c r="G290" s="95"/>
    </row>
    <row r="291" spans="1:9" ht="15.75" x14ac:dyDescent="0.25">
      <c r="A291" s="178" t="s">
        <v>138</v>
      </c>
      <c r="B291" s="178"/>
      <c r="C291" s="178"/>
      <c r="D291" s="178"/>
      <c r="E291" s="178"/>
      <c r="F291" s="178"/>
      <c r="G291" s="178"/>
    </row>
    <row r="292" spans="1:9" x14ac:dyDescent="0.25">
      <c r="A292" s="79"/>
      <c r="B292" s="79"/>
      <c r="C292" s="79"/>
      <c r="D292" s="79"/>
      <c r="E292" s="79"/>
      <c r="F292" s="79"/>
      <c r="G292" s="79"/>
    </row>
    <row r="293" spans="1:9" x14ac:dyDescent="0.25">
      <c r="A293" s="76" t="s">
        <v>118</v>
      </c>
      <c r="B293" s="76" t="s">
        <v>119</v>
      </c>
      <c r="C293" s="76" t="s">
        <v>120</v>
      </c>
      <c r="D293" s="76" t="s">
        <v>121</v>
      </c>
      <c r="E293" s="76" t="s">
        <v>122</v>
      </c>
      <c r="F293" s="76" t="s">
        <v>123</v>
      </c>
      <c r="G293" s="76" t="s">
        <v>124</v>
      </c>
    </row>
    <row r="294" spans="1:9" x14ac:dyDescent="0.25">
      <c r="A294" t="s">
        <v>226</v>
      </c>
      <c r="B294" s="91">
        <v>39051</v>
      </c>
      <c r="C294" s="92">
        <v>275</v>
      </c>
      <c r="D294" s="92">
        <v>80.187476090000004</v>
      </c>
      <c r="E294" s="92">
        <f>C294/D294</f>
        <v>3.4294632205576381</v>
      </c>
      <c r="F294" s="93">
        <v>22514.579999999998</v>
      </c>
      <c r="G294" s="93">
        <f>F294*E294</f>
        <v>77212.924036302575</v>
      </c>
      <c r="I294" s="93"/>
    </row>
    <row r="295" spans="1:9" x14ac:dyDescent="0.25">
      <c r="A295" t="s">
        <v>227</v>
      </c>
      <c r="B295" s="91">
        <v>39142</v>
      </c>
      <c r="C295" s="92">
        <v>275</v>
      </c>
      <c r="D295" s="92">
        <v>83.812530649999999</v>
      </c>
      <c r="E295" s="92">
        <f t="shared" ref="E295:E310" si="16">C295/D295</f>
        <v>3.2811322825747418</v>
      </c>
      <c r="F295" s="93">
        <v>8509.56</v>
      </c>
      <c r="G295" s="93">
        <f t="shared" ref="G295:G311" si="17">F295*E295</f>
        <v>27920.992026506719</v>
      </c>
      <c r="I295" s="93"/>
    </row>
    <row r="296" spans="1:9" x14ac:dyDescent="0.25">
      <c r="A296" t="s">
        <v>228</v>
      </c>
      <c r="B296" s="91">
        <v>39142</v>
      </c>
      <c r="C296" s="92">
        <v>275</v>
      </c>
      <c r="D296" s="92">
        <v>83.812530649999999</v>
      </c>
      <c r="E296" s="92">
        <f t="shared" si="16"/>
        <v>3.2811322825747418</v>
      </c>
      <c r="F296" s="93">
        <v>1399.96</v>
      </c>
      <c r="G296" s="93">
        <f t="shared" si="17"/>
        <v>4593.4539503133356</v>
      </c>
      <c r="I296" s="93"/>
    </row>
    <row r="297" spans="1:9" x14ac:dyDescent="0.25">
      <c r="A297" t="s">
        <v>229</v>
      </c>
      <c r="B297" s="91">
        <v>39326</v>
      </c>
      <c r="C297" s="92">
        <v>275</v>
      </c>
      <c r="D297" s="92">
        <v>90.557581049999996</v>
      </c>
      <c r="E297" s="92">
        <f t="shared" si="16"/>
        <v>3.036741891859533</v>
      </c>
      <c r="F297" s="93">
        <v>56999.96</v>
      </c>
      <c r="G297" s="93">
        <f t="shared" si="17"/>
        <v>173094.16636631772</v>
      </c>
      <c r="I297" s="93"/>
    </row>
    <row r="298" spans="1:9" x14ac:dyDescent="0.25">
      <c r="A298" t="s">
        <v>230</v>
      </c>
      <c r="B298" s="91">
        <v>39355</v>
      </c>
      <c r="C298" s="92">
        <v>275</v>
      </c>
      <c r="D298" s="92">
        <v>90.557581049999996</v>
      </c>
      <c r="E298" s="92">
        <f t="shared" si="16"/>
        <v>3.036741891859533</v>
      </c>
      <c r="F298" s="93">
        <v>56999.96</v>
      </c>
      <c r="G298" s="93">
        <f t="shared" si="17"/>
        <v>173094.16636631772</v>
      </c>
      <c r="I298" s="93"/>
    </row>
    <row r="299" spans="1:9" x14ac:dyDescent="0.25">
      <c r="A299" t="s">
        <v>230</v>
      </c>
      <c r="B299" s="91">
        <v>39355</v>
      </c>
      <c r="C299" s="92">
        <v>275</v>
      </c>
      <c r="D299" s="92">
        <v>90.557581049999996</v>
      </c>
      <c r="E299" s="92">
        <f t="shared" si="16"/>
        <v>3.036741891859533</v>
      </c>
      <c r="F299" s="93">
        <v>9399.9600000000009</v>
      </c>
      <c r="G299" s="93">
        <f t="shared" si="17"/>
        <v>28545.25231380394</v>
      </c>
      <c r="I299" s="93"/>
    </row>
    <row r="300" spans="1:9" x14ac:dyDescent="0.25">
      <c r="A300" t="s">
        <v>230</v>
      </c>
      <c r="B300" s="91">
        <v>39386</v>
      </c>
      <c r="C300" s="92">
        <v>275</v>
      </c>
      <c r="D300" s="92">
        <v>92.775336339999996</v>
      </c>
      <c r="E300" s="92">
        <f t="shared" si="16"/>
        <v>2.964149857589188</v>
      </c>
      <c r="F300" s="93">
        <v>14800</v>
      </c>
      <c r="G300" s="93">
        <f t="shared" si="17"/>
        <v>43869.41789231998</v>
      </c>
      <c r="I300" s="93"/>
    </row>
    <row r="301" spans="1:9" x14ac:dyDescent="0.25">
      <c r="A301" t="s">
        <v>230</v>
      </c>
      <c r="B301" s="91">
        <v>39416</v>
      </c>
      <c r="C301" s="92">
        <v>275</v>
      </c>
      <c r="D301" s="92">
        <v>96.812918629999999</v>
      </c>
      <c r="E301" s="92">
        <f t="shared" si="16"/>
        <v>2.8405300025195617</v>
      </c>
      <c r="F301" s="93">
        <v>14800</v>
      </c>
      <c r="G301" s="93">
        <f t="shared" si="17"/>
        <v>42039.844037289513</v>
      </c>
      <c r="I301" s="93"/>
    </row>
    <row r="302" spans="1:9" x14ac:dyDescent="0.25">
      <c r="A302" t="s">
        <v>231</v>
      </c>
      <c r="B302" s="91">
        <v>39455</v>
      </c>
      <c r="C302" s="92">
        <v>275</v>
      </c>
      <c r="D302" s="92">
        <v>103.4</v>
      </c>
      <c r="E302" s="92">
        <f t="shared" si="16"/>
        <v>2.6595744680851063</v>
      </c>
      <c r="F302" s="93">
        <v>12614.400000000001</v>
      </c>
      <c r="G302" s="93">
        <f t="shared" si="17"/>
        <v>33548.936170212772</v>
      </c>
      <c r="I302" s="93"/>
    </row>
    <row r="303" spans="1:9" x14ac:dyDescent="0.25">
      <c r="A303" t="s">
        <v>232</v>
      </c>
      <c r="B303" s="91">
        <v>39599</v>
      </c>
      <c r="C303" s="92">
        <v>275</v>
      </c>
      <c r="D303" s="92">
        <v>113.7</v>
      </c>
      <c r="E303" s="92">
        <f t="shared" si="16"/>
        <v>2.4186455584872473</v>
      </c>
      <c r="F303" s="93">
        <v>10091.76</v>
      </c>
      <c r="G303" s="93">
        <f t="shared" si="17"/>
        <v>24408.390501319263</v>
      </c>
      <c r="I303" s="93"/>
    </row>
    <row r="304" spans="1:9" x14ac:dyDescent="0.25">
      <c r="A304" t="s">
        <v>232</v>
      </c>
      <c r="B304" s="91">
        <v>39599</v>
      </c>
      <c r="C304" s="92">
        <v>275</v>
      </c>
      <c r="D304" s="92">
        <v>113.7</v>
      </c>
      <c r="E304" s="92">
        <f t="shared" si="16"/>
        <v>2.4186455584872473</v>
      </c>
      <c r="F304" s="93">
        <v>15596.28</v>
      </c>
      <c r="G304" s="93">
        <f t="shared" si="17"/>
        <v>37721.873350923488</v>
      </c>
      <c r="I304" s="93"/>
    </row>
    <row r="305" spans="1:10" x14ac:dyDescent="0.25">
      <c r="A305" t="s">
        <v>232</v>
      </c>
      <c r="B305" s="91">
        <v>39599</v>
      </c>
      <c r="C305" s="92">
        <v>275</v>
      </c>
      <c r="D305" s="92">
        <v>113.7</v>
      </c>
      <c r="E305" s="92">
        <f t="shared" si="16"/>
        <v>2.4186455584872473</v>
      </c>
      <c r="F305" s="93">
        <v>12683.82</v>
      </c>
      <c r="G305" s="93">
        <f t="shared" si="17"/>
        <v>30677.664907651717</v>
      </c>
      <c r="I305" s="93"/>
    </row>
    <row r="306" spans="1:10" x14ac:dyDescent="0.25">
      <c r="A306" t="s">
        <v>233</v>
      </c>
      <c r="B306" s="91">
        <v>39599</v>
      </c>
      <c r="C306" s="92">
        <v>275</v>
      </c>
      <c r="D306" s="92">
        <v>113.7</v>
      </c>
      <c r="E306" s="92">
        <f t="shared" si="16"/>
        <v>2.4186455584872473</v>
      </c>
      <c r="F306" s="93">
        <v>12999.96</v>
      </c>
      <c r="G306" s="93">
        <f t="shared" si="17"/>
        <v>31442.295514511872</v>
      </c>
      <c r="I306" s="93"/>
    </row>
    <row r="307" spans="1:10" x14ac:dyDescent="0.25">
      <c r="A307" t="s">
        <v>234</v>
      </c>
      <c r="B307" s="91">
        <v>40255</v>
      </c>
      <c r="C307" s="92">
        <v>275</v>
      </c>
      <c r="D307" s="92">
        <v>178.2</v>
      </c>
      <c r="E307" s="92">
        <f t="shared" si="16"/>
        <v>1.5432098765432101</v>
      </c>
      <c r="F307" s="93">
        <v>38500.199999999997</v>
      </c>
      <c r="G307" s="93">
        <f t="shared" si="17"/>
        <v>59413.888888888891</v>
      </c>
      <c r="I307" s="93"/>
    </row>
    <row r="308" spans="1:10" x14ac:dyDescent="0.25">
      <c r="A308" t="s">
        <v>235</v>
      </c>
      <c r="B308" s="91">
        <v>40429</v>
      </c>
      <c r="C308" s="92">
        <v>275</v>
      </c>
      <c r="D308" s="92">
        <v>204</v>
      </c>
      <c r="E308" s="92">
        <f t="shared" si="16"/>
        <v>1.3480392156862746</v>
      </c>
      <c r="F308" s="93">
        <v>30000</v>
      </c>
      <c r="G308" s="93">
        <f t="shared" si="17"/>
        <v>40441.176470588238</v>
      </c>
      <c r="I308" s="93"/>
    </row>
    <row r="309" spans="1:10" x14ac:dyDescent="0.25">
      <c r="A309" t="s">
        <v>236</v>
      </c>
      <c r="B309" s="91">
        <v>40479</v>
      </c>
      <c r="C309" s="92">
        <v>275</v>
      </c>
      <c r="D309" s="92">
        <v>207</v>
      </c>
      <c r="E309" s="92">
        <f t="shared" si="16"/>
        <v>1.3285024154589371</v>
      </c>
      <c r="F309" s="93">
        <v>36000</v>
      </c>
      <c r="G309" s="93">
        <f t="shared" si="17"/>
        <v>47826.086956521736</v>
      </c>
      <c r="I309" s="93"/>
    </row>
    <row r="310" spans="1:10" x14ac:dyDescent="0.25">
      <c r="A310" t="s">
        <v>237</v>
      </c>
      <c r="B310" s="91">
        <v>40500</v>
      </c>
      <c r="C310" s="92">
        <v>275</v>
      </c>
      <c r="D310" s="92">
        <v>209.7</v>
      </c>
      <c r="E310" s="92">
        <f t="shared" si="16"/>
        <v>1.3113972341440154</v>
      </c>
      <c r="F310" s="93">
        <v>50000.04</v>
      </c>
      <c r="G310" s="93">
        <f t="shared" si="17"/>
        <v>65569.914163090143</v>
      </c>
      <c r="I310" s="93"/>
    </row>
    <row r="311" spans="1:10" x14ac:dyDescent="0.25">
      <c r="A311" t="s">
        <v>237</v>
      </c>
      <c r="B311" s="91">
        <v>40500</v>
      </c>
      <c r="C311" s="92">
        <v>275</v>
      </c>
      <c r="D311" s="92">
        <v>209.7</v>
      </c>
      <c r="E311" s="92">
        <f>C311/D311</f>
        <v>1.3113972341440154</v>
      </c>
      <c r="F311" s="93">
        <v>50000.04</v>
      </c>
      <c r="G311" s="93">
        <f t="shared" si="17"/>
        <v>65569.914163090143</v>
      </c>
      <c r="I311" s="93"/>
    </row>
    <row r="312" spans="1:10" ht="15.75" thickBot="1" x14ac:dyDescent="0.3">
      <c r="A312" t="s">
        <v>238</v>
      </c>
      <c r="B312" s="91">
        <v>40626</v>
      </c>
      <c r="C312" s="92">
        <v>275</v>
      </c>
      <c r="D312" s="92">
        <v>229.3</v>
      </c>
      <c r="E312" s="92">
        <f>C312/D312</f>
        <v>1.1993022241604885</v>
      </c>
      <c r="F312" s="94">
        <v>0</v>
      </c>
      <c r="G312" s="94">
        <f>F312*E312</f>
        <v>0</v>
      </c>
    </row>
    <row r="313" spans="1:10" ht="15.75" thickTop="1" x14ac:dyDescent="0.25">
      <c r="A313" s="179" t="s">
        <v>133</v>
      </c>
      <c r="B313" s="179"/>
      <c r="C313" s="179"/>
      <c r="D313" s="179"/>
      <c r="E313" s="179"/>
      <c r="F313" s="95">
        <f>SUM(F294:F312)</f>
        <v>453910.47999999992</v>
      </c>
      <c r="G313" s="95">
        <f>SUM(G294:G312)</f>
        <v>1006990.3580759699</v>
      </c>
      <c r="I313" s="93">
        <v>453910.48</v>
      </c>
      <c r="J313" s="108"/>
    </row>
    <row r="314" spans="1:10" x14ac:dyDescent="0.25">
      <c r="A314" s="76"/>
      <c r="B314" s="76"/>
      <c r="C314" s="76"/>
      <c r="D314" s="76"/>
      <c r="E314" s="76"/>
      <c r="F314" s="95"/>
      <c r="G314" s="95"/>
    </row>
    <row r="315" spans="1:10" x14ac:dyDescent="0.25">
      <c r="A315" s="76"/>
      <c r="B315" s="76"/>
      <c r="C315" s="76"/>
      <c r="D315" s="76"/>
      <c r="E315" s="76"/>
      <c r="F315" s="95"/>
      <c r="G315" s="95"/>
    </row>
    <row r="316" spans="1:10" ht="15.75" x14ac:dyDescent="0.25">
      <c r="A316" s="178" t="s">
        <v>31</v>
      </c>
      <c r="B316" s="178"/>
      <c r="C316" s="178"/>
      <c r="D316" s="178"/>
      <c r="E316" s="178"/>
      <c r="F316" s="178"/>
      <c r="G316" s="178"/>
    </row>
    <row r="317" spans="1:10" x14ac:dyDescent="0.25">
      <c r="A317" s="76"/>
      <c r="B317" s="52"/>
      <c r="C317" s="52"/>
      <c r="D317" s="52"/>
      <c r="E317" s="52"/>
      <c r="F317" s="95"/>
      <c r="G317" s="95"/>
    </row>
    <row r="318" spans="1:10" x14ac:dyDescent="0.25">
      <c r="A318" s="76" t="s">
        <v>118</v>
      </c>
      <c r="B318" s="76" t="s">
        <v>119</v>
      </c>
      <c r="C318" s="76" t="s">
        <v>120</v>
      </c>
      <c r="D318" s="76" t="s">
        <v>121</v>
      </c>
      <c r="E318" s="76" t="s">
        <v>122</v>
      </c>
      <c r="F318" s="76" t="s">
        <v>123</v>
      </c>
      <c r="G318" s="76" t="s">
        <v>124</v>
      </c>
    </row>
    <row r="319" spans="1:10" x14ac:dyDescent="0.25">
      <c r="A319" s="97" t="s">
        <v>139</v>
      </c>
      <c r="B319" s="91">
        <v>38353</v>
      </c>
      <c r="C319" s="92">
        <v>275</v>
      </c>
      <c r="D319" s="92">
        <v>62.218836699999997</v>
      </c>
      <c r="E319" s="92">
        <f>C319/D319</f>
        <v>4.4198833437848579</v>
      </c>
      <c r="F319" s="93">
        <v>200000</v>
      </c>
      <c r="G319" s="93">
        <f>F319*E319</f>
        <v>883976.6687569716</v>
      </c>
    </row>
    <row r="320" spans="1:10" ht="15.75" thickBot="1" x14ac:dyDescent="0.3">
      <c r="A320" s="97" t="s">
        <v>140</v>
      </c>
      <c r="B320" s="91">
        <v>39934</v>
      </c>
      <c r="C320" s="92">
        <v>275</v>
      </c>
      <c r="D320" s="92">
        <v>145.19999999999999</v>
      </c>
      <c r="E320" s="92">
        <f>C320/D320</f>
        <v>1.893939393939394</v>
      </c>
      <c r="F320" s="94">
        <v>800000</v>
      </c>
      <c r="G320" s="94">
        <f>F320*E320</f>
        <v>1515151.5151515151</v>
      </c>
    </row>
    <row r="321" spans="1:7" ht="15.75" thickTop="1" x14ac:dyDescent="0.25">
      <c r="A321" s="179" t="s">
        <v>133</v>
      </c>
      <c r="B321" s="179"/>
      <c r="C321" s="179"/>
      <c r="D321" s="179"/>
      <c r="E321" s="179"/>
      <c r="F321" s="95">
        <f>SUM(F319:F320)</f>
        <v>1000000</v>
      </c>
      <c r="G321" s="95">
        <f>SUM(G319:G320)</f>
        <v>2399128.1839084867</v>
      </c>
    </row>
    <row r="322" spans="1:7" x14ac:dyDescent="0.25">
      <c r="A322" s="76"/>
      <c r="B322" s="76"/>
      <c r="C322" s="76"/>
      <c r="D322" s="76"/>
      <c r="E322" s="76"/>
      <c r="F322" s="95"/>
      <c r="G322" s="95"/>
    </row>
    <row r="323" spans="1:7" ht="15.75" x14ac:dyDescent="0.25">
      <c r="A323" s="90"/>
      <c r="B323" s="52"/>
      <c r="C323" s="52"/>
      <c r="D323" s="52"/>
      <c r="E323" s="52"/>
      <c r="F323" s="52"/>
      <c r="G323" s="52"/>
    </row>
    <row r="324" spans="1:7" x14ac:dyDescent="0.25">
      <c r="A324" s="52"/>
      <c r="B324" s="52"/>
      <c r="C324" s="52"/>
      <c r="D324" s="52"/>
      <c r="E324" s="52"/>
      <c r="F324" s="52"/>
      <c r="G324" s="52"/>
    </row>
    <row r="325" spans="1:7" x14ac:dyDescent="0.25">
      <c r="A325" s="180" t="s">
        <v>145</v>
      </c>
      <c r="B325" s="180"/>
      <c r="C325" s="180"/>
      <c r="D325" s="180"/>
      <c r="E325" s="180"/>
      <c r="F325" s="52"/>
      <c r="G325" s="52"/>
    </row>
    <row r="326" spans="1:7" x14ac:dyDescent="0.25">
      <c r="A326" s="52"/>
      <c r="B326" s="52"/>
      <c r="C326" s="52"/>
      <c r="D326" s="52"/>
      <c r="E326" s="52"/>
      <c r="F326" s="52"/>
      <c r="G326" s="52"/>
    </row>
    <row r="327" spans="1:7" x14ac:dyDescent="0.25">
      <c r="A327" s="76" t="s">
        <v>118</v>
      </c>
      <c r="B327" s="76" t="s">
        <v>146</v>
      </c>
      <c r="C327" s="76" t="s">
        <v>124</v>
      </c>
      <c r="D327" s="76" t="s">
        <v>147</v>
      </c>
      <c r="E327" s="52"/>
      <c r="F327" s="52"/>
      <c r="G327" s="52"/>
    </row>
    <row r="328" spans="1:7" x14ac:dyDescent="0.25">
      <c r="A328" s="14" t="str">
        <f t="shared" ref="A328:A338" si="18">A6</f>
        <v>Caja y Banco</v>
      </c>
      <c r="B328" s="93">
        <f t="shared" ref="B328:C332" si="19">F6</f>
        <v>694019.9</v>
      </c>
      <c r="C328" s="93">
        <f t="shared" si="19"/>
        <v>895194.52392120077</v>
      </c>
      <c r="D328" s="93">
        <f t="shared" ref="D328:D355" si="20">C328-B328</f>
        <v>201174.62392120075</v>
      </c>
      <c r="E328" s="52"/>
      <c r="F328" s="52"/>
      <c r="G328" s="52"/>
    </row>
    <row r="329" spans="1:7" x14ac:dyDescent="0.25">
      <c r="A329" s="14" t="str">
        <f t="shared" si="18"/>
        <v>Cuentas por cobrar clientes</v>
      </c>
      <c r="B329" s="93">
        <f t="shared" si="19"/>
        <v>5751670.4299999997</v>
      </c>
      <c r="C329" s="93">
        <f t="shared" si="19"/>
        <v>7418899.475844278</v>
      </c>
      <c r="D329" s="93">
        <f t="shared" si="20"/>
        <v>1667229.0458442783</v>
      </c>
      <c r="E329" s="52"/>
      <c r="F329" s="52"/>
      <c r="G329" s="52"/>
    </row>
    <row r="330" spans="1:7" x14ac:dyDescent="0.25">
      <c r="A330" s="14" t="str">
        <f t="shared" si="18"/>
        <v>Cuentas por cobrar relacionadas</v>
      </c>
      <c r="B330" s="93">
        <f t="shared" si="19"/>
        <v>613425.38</v>
      </c>
      <c r="C330" s="93">
        <f t="shared" si="19"/>
        <v>791238.17776735465</v>
      </c>
      <c r="D330" s="93">
        <f t="shared" si="20"/>
        <v>177812.79776735464</v>
      </c>
      <c r="E330" s="52"/>
      <c r="F330" s="52"/>
      <c r="G330" s="52"/>
    </row>
    <row r="331" spans="1:7" x14ac:dyDescent="0.25">
      <c r="A331" s="14" t="str">
        <f t="shared" si="18"/>
        <v>Anticipo a Proveedores de Bienes y Servicios</v>
      </c>
      <c r="B331" s="93">
        <f t="shared" si="19"/>
        <v>1095585.3999999999</v>
      </c>
      <c r="C331" s="93">
        <f t="shared" si="19"/>
        <v>1413161.2804878049</v>
      </c>
      <c r="D331" s="93">
        <f t="shared" si="20"/>
        <v>317575.880487805</v>
      </c>
      <c r="E331" s="52"/>
      <c r="F331" s="52"/>
      <c r="G331" s="52"/>
    </row>
    <row r="332" spans="1:7" x14ac:dyDescent="0.25">
      <c r="A332" s="14" t="str">
        <f t="shared" si="18"/>
        <v>Impuesto pagado por Anticipado</v>
      </c>
      <c r="B332" s="93">
        <f t="shared" si="19"/>
        <v>953669.25</v>
      </c>
      <c r="C332" s="93">
        <f t="shared" si="19"/>
        <v>1230108.085131332</v>
      </c>
      <c r="D332" s="93">
        <f t="shared" si="20"/>
        <v>276438.83513133205</v>
      </c>
      <c r="E332" s="52"/>
      <c r="F332" s="52"/>
      <c r="G332" s="52"/>
    </row>
    <row r="333" spans="1:7" x14ac:dyDescent="0.25">
      <c r="A333" s="14" t="str">
        <f t="shared" si="18"/>
        <v>Efectos por pagar</v>
      </c>
      <c r="B333" s="93">
        <f t="shared" ref="B333:B338" si="21">-F11</f>
        <v>-916750.08</v>
      </c>
      <c r="C333" s="93">
        <f t="shared" ref="C333:C338" si="22">-G11</f>
        <v>-1182487.2045028142</v>
      </c>
      <c r="D333" s="93">
        <f t="shared" si="20"/>
        <v>-265737.12450281426</v>
      </c>
      <c r="E333" s="52"/>
      <c r="F333" s="52"/>
      <c r="G333" s="52"/>
    </row>
    <row r="334" spans="1:7" x14ac:dyDescent="0.25">
      <c r="A334" s="14" t="str">
        <f t="shared" si="18"/>
        <v>Cuentas por pagar comerciales</v>
      </c>
      <c r="B334" s="93">
        <f t="shared" si="21"/>
        <v>-173724.09</v>
      </c>
      <c r="C334" s="93">
        <f t="shared" si="22"/>
        <v>-224081.26055347093</v>
      </c>
      <c r="D334" s="93">
        <f t="shared" si="20"/>
        <v>-50357.170553470933</v>
      </c>
      <c r="E334" s="52"/>
      <c r="F334" s="52"/>
      <c r="G334" s="52"/>
    </row>
    <row r="335" spans="1:7" x14ac:dyDescent="0.25">
      <c r="A335" s="14" t="str">
        <f t="shared" si="18"/>
        <v>Cuentas por pagar Accionistas</v>
      </c>
      <c r="B335" s="93">
        <f t="shared" si="21"/>
        <v>-117846.18</v>
      </c>
      <c r="C335" s="93">
        <f t="shared" si="22"/>
        <v>-152006.09521575985</v>
      </c>
      <c r="D335" s="93">
        <f t="shared" si="20"/>
        <v>-34159.915215759858</v>
      </c>
      <c r="E335" s="52"/>
      <c r="F335" s="52"/>
      <c r="G335" s="52"/>
    </row>
    <row r="336" spans="1:7" x14ac:dyDescent="0.25">
      <c r="A336" s="14" t="str">
        <f t="shared" si="18"/>
        <v>Retenciones por pagar</v>
      </c>
      <c r="B336" s="93">
        <f t="shared" si="21"/>
        <v>-98095.17</v>
      </c>
      <c r="C336" s="93">
        <f t="shared" si="22"/>
        <v>-126529.88625703566</v>
      </c>
      <c r="D336" s="93">
        <f t="shared" si="20"/>
        <v>-28434.71625703566</v>
      </c>
      <c r="E336" s="52"/>
      <c r="F336" s="52"/>
      <c r="G336" s="52"/>
    </row>
    <row r="337" spans="1:7" x14ac:dyDescent="0.25">
      <c r="A337" s="14" t="str">
        <f t="shared" si="18"/>
        <v>Prestaciones Sociales por Pagar</v>
      </c>
      <c r="B337" s="93">
        <f t="shared" si="21"/>
        <v>-154229.99</v>
      </c>
      <c r="C337" s="93">
        <f t="shared" si="22"/>
        <v>-198936.43175422138</v>
      </c>
      <c r="D337" s="93">
        <f t="shared" si="20"/>
        <v>-44706.441754221392</v>
      </c>
      <c r="E337" s="52"/>
      <c r="F337" s="93"/>
      <c r="G337" s="52"/>
    </row>
    <row r="338" spans="1:7" x14ac:dyDescent="0.25">
      <c r="A338" s="14" t="str">
        <f t="shared" si="18"/>
        <v>Anticipo sobre Ventas</v>
      </c>
      <c r="B338" s="93">
        <f t="shared" si="21"/>
        <v>-18736541.349999998</v>
      </c>
      <c r="C338" s="93">
        <f t="shared" si="22"/>
        <v>-24167677.63250469</v>
      </c>
      <c r="D338" s="93">
        <f t="shared" si="20"/>
        <v>-5431136.2825046927</v>
      </c>
      <c r="E338" s="52"/>
      <c r="F338" s="52"/>
      <c r="G338" s="52"/>
    </row>
    <row r="339" spans="1:7" x14ac:dyDescent="0.25">
      <c r="A339" s="14" t="str">
        <f>A25</f>
        <v>Inventario de Materias Primas</v>
      </c>
      <c r="B339" s="93">
        <f>F30</f>
        <v>0</v>
      </c>
      <c r="C339" s="93">
        <f>G30</f>
        <v>0</v>
      </c>
      <c r="D339" s="93">
        <f t="shared" si="20"/>
        <v>0</v>
      </c>
      <c r="E339" s="52"/>
      <c r="F339" s="52"/>
      <c r="G339" s="52"/>
    </row>
    <row r="340" spans="1:7" x14ac:dyDescent="0.25">
      <c r="A340" s="14" t="str">
        <f>A33</f>
        <v>Inventario de Obras en Proceso</v>
      </c>
      <c r="B340" s="93">
        <f>F38</f>
        <v>7072643.8099999996</v>
      </c>
      <c r="C340" s="93">
        <f>G38</f>
        <v>10008887.419271838</v>
      </c>
      <c r="D340" s="93">
        <f t="shared" si="20"/>
        <v>2936243.6092718383</v>
      </c>
      <c r="E340" s="52"/>
      <c r="F340" s="52"/>
      <c r="G340" s="52"/>
    </row>
    <row r="341" spans="1:7" x14ac:dyDescent="0.25">
      <c r="A341" s="14" t="str">
        <f>A41</f>
        <v>Inversiones en Acciones y Bonos</v>
      </c>
      <c r="B341" s="93">
        <f>F45</f>
        <v>245076.35</v>
      </c>
      <c r="C341" s="93">
        <f>G45</f>
        <v>510962.82221379835</v>
      </c>
      <c r="D341" s="93">
        <f t="shared" si="20"/>
        <v>265886.47221379832</v>
      </c>
      <c r="E341" s="52"/>
      <c r="F341" s="52"/>
      <c r="G341" s="52"/>
    </row>
    <row r="342" spans="1:7" x14ac:dyDescent="0.25">
      <c r="A342" s="52" t="str">
        <f>A48</f>
        <v>Terrenos</v>
      </c>
      <c r="B342" s="93">
        <f>F55</f>
        <v>80000</v>
      </c>
      <c r="C342" s="93">
        <f>G55</f>
        <v>189165.95012897681</v>
      </c>
      <c r="D342" s="93">
        <f t="shared" si="20"/>
        <v>109165.95012897681</v>
      </c>
      <c r="E342" s="52"/>
      <c r="F342" s="52"/>
      <c r="G342" s="52"/>
    </row>
    <row r="343" spans="1:7" x14ac:dyDescent="0.25">
      <c r="A343" s="52" t="str">
        <f>A58</f>
        <v>Inmuebles</v>
      </c>
      <c r="B343" s="93">
        <f>F63</f>
        <v>250000</v>
      </c>
      <c r="C343" s="93">
        <f>G63</f>
        <v>535019.4552529183</v>
      </c>
      <c r="D343" s="93">
        <f t="shared" si="20"/>
        <v>285019.4552529183</v>
      </c>
      <c r="E343" s="52"/>
      <c r="F343" s="52"/>
      <c r="G343" s="52"/>
    </row>
    <row r="344" spans="1:7" x14ac:dyDescent="0.25">
      <c r="A344" s="52" t="str">
        <f>A66</f>
        <v>Equipos de Computacion</v>
      </c>
      <c r="B344" s="93">
        <f>F82</f>
        <v>35242.160000000003</v>
      </c>
      <c r="C344" s="93">
        <f>G82</f>
        <v>87214.761702616408</v>
      </c>
      <c r="D344" s="93">
        <f t="shared" si="20"/>
        <v>51972.601702616405</v>
      </c>
      <c r="E344" s="52"/>
      <c r="F344" s="52"/>
      <c r="G344" s="52"/>
    </row>
    <row r="345" spans="1:7" x14ac:dyDescent="0.25">
      <c r="A345" s="52" t="str">
        <f>A85</f>
        <v>Muebles y Enseres</v>
      </c>
      <c r="B345" s="93">
        <f>F103</f>
        <v>115962.93999999997</v>
      </c>
      <c r="C345" s="93">
        <f>G103</f>
        <v>376140.6517855227</v>
      </c>
      <c r="D345" s="93">
        <f t="shared" si="20"/>
        <v>260177.71178552273</v>
      </c>
      <c r="E345" s="52"/>
      <c r="F345" s="52"/>
      <c r="G345" s="52"/>
    </row>
    <row r="346" spans="1:7" x14ac:dyDescent="0.25">
      <c r="A346" s="52" t="str">
        <f>A106</f>
        <v>Vehiculos</v>
      </c>
      <c r="B346" s="93">
        <f>F128</f>
        <v>1757868.07</v>
      </c>
      <c r="C346" s="93">
        <f>G128</f>
        <v>3501612.8247582689</v>
      </c>
      <c r="D346" s="93">
        <f t="shared" si="20"/>
        <v>1743744.7547582688</v>
      </c>
      <c r="E346" s="52"/>
      <c r="F346" s="99"/>
      <c r="G346" s="9"/>
    </row>
    <row r="347" spans="1:7" x14ac:dyDescent="0.25">
      <c r="A347" s="93" t="str">
        <f>A131</f>
        <v>Maquinarias y Equipos</v>
      </c>
      <c r="B347" s="93">
        <f>F188</f>
        <v>1209078.9400000002</v>
      </c>
      <c r="C347" s="93">
        <f>G188</f>
        <v>3276145.5637319819</v>
      </c>
      <c r="D347" s="93">
        <f t="shared" si="20"/>
        <v>2067066.6237319817</v>
      </c>
      <c r="E347" s="52"/>
      <c r="F347" s="99"/>
      <c r="G347" s="9"/>
    </row>
    <row r="348" spans="1:7" x14ac:dyDescent="0.25">
      <c r="A348" s="52" t="str">
        <f>A191</f>
        <v>Deprec. Acumulada Maquinarias</v>
      </c>
      <c r="B348" s="93">
        <f>-F248</f>
        <v>-689407.43387320091</v>
      </c>
      <c r="C348" s="93">
        <f>-G248</f>
        <v>-2076158.0013774547</v>
      </c>
      <c r="D348" s="93">
        <f t="shared" si="20"/>
        <v>-1386750.5675042537</v>
      </c>
      <c r="E348" s="52"/>
      <c r="F348" s="99"/>
      <c r="G348" s="9"/>
    </row>
    <row r="349" spans="1:7" x14ac:dyDescent="0.25">
      <c r="A349" s="52" t="str">
        <f>A251</f>
        <v>Deprec. Acumulada Equipos de Computacion</v>
      </c>
      <c r="B349" s="93">
        <f>-F267</f>
        <v>-30176.575184801386</v>
      </c>
      <c r="C349" s="93">
        <f>-G267</f>
        <v>-74678.792460991564</v>
      </c>
      <c r="D349" s="93">
        <f t="shared" si="20"/>
        <v>-44502.217276190175</v>
      </c>
      <c r="E349" s="52"/>
      <c r="F349" s="99"/>
      <c r="G349" s="9"/>
    </row>
    <row r="350" spans="1:7" x14ac:dyDescent="0.25">
      <c r="A350" s="52" t="str">
        <f>A270</f>
        <v>Deprec. Acumulada Muebles y Enseres</v>
      </c>
      <c r="B350" s="93">
        <f>-F288</f>
        <v>-111912.71000000002</v>
      </c>
      <c r="C350" s="93">
        <f>-G288</f>
        <v>-363003.19952890009</v>
      </c>
      <c r="D350" s="93">
        <f t="shared" si="20"/>
        <v>-251090.48952890007</v>
      </c>
      <c r="E350" s="52"/>
      <c r="F350" s="99"/>
      <c r="G350" s="9"/>
    </row>
    <row r="351" spans="1:7" x14ac:dyDescent="0.25">
      <c r="A351" s="52" t="str">
        <f>A291</f>
        <v>Deprec. Acumulada Vehiculos</v>
      </c>
      <c r="B351" s="93">
        <f>-F313</f>
        <v>-453910.47999999992</v>
      </c>
      <c r="C351" s="93">
        <f>-G313</f>
        <v>-1006990.3580759699</v>
      </c>
      <c r="D351" s="93">
        <f t="shared" si="20"/>
        <v>-553079.87807596987</v>
      </c>
      <c r="E351" s="52"/>
      <c r="F351" s="99"/>
      <c r="G351" s="9"/>
    </row>
    <row r="352" spans="1:7" x14ac:dyDescent="0.25">
      <c r="A352" s="93" t="str">
        <f>A316</f>
        <v>Capital Social</v>
      </c>
      <c r="B352" s="93">
        <f>-F321</f>
        <v>-1000000</v>
      </c>
      <c r="C352" s="93">
        <f>-G321</f>
        <v>-2399128.1839084867</v>
      </c>
      <c r="D352" s="93">
        <f t="shared" si="20"/>
        <v>-1399128.1839084867</v>
      </c>
      <c r="E352" s="52"/>
      <c r="F352" s="99"/>
      <c r="G352" s="9"/>
    </row>
    <row r="353" spans="1:7" x14ac:dyDescent="0.25">
      <c r="A353" s="93" t="str">
        <f>A365</f>
        <v>Perdida Neta del Ejercicio</v>
      </c>
      <c r="B353" s="93">
        <f>F369</f>
        <v>3265259.86</v>
      </c>
      <c r="C353" s="93">
        <f>G369</f>
        <v>4620848.8948925771</v>
      </c>
      <c r="D353" s="93">
        <f>C353-B353</f>
        <v>1355589.0348925772</v>
      </c>
      <c r="E353" s="52"/>
      <c r="F353" s="99"/>
      <c r="G353" s="9"/>
    </row>
    <row r="354" spans="1:7" ht="15.75" thickBot="1" x14ac:dyDescent="0.3">
      <c r="A354" s="52" t="str">
        <f>A372</f>
        <v>Reserva Legal</v>
      </c>
      <c r="B354" s="100">
        <f>-F377</f>
        <v>-40808.649999999994</v>
      </c>
      <c r="C354" s="100">
        <f>-G377</f>
        <v>-74534.284370157169</v>
      </c>
      <c r="D354" s="93">
        <f t="shared" si="20"/>
        <v>-33725.634370157175</v>
      </c>
      <c r="E354" s="52"/>
      <c r="F354" s="52"/>
      <c r="G354" s="52"/>
    </row>
    <row r="355" spans="1:7" x14ac:dyDescent="0.25">
      <c r="A355" s="78" t="s">
        <v>48</v>
      </c>
      <c r="B355" s="101">
        <f>SUM(B328:B354)</f>
        <v>616099.7809419994</v>
      </c>
      <c r="C355" s="102">
        <f>SUM(C328:C354)</f>
        <v>2808388.556380515</v>
      </c>
      <c r="D355" s="102">
        <f t="shared" si="20"/>
        <v>2192288.7754385155</v>
      </c>
      <c r="E355" s="52"/>
      <c r="F355" s="52"/>
      <c r="G355" s="52"/>
    </row>
    <row r="356" spans="1:7" x14ac:dyDescent="0.25">
      <c r="A356" s="52"/>
      <c r="B356" s="93"/>
      <c r="C356" s="52"/>
      <c r="D356" s="52"/>
      <c r="E356" s="52"/>
      <c r="F356" s="52"/>
      <c r="G356" s="52"/>
    </row>
    <row r="357" spans="1:7" x14ac:dyDescent="0.25">
      <c r="A357" s="49" t="s">
        <v>149</v>
      </c>
      <c r="B357" s="93"/>
      <c r="C357" s="52"/>
      <c r="D357" s="99"/>
      <c r="E357" s="99"/>
      <c r="F357" s="9"/>
      <c r="G357" s="52"/>
    </row>
    <row r="358" spans="1:7" x14ac:dyDescent="0.25">
      <c r="A358" s="52" t="s">
        <v>150</v>
      </c>
      <c r="B358" s="93">
        <f>SUM(C328:C332)+SUM(C339:C351)</f>
        <v>26712920.640554573</v>
      </c>
      <c r="C358" s="52"/>
      <c r="D358" s="9"/>
      <c r="E358" s="9"/>
      <c r="F358" s="99"/>
      <c r="G358" s="52"/>
    </row>
    <row r="359" spans="1:7" x14ac:dyDescent="0.25">
      <c r="A359" s="52" t="s">
        <v>151</v>
      </c>
      <c r="B359" s="93">
        <f>SUM(C333:C338)</f>
        <v>-26051718.510787994</v>
      </c>
      <c r="C359" s="52"/>
      <c r="D359" s="9"/>
      <c r="E359" s="9"/>
      <c r="F359" s="99"/>
      <c r="G359" s="52"/>
    </row>
    <row r="360" spans="1:7" ht="15.75" thickBot="1" x14ac:dyDescent="0.3">
      <c r="A360" s="52" t="s">
        <v>152</v>
      </c>
      <c r="B360" s="94">
        <f>SUM(C352:C354)</f>
        <v>2147186.4266139334</v>
      </c>
      <c r="C360" s="52"/>
      <c r="D360" s="177"/>
      <c r="E360" s="177"/>
      <c r="F360" s="9"/>
      <c r="G360" s="52"/>
    </row>
    <row r="361" spans="1:7" ht="30.75" thickTop="1" x14ac:dyDescent="0.25">
      <c r="A361" s="103" t="s">
        <v>153</v>
      </c>
      <c r="B361" s="84">
        <f>SUM(B358:B360)</f>
        <v>2808388.5563805131</v>
      </c>
      <c r="C361" s="52"/>
      <c r="D361" s="104"/>
      <c r="E361" s="104"/>
      <c r="F361" s="105"/>
      <c r="G361" s="52"/>
    </row>
    <row r="362" spans="1:7" x14ac:dyDescent="0.25">
      <c r="A362" s="103"/>
      <c r="B362" s="84"/>
      <c r="C362" s="52"/>
      <c r="D362" s="106"/>
      <c r="E362" s="106"/>
      <c r="F362" s="105"/>
      <c r="G362" s="52"/>
    </row>
    <row r="363" spans="1:7" x14ac:dyDescent="0.25">
      <c r="A363" s="103"/>
      <c r="B363" s="84"/>
      <c r="C363" s="52"/>
      <c r="D363" s="106"/>
      <c r="E363" s="106"/>
      <c r="F363" s="105"/>
      <c r="G363" s="52"/>
    </row>
    <row r="364" spans="1:7" ht="15.75" x14ac:dyDescent="0.25">
      <c r="A364" s="90"/>
      <c r="B364" s="52"/>
      <c r="C364" s="52"/>
      <c r="D364" s="52"/>
      <c r="E364" s="52"/>
      <c r="F364" s="52"/>
      <c r="G364" s="52"/>
    </row>
    <row r="365" spans="1:7" ht="15.75" x14ac:dyDescent="0.25">
      <c r="A365" s="178" t="s">
        <v>148</v>
      </c>
      <c r="B365" s="178"/>
      <c r="C365" s="178"/>
      <c r="D365" s="178"/>
      <c r="E365" s="178"/>
      <c r="F365" s="178"/>
      <c r="G365" s="178"/>
    </row>
    <row r="366" spans="1:7" x14ac:dyDescent="0.25">
      <c r="A366" s="52"/>
      <c r="B366" s="52"/>
      <c r="C366" s="52"/>
      <c r="D366" s="52"/>
      <c r="E366" s="52"/>
      <c r="F366" s="52"/>
      <c r="G366" s="52"/>
    </row>
    <row r="367" spans="1:7" x14ac:dyDescent="0.25">
      <c r="A367" s="76" t="s">
        <v>118</v>
      </c>
      <c r="B367" s="76" t="s">
        <v>119</v>
      </c>
      <c r="C367" s="76" t="s">
        <v>120</v>
      </c>
      <c r="D367" s="76" t="s">
        <v>121</v>
      </c>
      <c r="E367" s="76" t="s">
        <v>122</v>
      </c>
      <c r="F367" s="76" t="s">
        <v>123</v>
      </c>
      <c r="G367" s="76" t="s">
        <v>124</v>
      </c>
    </row>
    <row r="368" spans="1:7" ht="15.75" thickBot="1" x14ac:dyDescent="0.3">
      <c r="A368" s="97" t="s">
        <v>154</v>
      </c>
      <c r="B368" s="98" t="s">
        <v>144</v>
      </c>
      <c r="C368" s="92">
        <v>275</v>
      </c>
      <c r="D368" s="92">
        <v>194.32499999999999</v>
      </c>
      <c r="E368" s="92">
        <f>C368/D368</f>
        <v>1.4151550238003345</v>
      </c>
      <c r="F368" s="94">
        <f>'BG Hist Dic10'!C46*-1</f>
        <v>3265259.86</v>
      </c>
      <c r="G368" s="94">
        <f>F368*E368</f>
        <v>4620848.8948925771</v>
      </c>
    </row>
    <row r="369" spans="1:7" ht="15.75" thickTop="1" x14ac:dyDescent="0.25">
      <c r="A369" s="179" t="s">
        <v>133</v>
      </c>
      <c r="B369" s="179"/>
      <c r="C369" s="179"/>
      <c r="D369" s="179"/>
      <c r="E369" s="179"/>
      <c r="F369" s="95">
        <f>SUM(F368)</f>
        <v>3265259.86</v>
      </c>
      <c r="G369" s="95">
        <f>SUM(G368)</f>
        <v>4620848.8948925771</v>
      </c>
    </row>
    <row r="370" spans="1:7" x14ac:dyDescent="0.25">
      <c r="A370" s="76"/>
      <c r="B370" s="76"/>
      <c r="C370" s="76"/>
      <c r="D370" s="76"/>
      <c r="E370" s="76"/>
      <c r="F370" s="95"/>
      <c r="G370" s="95"/>
    </row>
    <row r="371" spans="1:7" ht="15.75" x14ac:dyDescent="0.25">
      <c r="A371" s="90"/>
      <c r="B371" s="52"/>
      <c r="C371" s="52"/>
      <c r="D371" s="52"/>
      <c r="E371" s="52"/>
      <c r="F371" s="52"/>
      <c r="G371" s="52"/>
    </row>
    <row r="372" spans="1:7" ht="15.75" x14ac:dyDescent="0.25">
      <c r="A372" s="178" t="s">
        <v>33</v>
      </c>
      <c r="B372" s="178"/>
      <c r="C372" s="178"/>
      <c r="D372" s="178"/>
      <c r="E372" s="178"/>
      <c r="F372" s="178"/>
      <c r="G372" s="178"/>
    </row>
    <row r="373" spans="1:7" x14ac:dyDescent="0.25">
      <c r="A373" s="52"/>
      <c r="B373" s="52"/>
      <c r="C373" s="52"/>
      <c r="D373" s="52"/>
      <c r="E373" s="52"/>
      <c r="F373" s="52"/>
      <c r="G373" s="52"/>
    </row>
    <row r="374" spans="1:7" x14ac:dyDescent="0.25">
      <c r="A374" s="76" t="s">
        <v>118</v>
      </c>
      <c r="B374" s="76" t="s">
        <v>119</v>
      </c>
      <c r="C374" s="76" t="s">
        <v>120</v>
      </c>
      <c r="D374" s="76" t="s">
        <v>121</v>
      </c>
      <c r="E374" s="76" t="s">
        <v>122</v>
      </c>
      <c r="F374" s="76" t="s">
        <v>123</v>
      </c>
      <c r="G374" s="76" t="s">
        <v>124</v>
      </c>
    </row>
    <row r="375" spans="1:7" x14ac:dyDescent="0.25">
      <c r="A375" s="97" t="s">
        <v>157</v>
      </c>
      <c r="B375" s="98" t="s">
        <v>142</v>
      </c>
      <c r="C375" s="92">
        <v>275</v>
      </c>
      <c r="D375" s="92">
        <v>150.56666666666669</v>
      </c>
      <c r="E375" s="92">
        <f>C375/D375</f>
        <v>1.8264334735443877</v>
      </c>
      <c r="F375" s="93">
        <f>'BG Hist Dic10'!C45</f>
        <v>40808.649999999994</v>
      </c>
      <c r="G375" s="93">
        <f>F375*E375</f>
        <v>74534.284370157169</v>
      </c>
    </row>
    <row r="376" spans="1:7" ht="15.75" thickBot="1" x14ac:dyDescent="0.3">
      <c r="A376" s="97" t="s">
        <v>158</v>
      </c>
      <c r="B376" s="98" t="s">
        <v>144</v>
      </c>
      <c r="C376" s="92">
        <v>275</v>
      </c>
      <c r="D376" s="92">
        <v>194.32499999999999</v>
      </c>
      <c r="E376" s="92">
        <f>C376/D376</f>
        <v>1.4151550238003345</v>
      </c>
      <c r="F376" s="94">
        <v>0</v>
      </c>
      <c r="G376" s="94">
        <f>F376*E376</f>
        <v>0</v>
      </c>
    </row>
    <row r="377" spans="1:7" ht="15.75" thickTop="1" x14ac:dyDescent="0.25">
      <c r="A377" s="179" t="s">
        <v>133</v>
      </c>
      <c r="B377" s="179"/>
      <c r="C377" s="179"/>
      <c r="D377" s="179"/>
      <c r="E377" s="179"/>
      <c r="F377" s="95">
        <f>SUM(F375:F376)</f>
        <v>40808.649999999994</v>
      </c>
      <c r="G377" s="95">
        <f>SUM(G375:G376)</f>
        <v>74534.284370157169</v>
      </c>
    </row>
  </sheetData>
  <mergeCells count="39">
    <mergeCell ref="A25:G25"/>
    <mergeCell ref="A30:E30"/>
    <mergeCell ref="A48:G48"/>
    <mergeCell ref="A33:G33"/>
    <mergeCell ref="A38:E38"/>
    <mergeCell ref="A41:G41"/>
    <mergeCell ref="A45:E45"/>
    <mergeCell ref="A2:G2"/>
    <mergeCell ref="A3:G3"/>
    <mergeCell ref="A17:E17"/>
    <mergeCell ref="A21:G21"/>
    <mergeCell ref="A22:G22"/>
    <mergeCell ref="A82:E82"/>
    <mergeCell ref="A85:G85"/>
    <mergeCell ref="A103:E103"/>
    <mergeCell ref="A55:E55"/>
    <mergeCell ref="A106:G106"/>
    <mergeCell ref="A58:G58"/>
    <mergeCell ref="A63:E63"/>
    <mergeCell ref="A66:G66"/>
    <mergeCell ref="A325:E325"/>
    <mergeCell ref="A251:G251"/>
    <mergeCell ref="A270:G270"/>
    <mergeCell ref="A128:E128"/>
    <mergeCell ref="A191:G191"/>
    <mergeCell ref="A248:E248"/>
    <mergeCell ref="A267:E267"/>
    <mergeCell ref="A288:E288"/>
    <mergeCell ref="A131:G131"/>
    <mergeCell ref="A188:E188"/>
    <mergeCell ref="A321:E321"/>
    <mergeCell ref="A316:G316"/>
    <mergeCell ref="A291:G291"/>
    <mergeCell ref="A313:E313"/>
    <mergeCell ref="D360:E360"/>
    <mergeCell ref="A365:G365"/>
    <mergeCell ref="A369:E369"/>
    <mergeCell ref="A372:G372"/>
    <mergeCell ref="A377:E37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sqref="A1:D1"/>
    </sheetView>
  </sheetViews>
  <sheetFormatPr baseColWidth="10" defaultRowHeight="15" x14ac:dyDescent="0.25"/>
  <cols>
    <col min="1" max="1" width="40.7109375" customWidth="1"/>
    <col min="2" max="2" width="11.85546875" customWidth="1"/>
    <col min="3" max="3" width="17.85546875" customWidth="1"/>
    <col min="4" max="4" width="17.7109375" customWidth="1"/>
  </cols>
  <sheetData>
    <row r="1" spans="1:4" ht="15.75" x14ac:dyDescent="0.25">
      <c r="A1" s="185" t="s">
        <v>304</v>
      </c>
      <c r="B1" s="185"/>
      <c r="C1" s="185"/>
      <c r="D1" s="185"/>
    </row>
    <row r="2" spans="1:4" x14ac:dyDescent="0.25">
      <c r="A2" s="186" t="s">
        <v>17</v>
      </c>
      <c r="B2" s="186"/>
      <c r="C2" s="186"/>
      <c r="D2" s="186"/>
    </row>
    <row r="3" spans="1:4" x14ac:dyDescent="0.25">
      <c r="A3" s="186" t="s">
        <v>37</v>
      </c>
      <c r="B3" s="186"/>
      <c r="C3" s="186"/>
      <c r="D3" s="186"/>
    </row>
    <row r="4" spans="1:4" x14ac:dyDescent="0.25">
      <c r="A4" s="179" t="s">
        <v>239</v>
      </c>
      <c r="B4" s="179"/>
      <c r="C4" s="179"/>
      <c r="D4" s="179"/>
    </row>
    <row r="5" spans="1:4" x14ac:dyDescent="0.25">
      <c r="A5" s="110"/>
      <c r="B5" s="110"/>
      <c r="C5" s="110"/>
      <c r="D5" s="110"/>
    </row>
    <row r="6" spans="1:4" x14ac:dyDescent="0.25">
      <c r="A6" s="14"/>
      <c r="B6" s="15"/>
      <c r="C6" s="15"/>
      <c r="D6" s="15"/>
    </row>
    <row r="7" spans="1:4" x14ac:dyDescent="0.25">
      <c r="A7" s="16" t="s">
        <v>18</v>
      </c>
      <c r="B7" s="15"/>
      <c r="C7" s="15"/>
      <c r="D7" s="15"/>
    </row>
    <row r="8" spans="1:4" x14ac:dyDescent="0.25">
      <c r="A8" s="16" t="s">
        <v>19</v>
      </c>
      <c r="B8" s="15"/>
      <c r="C8" s="15"/>
      <c r="D8" s="15"/>
    </row>
    <row r="9" spans="1:4" x14ac:dyDescent="0.25">
      <c r="A9" s="16" t="s">
        <v>20</v>
      </c>
      <c r="B9" s="15"/>
      <c r="C9" s="15"/>
      <c r="D9" s="15"/>
    </row>
    <row r="10" spans="1:4" x14ac:dyDescent="0.25">
      <c r="A10" s="14" t="s">
        <v>21</v>
      </c>
      <c r="B10" s="15"/>
      <c r="C10" s="25">
        <f>'Calculos 2010'!G6</f>
        <v>895194.52392120077</v>
      </c>
      <c r="D10" s="25"/>
    </row>
    <row r="11" spans="1:4" x14ac:dyDescent="0.25">
      <c r="A11" s="16" t="s">
        <v>38</v>
      </c>
      <c r="B11" s="15"/>
      <c r="C11" s="25"/>
      <c r="D11" s="25"/>
    </row>
    <row r="12" spans="1:4" x14ac:dyDescent="0.25">
      <c r="A12" s="14" t="s">
        <v>65</v>
      </c>
      <c r="B12" s="15"/>
      <c r="C12" s="25">
        <f>'Calculos 2010'!G7</f>
        <v>7418899.475844278</v>
      </c>
      <c r="D12" s="25"/>
    </row>
    <row r="13" spans="1:4" x14ac:dyDescent="0.25">
      <c r="A13" s="14" t="s">
        <v>103</v>
      </c>
      <c r="B13" s="15"/>
      <c r="C13" s="25">
        <f>'Calculos 2010'!G8</f>
        <v>791238.17776735465</v>
      </c>
      <c r="D13" s="25"/>
    </row>
    <row r="14" spans="1:4" x14ac:dyDescent="0.25">
      <c r="A14" s="14" t="s">
        <v>104</v>
      </c>
      <c r="B14" s="15"/>
      <c r="C14" s="25">
        <f>'Calculos 2010'!G9</f>
        <v>1413161.2804878049</v>
      </c>
      <c r="D14" s="25"/>
    </row>
    <row r="15" spans="1:4" x14ac:dyDescent="0.25">
      <c r="A15" s="16" t="s">
        <v>22</v>
      </c>
      <c r="B15" s="15"/>
      <c r="C15" s="25"/>
      <c r="D15" s="25"/>
    </row>
    <row r="16" spans="1:4" x14ac:dyDescent="0.25">
      <c r="A16" s="14" t="s">
        <v>66</v>
      </c>
      <c r="B16" s="15"/>
      <c r="C16" s="25">
        <f>'Calculos 2010'!G38</f>
        <v>10008887.419271838</v>
      </c>
      <c r="D16" s="25"/>
    </row>
    <row r="17" spans="1:4" x14ac:dyDescent="0.25">
      <c r="A17" s="16" t="s">
        <v>23</v>
      </c>
      <c r="B17" s="15"/>
      <c r="C17" s="25"/>
      <c r="D17" s="25"/>
    </row>
    <row r="18" spans="1:4" x14ac:dyDescent="0.25">
      <c r="A18" s="14" t="s">
        <v>39</v>
      </c>
      <c r="B18" s="15"/>
      <c r="C18" s="26">
        <f>'Calculos 2010'!G10</f>
        <v>1230108.085131332</v>
      </c>
      <c r="D18" s="25"/>
    </row>
    <row r="19" spans="1:4" x14ac:dyDescent="0.25">
      <c r="A19" s="14" t="s">
        <v>24</v>
      </c>
      <c r="B19" s="15"/>
      <c r="C19" s="25"/>
      <c r="D19" s="25">
        <f>SUM(C10:C18)</f>
        <v>21757488.962423809</v>
      </c>
    </row>
    <row r="20" spans="1:4" x14ac:dyDescent="0.25">
      <c r="A20" s="16" t="s">
        <v>102</v>
      </c>
      <c r="B20" s="15"/>
      <c r="C20" s="25"/>
      <c r="D20" s="25"/>
    </row>
    <row r="21" spans="1:4" x14ac:dyDescent="0.25">
      <c r="A21" s="14" t="s">
        <v>159</v>
      </c>
      <c r="B21" s="15"/>
      <c r="D21" s="25">
        <f>'Calculos 2010'!G45</f>
        <v>510962.82221379835</v>
      </c>
    </row>
    <row r="22" spans="1:4" x14ac:dyDescent="0.25">
      <c r="A22" s="16" t="s">
        <v>25</v>
      </c>
      <c r="B22" s="15"/>
      <c r="C22" s="25"/>
      <c r="D22" s="25"/>
    </row>
    <row r="23" spans="1:4" x14ac:dyDescent="0.25">
      <c r="A23" s="14" t="s">
        <v>49</v>
      </c>
      <c r="B23" s="15"/>
      <c r="C23" s="25">
        <f>'Calculos 2010'!G55</f>
        <v>189165.95012897681</v>
      </c>
      <c r="D23" s="25"/>
    </row>
    <row r="24" spans="1:4" x14ac:dyDescent="0.25">
      <c r="A24" s="14" t="s">
        <v>50</v>
      </c>
      <c r="B24" s="15"/>
      <c r="C24" s="25">
        <f>('Calculos 2010'!C343+'Calculos 2010'!C344+'Calculos 2010'!C345+'Calculos 2010'!C346+'Calculos 2010'!C347)</f>
        <v>7776133.2572313081</v>
      </c>
      <c r="D24" s="25"/>
    </row>
    <row r="25" spans="1:4" x14ac:dyDescent="0.25">
      <c r="A25" s="14" t="s">
        <v>51</v>
      </c>
      <c r="B25" s="15"/>
      <c r="C25" s="26">
        <f>'Calculos 2010'!C348+'Calculos 2010'!C349+'Calculos 2010'!C350+'Calculos 2010'!C351</f>
        <v>-3520830.3514433163</v>
      </c>
      <c r="D25" s="25"/>
    </row>
    <row r="26" spans="1:4" x14ac:dyDescent="0.25">
      <c r="A26" s="14" t="s">
        <v>26</v>
      </c>
      <c r="B26" s="15"/>
      <c r="C26" s="25"/>
      <c r="D26" s="25">
        <f>SUM(C23:C25)</f>
        <v>4444468.8559169695</v>
      </c>
    </row>
    <row r="27" spans="1:4" ht="15.75" thickBot="1" x14ac:dyDescent="0.3">
      <c r="A27" s="17" t="s">
        <v>27</v>
      </c>
      <c r="B27" s="15"/>
      <c r="C27" s="25"/>
      <c r="D27" s="27">
        <f>D19+D21+D26</f>
        <v>26712920.640554577</v>
      </c>
    </row>
    <row r="28" spans="1:4" ht="15.75" thickTop="1" x14ac:dyDescent="0.25">
      <c r="A28" s="14"/>
      <c r="B28" s="15"/>
      <c r="C28" s="25"/>
      <c r="D28" s="25"/>
    </row>
    <row r="29" spans="1:4" x14ac:dyDescent="0.25">
      <c r="A29" s="16" t="s">
        <v>28</v>
      </c>
      <c r="B29" s="15"/>
      <c r="C29" s="25"/>
      <c r="D29" s="25"/>
    </row>
    <row r="30" spans="1:4" x14ac:dyDescent="0.25">
      <c r="A30" s="16" t="s">
        <v>19</v>
      </c>
      <c r="B30" s="15"/>
      <c r="C30" s="25"/>
      <c r="D30" s="25"/>
    </row>
    <row r="31" spans="1:4" x14ac:dyDescent="0.25">
      <c r="A31" s="18" t="s">
        <v>41</v>
      </c>
      <c r="B31" s="15"/>
      <c r="C31" s="25">
        <f>'Calculos 2010'!G11</f>
        <v>1182487.2045028142</v>
      </c>
      <c r="D31" s="25"/>
    </row>
    <row r="32" spans="1:4" x14ac:dyDescent="0.25">
      <c r="A32" s="18" t="s">
        <v>105</v>
      </c>
      <c r="B32" s="15"/>
      <c r="C32" s="25">
        <f>'Calculos 2010'!G12</f>
        <v>224081.26055347093</v>
      </c>
      <c r="D32" s="25"/>
    </row>
    <row r="33" spans="1:4" x14ac:dyDescent="0.25">
      <c r="A33" s="18" t="s">
        <v>40</v>
      </c>
      <c r="B33" s="19"/>
      <c r="C33" s="25">
        <f>'Calculos 2010'!G13</f>
        <v>152006.09521575985</v>
      </c>
      <c r="D33" s="25"/>
    </row>
    <row r="34" spans="1:4" x14ac:dyDescent="0.25">
      <c r="A34" s="18" t="s">
        <v>42</v>
      </c>
      <c r="B34" s="19"/>
      <c r="C34" s="26">
        <f>'Calculos 2010'!G14</f>
        <v>126529.88625703566</v>
      </c>
      <c r="D34" s="28"/>
    </row>
    <row r="35" spans="1:4" x14ac:dyDescent="0.25">
      <c r="A35" s="18" t="s">
        <v>43</v>
      </c>
      <c r="B35" s="19"/>
      <c r="C35" s="28"/>
      <c r="D35" s="28">
        <f>SUM(C31:C34)</f>
        <v>1685104.4465290809</v>
      </c>
    </row>
    <row r="36" spans="1:4" x14ac:dyDescent="0.25">
      <c r="A36" s="16" t="s">
        <v>44</v>
      </c>
      <c r="B36" s="19"/>
      <c r="C36" s="28"/>
      <c r="D36" s="28"/>
    </row>
    <row r="37" spans="1:4" x14ac:dyDescent="0.25">
      <c r="A37" s="18" t="s">
        <v>46</v>
      </c>
      <c r="B37" s="19"/>
      <c r="C37" s="25">
        <f>'Calculos 2010'!G15</f>
        <v>198936.43175422138</v>
      </c>
      <c r="D37" s="25"/>
    </row>
    <row r="38" spans="1:4" x14ac:dyDescent="0.25">
      <c r="A38" s="18" t="s">
        <v>47</v>
      </c>
      <c r="B38" s="19"/>
      <c r="C38" s="26">
        <f>'Calculos 2010'!G16</f>
        <v>24167677.63250469</v>
      </c>
      <c r="D38" s="28"/>
    </row>
    <row r="39" spans="1:4" x14ac:dyDescent="0.25">
      <c r="A39" s="18" t="s">
        <v>45</v>
      </c>
      <c r="B39" s="19"/>
      <c r="C39" s="28"/>
      <c r="D39" s="26">
        <f>SUM(C37:C38)</f>
        <v>24366614.064258911</v>
      </c>
    </row>
    <row r="40" spans="1:4" ht="15.75" thickBot="1" x14ac:dyDescent="0.3">
      <c r="A40" s="17" t="s">
        <v>29</v>
      </c>
      <c r="B40" s="20"/>
      <c r="C40" s="29"/>
      <c r="D40" s="27">
        <f>D35+D39</f>
        <v>26051718.51078799</v>
      </c>
    </row>
    <row r="41" spans="1:4" ht="15.75" thickTop="1" x14ac:dyDescent="0.25">
      <c r="A41" s="14"/>
      <c r="B41" s="15"/>
      <c r="C41" s="25"/>
      <c r="D41" s="25"/>
    </row>
    <row r="42" spans="1:4" x14ac:dyDescent="0.25">
      <c r="A42" s="16" t="s">
        <v>30</v>
      </c>
      <c r="B42" s="15"/>
      <c r="C42" s="25"/>
      <c r="D42" s="25"/>
    </row>
    <row r="43" spans="1:4" x14ac:dyDescent="0.25">
      <c r="A43" s="14" t="s">
        <v>243</v>
      </c>
      <c r="B43" s="15"/>
      <c r="C43" s="25">
        <f>'Calculos 2010'!G321</f>
        <v>2399128.1839084867</v>
      </c>
      <c r="D43" s="25"/>
    </row>
    <row r="44" spans="1:4" x14ac:dyDescent="0.25">
      <c r="A44" s="119" t="s">
        <v>244</v>
      </c>
      <c r="B44" s="15"/>
      <c r="C44" s="25"/>
      <c r="D44" s="25"/>
    </row>
    <row r="45" spans="1:4" x14ac:dyDescent="0.25">
      <c r="A45" s="14" t="s">
        <v>241</v>
      </c>
      <c r="B45" s="15"/>
      <c r="C45" s="25">
        <f>'Calculos 2010'!C355</f>
        <v>2808388.556380515</v>
      </c>
      <c r="D45" s="25"/>
    </row>
    <row r="46" spans="1:4" x14ac:dyDescent="0.25">
      <c r="A46" s="14" t="s">
        <v>242</v>
      </c>
      <c r="B46" s="15"/>
      <c r="C46" s="25">
        <f>'Calculos 2010'!G377</f>
        <v>74534.284370157169</v>
      </c>
      <c r="D46" s="25"/>
    </row>
    <row r="47" spans="1:4" x14ac:dyDescent="0.25">
      <c r="A47" s="14" t="s">
        <v>240</v>
      </c>
      <c r="B47" s="15"/>
      <c r="C47" s="26">
        <f>-'Calculos 2010'!G369</f>
        <v>-4620848.8948925771</v>
      </c>
      <c r="D47" s="25"/>
    </row>
    <row r="48" spans="1:4" x14ac:dyDescent="0.25">
      <c r="A48" s="17" t="s">
        <v>34</v>
      </c>
      <c r="B48" s="20"/>
      <c r="C48" s="30"/>
      <c r="D48" s="31">
        <f>SUM(C43:C47)</f>
        <v>661202.12976658158</v>
      </c>
    </row>
    <row r="49" spans="1:4" ht="15.75" thickBot="1" x14ac:dyDescent="0.3">
      <c r="A49" s="17" t="s">
        <v>35</v>
      </c>
      <c r="B49" s="15"/>
      <c r="C49" s="25"/>
      <c r="D49" s="27">
        <f>SUM(D40+D48)</f>
        <v>26712920.64055457</v>
      </c>
    </row>
    <row r="50" spans="1:4" ht="15.75" thickTop="1" x14ac:dyDescent="0.25">
      <c r="A50" s="14"/>
      <c r="B50" s="15"/>
      <c r="C50" s="15"/>
      <c r="D50" s="15"/>
    </row>
    <row r="51" spans="1:4" x14ac:dyDescent="0.25">
      <c r="A51" s="14"/>
      <c r="B51" s="15"/>
      <c r="C51" s="15"/>
      <c r="D51" s="15"/>
    </row>
    <row r="52" spans="1:4" x14ac:dyDescent="0.25">
      <c r="A52" s="111" t="s">
        <v>16</v>
      </c>
      <c r="B52" s="21"/>
      <c r="C52" s="21"/>
      <c r="D52" s="21"/>
    </row>
    <row r="53" spans="1:4" x14ac:dyDescent="0.25">
      <c r="A53" s="109" t="str">
        <f>A1</f>
        <v>EJEMPLO, S.A.</v>
      </c>
      <c r="B53" s="23"/>
      <c r="C53" s="23"/>
      <c r="D53" s="23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D1"/>
    </sheetView>
  </sheetViews>
  <sheetFormatPr baseColWidth="10" defaultRowHeight="15" x14ac:dyDescent="0.25"/>
  <cols>
    <col min="1" max="1" width="36.5703125" customWidth="1"/>
    <col min="2" max="4" width="16.7109375" customWidth="1"/>
    <col min="6" max="6" width="14.5703125" bestFit="1" customWidth="1"/>
  </cols>
  <sheetData>
    <row r="1" spans="1:4" ht="15.75" x14ac:dyDescent="0.25">
      <c r="A1" s="192" t="s">
        <v>304</v>
      </c>
      <c r="B1" s="192"/>
      <c r="C1" s="192"/>
      <c r="D1" s="192"/>
    </row>
    <row r="2" spans="1:4" x14ac:dyDescent="0.25">
      <c r="A2" s="190" t="s">
        <v>245</v>
      </c>
      <c r="B2" s="190"/>
      <c r="C2" s="190"/>
      <c r="D2" s="190"/>
    </row>
    <row r="3" spans="1:4" x14ac:dyDescent="0.25">
      <c r="A3" s="190" t="s">
        <v>246</v>
      </c>
      <c r="B3" s="190"/>
      <c r="C3" s="190"/>
      <c r="D3" s="190"/>
    </row>
    <row r="4" spans="1:4" x14ac:dyDescent="0.25">
      <c r="A4" s="179" t="s">
        <v>247</v>
      </c>
      <c r="B4" s="179"/>
      <c r="C4" s="179"/>
      <c r="D4" s="179"/>
    </row>
    <row r="5" spans="1:4" x14ac:dyDescent="0.25">
      <c r="A5" s="193"/>
      <c r="B5" s="193"/>
      <c r="C5" s="193"/>
      <c r="D5" s="193"/>
    </row>
    <row r="6" spans="1:4" ht="15.75" x14ac:dyDescent="0.25">
      <c r="A6" s="120"/>
      <c r="B6" s="121"/>
      <c r="C6" s="121"/>
      <c r="D6" s="121"/>
    </row>
    <row r="7" spans="1:4" x14ac:dyDescent="0.25">
      <c r="A7" s="119" t="s">
        <v>248</v>
      </c>
      <c r="B7" s="122"/>
      <c r="C7" s="122"/>
      <c r="D7" s="122"/>
    </row>
    <row r="8" spans="1:4" x14ac:dyDescent="0.25">
      <c r="A8" s="16" t="s">
        <v>249</v>
      </c>
      <c r="B8" s="109" t="s">
        <v>146</v>
      </c>
      <c r="C8" s="109" t="s">
        <v>124</v>
      </c>
      <c r="D8" s="109" t="s">
        <v>250</v>
      </c>
    </row>
    <row r="9" spans="1:4" x14ac:dyDescent="0.25">
      <c r="A9" s="14" t="str">
        <f>'Calculos 2010'!A6</f>
        <v>Caja y Banco</v>
      </c>
      <c r="B9" s="25">
        <f>'Calculos 2010'!F6</f>
        <v>694019.9</v>
      </c>
      <c r="C9" s="25">
        <f>'Calculos 2010'!G6</f>
        <v>895194.52392120077</v>
      </c>
      <c r="D9" s="123">
        <f>C9-B9</f>
        <v>201174.62392120075</v>
      </c>
    </row>
    <row r="10" spans="1:4" x14ac:dyDescent="0.25">
      <c r="A10" s="14" t="str">
        <f>'Calculos 2010'!A7</f>
        <v>Cuentas por cobrar clientes</v>
      </c>
      <c r="B10" s="25">
        <f>'Calculos 2010'!F7</f>
        <v>5751670.4299999997</v>
      </c>
      <c r="C10" s="25">
        <f>'Calculos 2010'!G7</f>
        <v>7418899.475844278</v>
      </c>
      <c r="D10" s="123">
        <f>C10-B10</f>
        <v>1667229.0458442783</v>
      </c>
    </row>
    <row r="11" spans="1:4" x14ac:dyDescent="0.25">
      <c r="A11" s="14" t="str">
        <f>'Calculos 2010'!A8</f>
        <v>Cuentas por cobrar relacionadas</v>
      </c>
      <c r="B11" s="25">
        <f>'Calculos 2010'!F8</f>
        <v>613425.38</v>
      </c>
      <c r="C11" s="25">
        <f>'Calculos 2010'!G8</f>
        <v>791238.17776735465</v>
      </c>
      <c r="D11" s="123">
        <f>C11-B11</f>
        <v>177812.79776735464</v>
      </c>
    </row>
    <row r="12" spans="1:4" x14ac:dyDescent="0.25">
      <c r="A12" s="14" t="str">
        <f>'Calculos 2010'!A9</f>
        <v>Anticipo a Proveedores de Bienes y Servicios</v>
      </c>
      <c r="B12" s="25">
        <f>'Calculos 2010'!F9</f>
        <v>1095585.3999999999</v>
      </c>
      <c r="C12" s="25">
        <f>'Calculos 2010'!G9</f>
        <v>1413161.2804878049</v>
      </c>
      <c r="D12" s="123">
        <f>C12-B12</f>
        <v>317575.880487805</v>
      </c>
    </row>
    <row r="13" spans="1:4" ht="15.75" thickBot="1" x14ac:dyDescent="0.3">
      <c r="A13" s="14" t="str">
        <f>'Calculos 2010'!A10</f>
        <v>Impuesto pagado por Anticipado</v>
      </c>
      <c r="B13" s="25">
        <f>'Calculos 2010'!F10</f>
        <v>953669.25</v>
      </c>
      <c r="C13" s="25">
        <f>'Calculos 2010'!G10</f>
        <v>1230108.085131332</v>
      </c>
      <c r="D13" s="123">
        <f>C13-B13</f>
        <v>276438.83513133205</v>
      </c>
    </row>
    <row r="14" spans="1:4" x14ac:dyDescent="0.25">
      <c r="A14" s="14"/>
      <c r="B14" s="124">
        <f>SUM(B9:B13)</f>
        <v>9108370.3599999994</v>
      </c>
      <c r="C14" s="124">
        <f>SUM(C9:C13)</f>
        <v>11748601.543151971</v>
      </c>
      <c r="D14" s="124">
        <f>SUM(D9:D13)</f>
        <v>2640231.1831519706</v>
      </c>
    </row>
    <row r="15" spans="1:4" x14ac:dyDescent="0.25">
      <c r="A15" s="16" t="s">
        <v>251</v>
      </c>
      <c r="B15" s="123"/>
      <c r="C15" s="123"/>
      <c r="D15" s="123"/>
    </row>
    <row r="16" spans="1:4" x14ac:dyDescent="0.25">
      <c r="A16" s="18" t="str">
        <f>'Calculos 2010'!A11</f>
        <v>Efectos por pagar</v>
      </c>
      <c r="B16" s="123">
        <f>'Calculos 2010'!F11</f>
        <v>916750.08</v>
      </c>
      <c r="C16" s="123">
        <f>'Calculos 2010'!G11</f>
        <v>1182487.2045028142</v>
      </c>
      <c r="D16" s="125">
        <f t="shared" ref="D16:D21" si="0">C16-B16</f>
        <v>265737.12450281426</v>
      </c>
    </row>
    <row r="17" spans="1:4" x14ac:dyDescent="0.25">
      <c r="A17" s="18" t="str">
        <f>'Calculos 2010'!A12</f>
        <v>Cuentas por pagar comerciales</v>
      </c>
      <c r="B17" s="123">
        <f>'Calculos 2010'!F12</f>
        <v>173724.09</v>
      </c>
      <c r="C17" s="123">
        <f>'Calculos 2010'!G12</f>
        <v>224081.26055347093</v>
      </c>
      <c r="D17" s="125">
        <f t="shared" si="0"/>
        <v>50357.170553470933</v>
      </c>
    </row>
    <row r="18" spans="1:4" x14ac:dyDescent="0.25">
      <c r="A18" s="18" t="str">
        <f>'Calculos 2010'!A13</f>
        <v>Cuentas por pagar Accionistas</v>
      </c>
      <c r="B18" s="123">
        <f>'Calculos 2010'!F13</f>
        <v>117846.18</v>
      </c>
      <c r="C18" s="123">
        <f>'Calculos 2010'!G13</f>
        <v>152006.09521575985</v>
      </c>
      <c r="D18" s="125">
        <f t="shared" si="0"/>
        <v>34159.915215759858</v>
      </c>
    </row>
    <row r="19" spans="1:4" x14ac:dyDescent="0.25">
      <c r="A19" s="18" t="str">
        <f>'Calculos 2010'!A14</f>
        <v>Retenciones por pagar</v>
      </c>
      <c r="B19" s="123">
        <f>'Calculos 2010'!F14</f>
        <v>98095.17</v>
      </c>
      <c r="C19" s="123">
        <f>'Calculos 2010'!G14</f>
        <v>126529.88625703566</v>
      </c>
      <c r="D19" s="125">
        <f t="shared" si="0"/>
        <v>28434.71625703566</v>
      </c>
    </row>
    <row r="20" spans="1:4" x14ac:dyDescent="0.25">
      <c r="A20" s="18" t="str">
        <f>'Calculos 2010'!A15</f>
        <v>Prestaciones Sociales por Pagar</v>
      </c>
      <c r="B20" s="123">
        <f>'Calculos 2010'!F15</f>
        <v>154229.99</v>
      </c>
      <c r="C20" s="123">
        <f>'Calculos 2010'!G15</f>
        <v>198936.43175422138</v>
      </c>
      <c r="D20" s="125">
        <f t="shared" si="0"/>
        <v>44706.441754221392</v>
      </c>
    </row>
    <row r="21" spans="1:4" ht="15.75" thickBot="1" x14ac:dyDescent="0.3">
      <c r="A21" s="18" t="str">
        <f>'Calculos 2010'!A16</f>
        <v>Anticipo sobre Ventas</v>
      </c>
      <c r="B21" s="130">
        <f>'Calculos 2010'!F16</f>
        <v>18736541.349999998</v>
      </c>
      <c r="C21" s="123">
        <f>'Calculos 2010'!G16</f>
        <v>24167677.63250469</v>
      </c>
      <c r="D21" s="126">
        <f t="shared" si="0"/>
        <v>5431136.2825046927</v>
      </c>
    </row>
    <row r="22" spans="1:4" x14ac:dyDescent="0.25">
      <c r="A22" s="14"/>
      <c r="B22" s="125">
        <f>SUM(B16:B21)</f>
        <v>20197186.859999999</v>
      </c>
      <c r="C22" s="124">
        <f>SUM(C16:C21)</f>
        <v>26051718.510787994</v>
      </c>
      <c r="D22" s="125">
        <f>SUM(D16:D21)</f>
        <v>5854531.6507879952</v>
      </c>
    </row>
    <row r="23" spans="1:4" x14ac:dyDescent="0.25">
      <c r="A23" s="17" t="s">
        <v>252</v>
      </c>
      <c r="B23" s="101">
        <f>B14-B22</f>
        <v>-11088816.5</v>
      </c>
      <c r="C23" s="101">
        <f>C14-C22</f>
        <v>-14303116.967636023</v>
      </c>
      <c r="D23" s="101">
        <f>D14-D22</f>
        <v>-3214300.4676360246</v>
      </c>
    </row>
    <row r="24" spans="1:4" x14ac:dyDescent="0.25">
      <c r="A24" s="14"/>
      <c r="B24" s="15"/>
      <c r="C24" s="15"/>
      <c r="D24" s="15"/>
    </row>
    <row r="25" spans="1:4" x14ac:dyDescent="0.25">
      <c r="A25" s="119" t="s">
        <v>253</v>
      </c>
      <c r="B25" s="15"/>
      <c r="C25" s="15"/>
      <c r="D25" s="15"/>
    </row>
    <row r="26" spans="1:4" x14ac:dyDescent="0.25">
      <c r="A26" s="16" t="s">
        <v>254</v>
      </c>
      <c r="B26" s="15"/>
      <c r="C26" s="15"/>
      <c r="D26" s="15"/>
    </row>
    <row r="27" spans="1:4" x14ac:dyDescent="0.25">
      <c r="A27" s="14" t="s">
        <v>272</v>
      </c>
      <c r="B27" s="15">
        <f>'BG Hist Dic10'!C16-'BG Hist Dic11'!C17</f>
        <v>6604185.1199999992</v>
      </c>
      <c r="C27" s="15">
        <f>'Calculos 2011'!G29*-1</f>
        <v>9345945.7506754138</v>
      </c>
      <c r="D27" s="125">
        <f>C27-B27</f>
        <v>2741760.6306754146</v>
      </c>
    </row>
    <row r="28" spans="1:4" x14ac:dyDescent="0.25">
      <c r="A28" s="14" t="str">
        <f>'ER Hist Dic11'!A8</f>
        <v>Ventas Brutas</v>
      </c>
      <c r="B28" s="15">
        <f>'ER Hist Dic11'!B8</f>
        <v>18811782.609999999</v>
      </c>
      <c r="C28" s="15">
        <f>'Calculos 2011'!G335</f>
        <v>20937228.537268125</v>
      </c>
      <c r="D28" s="125">
        <f>C28-B28</f>
        <v>2125445.9272681251</v>
      </c>
    </row>
    <row r="29" spans="1:4" x14ac:dyDescent="0.25">
      <c r="A29" s="14" t="str">
        <f>'ER Hist Dic11'!A9</f>
        <v>Ingresos No operacionales</v>
      </c>
      <c r="B29" s="15">
        <f>'ER Hist Dic11'!B9</f>
        <v>76789.69</v>
      </c>
      <c r="C29" s="15">
        <f>'Calculos 2011'!G336</f>
        <v>85465.759527824601</v>
      </c>
      <c r="D29" s="125">
        <f>C29-B29</f>
        <v>8676.0695278245985</v>
      </c>
    </row>
    <row r="30" spans="1:4" ht="15.75" thickBot="1" x14ac:dyDescent="0.3">
      <c r="A30" s="14" t="str">
        <f>'ER Hist Dic11'!A10</f>
        <v>Ingresos Extraordinarios</v>
      </c>
      <c r="B30" s="15">
        <f>'ER Hist Dic11'!B10</f>
        <v>546797.67000000004</v>
      </c>
      <c r="C30" s="15">
        <f>'Calculos 2011'!G337</f>
        <v>608577.50792580098</v>
      </c>
      <c r="D30" s="125">
        <f>C30-B30</f>
        <v>61779.837925800937</v>
      </c>
    </row>
    <row r="31" spans="1:4" x14ac:dyDescent="0.25">
      <c r="A31" s="14"/>
      <c r="B31" s="127">
        <f>SUM(B27:B30)</f>
        <v>26039555.09</v>
      </c>
      <c r="C31" s="127">
        <f>SUM(C27:C30)</f>
        <v>30977217.555397164</v>
      </c>
      <c r="D31" s="127">
        <f>SUM(D27:D30)</f>
        <v>4937662.4653971652</v>
      </c>
    </row>
    <row r="32" spans="1:4" x14ac:dyDescent="0.25">
      <c r="A32" s="16" t="s">
        <v>255</v>
      </c>
      <c r="B32" s="15"/>
      <c r="C32" s="15"/>
      <c r="D32" s="15"/>
    </row>
    <row r="33" spans="1:4" x14ac:dyDescent="0.25">
      <c r="A33" s="14" t="s">
        <v>260</v>
      </c>
      <c r="B33" s="15">
        <v>122057.37</v>
      </c>
      <c r="C33" s="15">
        <f>'Calculos 2011'!G318*-1</f>
        <v>151950.09846084198</v>
      </c>
      <c r="D33" s="15">
        <f>C33-B33</f>
        <v>29892.728460841987</v>
      </c>
    </row>
    <row r="34" spans="1:4" x14ac:dyDescent="0.25">
      <c r="A34" s="14" t="s">
        <v>259</v>
      </c>
      <c r="B34" s="15">
        <f>'BG Hist Dic11'!C16</f>
        <v>1404010.09</v>
      </c>
      <c r="C34" s="15">
        <f>'Calculos 2011'!G22</f>
        <v>2589475.5507560624</v>
      </c>
      <c r="D34" s="15">
        <f t="shared" ref="D34:D46" si="1">C34-B34</f>
        <v>1185465.4607560623</v>
      </c>
    </row>
    <row r="35" spans="1:4" x14ac:dyDescent="0.25">
      <c r="A35" s="14" t="s">
        <v>258</v>
      </c>
      <c r="B35" s="15">
        <f>'BG Hist Dic11'!C25-'BG Hist Dic10'!C24</f>
        <v>100972.93999999994</v>
      </c>
      <c r="C35" s="15">
        <f>('Calculos 2011'!G53+'Calculos 2011'!G72+'Calculos 2011'!G93+'Calculos 2011'!G118+'Calculos 2011'!G178)-('Calculos 2010'!G63+'Calculos 2010'!G82+'Calculos 2010'!G103+'Calculos 2010'!G128+'Calculos 2010'!G188)</f>
        <v>120050.47017271817</v>
      </c>
      <c r="D35" s="15">
        <f t="shared" si="1"/>
        <v>19077.530172718223</v>
      </c>
    </row>
    <row r="36" spans="1:4" x14ac:dyDescent="0.25">
      <c r="A36" s="14" t="str">
        <f>'ER Hist Dic11'!A14</f>
        <v>Costo de Construccion y Ventas</v>
      </c>
      <c r="B36" s="15">
        <f>'ER Hist Dic11'!B14</f>
        <v>14145884.439999999</v>
      </c>
      <c r="C36" s="15">
        <f>'Calculos 2011'!G338</f>
        <v>15744154.688701514</v>
      </c>
      <c r="D36" s="15">
        <f t="shared" si="1"/>
        <v>1598270.2487015147</v>
      </c>
    </row>
    <row r="37" spans="1:4" x14ac:dyDescent="0.25">
      <c r="A37" s="14" t="str">
        <f>'ER Hist Dic11'!A21</f>
        <v>Gastos de Personal</v>
      </c>
      <c r="B37" s="15">
        <f>'ER Hist Dic11'!B21</f>
        <v>684215.29</v>
      </c>
      <c r="C37" s="15">
        <f>'Calculos 2011'!G339</f>
        <v>761521.23338954453</v>
      </c>
      <c r="D37" s="15">
        <f t="shared" si="1"/>
        <v>77305.943389544496</v>
      </c>
    </row>
    <row r="38" spans="1:4" x14ac:dyDescent="0.25">
      <c r="A38" s="14" t="str">
        <f>'ER Hist Dic11'!A22</f>
        <v>Otros Gastos de Personal</v>
      </c>
      <c r="B38" s="15">
        <f>'ER Hist Dic11'!B22</f>
        <v>900387.65999999992</v>
      </c>
      <c r="C38" s="15">
        <f>'Calculos 2011'!G340</f>
        <v>1002117.8003372678</v>
      </c>
      <c r="D38" s="15">
        <f t="shared" si="1"/>
        <v>101730.14033726789</v>
      </c>
    </row>
    <row r="39" spans="1:4" x14ac:dyDescent="0.25">
      <c r="A39" s="14" t="str">
        <f>'ER Hist Dic11'!A23</f>
        <v>Gastos de Mantenimiento</v>
      </c>
      <c r="B39" s="15">
        <f>'ER Hist Dic11'!B23</f>
        <v>818558.95</v>
      </c>
      <c r="C39" s="15">
        <f>'Calculos 2011'!G341</f>
        <v>911043.6880269812</v>
      </c>
      <c r="D39" s="15">
        <f t="shared" si="1"/>
        <v>92484.738026981242</v>
      </c>
    </row>
    <row r="40" spans="1:4" x14ac:dyDescent="0.25">
      <c r="A40" s="14" t="str">
        <f>'ER Hist Dic11'!A25</f>
        <v xml:space="preserve">Impuestos </v>
      </c>
      <c r="B40" s="15">
        <f>'ER Hist Dic11'!B25</f>
        <v>737010.7</v>
      </c>
      <c r="C40" s="15">
        <f>'Calculos 2011'!G343</f>
        <v>820281.72344013466</v>
      </c>
      <c r="D40" s="15">
        <f t="shared" si="1"/>
        <v>83271.023440134712</v>
      </c>
    </row>
    <row r="41" spans="1:4" x14ac:dyDescent="0.25">
      <c r="A41" s="14" t="str">
        <f>'ER Hist Dic11'!A26</f>
        <v>Otros gastos</v>
      </c>
      <c r="B41" s="15">
        <f>'ER Hist Dic11'!B26</f>
        <v>133325.35</v>
      </c>
      <c r="C41" s="15">
        <f>'Calculos 2011'!G344</f>
        <v>148389.09106239458</v>
      </c>
      <c r="D41" s="15">
        <f t="shared" si="1"/>
        <v>15063.741062394576</v>
      </c>
    </row>
    <row r="42" spans="1:4" x14ac:dyDescent="0.25">
      <c r="A42" s="14" t="str">
        <f>'ER Hist Dic11'!A27</f>
        <v>Gastos de Servicios</v>
      </c>
      <c r="B42" s="15">
        <f>'ER Hist Dic11'!B27</f>
        <v>612701.23</v>
      </c>
      <c r="C42" s="15">
        <f>'Calculos 2011'!G345</f>
        <v>681927.16998313647</v>
      </c>
      <c r="D42" s="15">
        <f t="shared" si="1"/>
        <v>69225.939983136486</v>
      </c>
    </row>
    <row r="43" spans="1:4" x14ac:dyDescent="0.25">
      <c r="A43" s="14" t="str">
        <f>'ER Hist Dic11'!A28</f>
        <v>Gastos Generales de Viajes</v>
      </c>
      <c r="B43" s="15">
        <f>'ER Hist Dic11'!B28</f>
        <v>103037.76999999999</v>
      </c>
      <c r="C43" s="15">
        <f>'Calculos 2011'!G346</f>
        <v>114679.47419898816</v>
      </c>
      <c r="D43" s="15">
        <f t="shared" si="1"/>
        <v>11641.704198988169</v>
      </c>
    </row>
    <row r="44" spans="1:4" x14ac:dyDescent="0.25">
      <c r="A44" s="14" t="str">
        <f>'ER Hist Dic11'!A29</f>
        <v>Gastos de Asesorías</v>
      </c>
      <c r="B44" s="15">
        <f>'ER Hist Dic11'!B29</f>
        <v>171068.22</v>
      </c>
      <c r="C44" s="15">
        <f>'Calculos 2011'!G347</f>
        <v>190396.33254637432</v>
      </c>
      <c r="D44" s="15">
        <f t="shared" si="1"/>
        <v>19328.112546374323</v>
      </c>
    </row>
    <row r="45" spans="1:4" x14ac:dyDescent="0.25">
      <c r="A45" s="14" t="str">
        <f>'ER Hist Dic11'!A30</f>
        <v>Gastos Financieros</v>
      </c>
      <c r="B45" s="15">
        <f>'ER Hist Dic11'!B30</f>
        <v>157944.29</v>
      </c>
      <c r="C45" s="15">
        <f>'Calculos 2011'!G348</f>
        <v>175789.59763912307</v>
      </c>
      <c r="D45" s="15">
        <f t="shared" si="1"/>
        <v>17845.307639123057</v>
      </c>
    </row>
    <row r="46" spans="1:4" ht="15.75" thickBot="1" x14ac:dyDescent="0.3">
      <c r="A46" t="str">
        <f>'ER Hist Dic11'!A36</f>
        <v>Gasto de Impuesto sobre la Renta</v>
      </c>
      <c r="B46" s="108">
        <f>'ER Hist Dic11'!D36</f>
        <v>150108.37</v>
      </c>
      <c r="C46" s="15">
        <f>'Calculos 2011'!G349</f>
        <v>167068.33760539626</v>
      </c>
      <c r="D46" s="15">
        <f t="shared" si="1"/>
        <v>16959.967605396261</v>
      </c>
    </row>
    <row r="47" spans="1:4" x14ac:dyDescent="0.25">
      <c r="A47" s="52"/>
      <c r="B47" s="127">
        <f>SUM(B33:B46)</f>
        <v>20241282.669999998</v>
      </c>
      <c r="C47" s="127">
        <f>SUM(C33:C46)</f>
        <v>23578845.256320477</v>
      </c>
      <c r="D47" s="127">
        <f>SUM(D33:D46)</f>
        <v>3337562.5863204785</v>
      </c>
    </row>
    <row r="48" spans="1:4" x14ac:dyDescent="0.25">
      <c r="A48" s="14"/>
      <c r="B48" s="15"/>
      <c r="C48" s="15"/>
      <c r="D48" s="15"/>
    </row>
    <row r="49" spans="1:4" ht="15.75" x14ac:dyDescent="0.25">
      <c r="A49" s="128" t="s">
        <v>256</v>
      </c>
      <c r="B49" s="129">
        <f>B23+B31-B47</f>
        <v>-5290544.0799999982</v>
      </c>
      <c r="C49" s="129">
        <f>C23+C31-C47</f>
        <v>-6904744.6685593352</v>
      </c>
      <c r="D49" s="129">
        <f>B49-C49</f>
        <v>1614200.588559337</v>
      </c>
    </row>
    <row r="50" spans="1:4" x14ac:dyDescent="0.25">
      <c r="B50" s="107"/>
    </row>
    <row r="51" spans="1:4" x14ac:dyDescent="0.25">
      <c r="B51" s="107"/>
    </row>
    <row r="52" spans="1:4" x14ac:dyDescent="0.25">
      <c r="B52" s="107"/>
    </row>
    <row r="53" spans="1:4" x14ac:dyDescent="0.25">
      <c r="B53" s="107"/>
    </row>
    <row r="55" spans="1:4" x14ac:dyDescent="0.25">
      <c r="B55" s="107"/>
    </row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sqref="A1:D1"/>
    </sheetView>
  </sheetViews>
  <sheetFormatPr baseColWidth="10" defaultRowHeight="15" x14ac:dyDescent="0.25"/>
  <cols>
    <col min="1" max="1" width="37" customWidth="1"/>
    <col min="2" max="4" width="16.7109375" customWidth="1"/>
  </cols>
  <sheetData>
    <row r="1" spans="1:4" ht="15.75" x14ac:dyDescent="0.25">
      <c r="A1" s="185" t="s">
        <v>304</v>
      </c>
      <c r="B1" s="185"/>
      <c r="C1" s="185"/>
      <c r="D1" s="185"/>
    </row>
    <row r="2" spans="1:4" x14ac:dyDescent="0.25">
      <c r="A2" s="186" t="s">
        <v>0</v>
      </c>
      <c r="B2" s="186"/>
      <c r="C2" s="186"/>
      <c r="D2" s="186"/>
    </row>
    <row r="3" spans="1:4" x14ac:dyDescent="0.25">
      <c r="A3" s="186" t="s">
        <v>52</v>
      </c>
      <c r="B3" s="186"/>
      <c r="C3" s="186"/>
      <c r="D3" s="186"/>
    </row>
    <row r="4" spans="1:4" x14ac:dyDescent="0.25">
      <c r="A4" s="179" t="s">
        <v>265</v>
      </c>
      <c r="B4" s="179"/>
      <c r="C4" s="179"/>
      <c r="D4" s="179"/>
    </row>
    <row r="7" spans="1:4" x14ac:dyDescent="0.25">
      <c r="A7" s="7" t="s">
        <v>3</v>
      </c>
      <c r="B7" s="52"/>
      <c r="C7" s="52"/>
      <c r="D7" s="52"/>
    </row>
    <row r="8" spans="1:4" x14ac:dyDescent="0.25">
      <c r="A8" s="2" t="s">
        <v>53</v>
      </c>
      <c r="B8" s="3">
        <f>'Calculos 2011'!G335</f>
        <v>20937228.537268125</v>
      </c>
      <c r="C8" s="52"/>
      <c r="D8" s="52"/>
    </row>
    <row r="9" spans="1:4" x14ac:dyDescent="0.25">
      <c r="A9" s="2" t="s">
        <v>97</v>
      </c>
      <c r="B9" s="3">
        <f>'Calculos 2011'!G336</f>
        <v>85465.759527824601</v>
      </c>
      <c r="C9" s="52"/>
      <c r="D9" s="52"/>
    </row>
    <row r="10" spans="1:4" x14ac:dyDescent="0.25">
      <c r="A10" s="2" t="s">
        <v>108</v>
      </c>
      <c r="B10" s="4">
        <f>'Calculos 2011'!G337</f>
        <v>608577.50792580098</v>
      </c>
      <c r="C10" s="52"/>
      <c r="D10" s="52"/>
    </row>
    <row r="11" spans="1:4" x14ac:dyDescent="0.25">
      <c r="A11" s="2" t="s">
        <v>4</v>
      </c>
      <c r="B11" s="52"/>
      <c r="C11" s="3">
        <f>SUM(B8:B10)</f>
        <v>21631271.80472175</v>
      </c>
      <c r="D11" s="52"/>
    </row>
    <row r="12" spans="1:4" x14ac:dyDescent="0.25">
      <c r="A12" s="52"/>
      <c r="B12" s="52"/>
      <c r="C12" s="52"/>
      <c r="D12" s="52"/>
    </row>
    <row r="13" spans="1:4" x14ac:dyDescent="0.25">
      <c r="A13" s="7" t="s">
        <v>98</v>
      </c>
      <c r="B13" s="52"/>
      <c r="C13" s="52"/>
      <c r="D13" s="52"/>
    </row>
    <row r="14" spans="1:4" x14ac:dyDescent="0.25">
      <c r="A14" s="2" t="s">
        <v>99</v>
      </c>
      <c r="B14" s="4">
        <f>'Calculos 2011'!G338</f>
        <v>15744154.688701514</v>
      </c>
      <c r="C14" s="52"/>
      <c r="D14" s="52"/>
    </row>
    <row r="15" spans="1:4" x14ac:dyDescent="0.25">
      <c r="A15" s="2" t="s">
        <v>5</v>
      </c>
      <c r="B15" s="3">
        <f>B14</f>
        <v>15744154.688701514</v>
      </c>
      <c r="C15" s="52"/>
      <c r="D15" s="52"/>
    </row>
    <row r="16" spans="1:4" x14ac:dyDescent="0.25">
      <c r="A16" s="2" t="s">
        <v>100</v>
      </c>
      <c r="B16" s="52"/>
      <c r="C16" s="4">
        <f>SUM(B15)</f>
        <v>15744154.688701514</v>
      </c>
      <c r="D16" s="52"/>
    </row>
    <row r="17" spans="1:4" x14ac:dyDescent="0.25">
      <c r="A17" s="10" t="s">
        <v>61</v>
      </c>
      <c r="B17" s="52"/>
      <c r="C17" s="52"/>
      <c r="D17" s="8">
        <f>C11-C16</f>
        <v>5887117.1160202362</v>
      </c>
    </row>
    <row r="18" spans="1:4" x14ac:dyDescent="0.25">
      <c r="A18" s="52"/>
      <c r="B18" s="52"/>
      <c r="C18" s="52"/>
      <c r="D18" s="52"/>
    </row>
    <row r="19" spans="1:4" x14ac:dyDescent="0.25">
      <c r="A19" s="16" t="s">
        <v>270</v>
      </c>
      <c r="B19" s="144"/>
      <c r="C19" s="144"/>
      <c r="D19" s="144"/>
    </row>
    <row r="20" spans="1:4" x14ac:dyDescent="0.25">
      <c r="A20" s="14" t="s">
        <v>271</v>
      </c>
      <c r="B20" s="144"/>
      <c r="C20" s="144">
        <f>REME!D49</f>
        <v>1614200.588559337</v>
      </c>
      <c r="D20" s="144"/>
    </row>
    <row r="21" spans="1:4" x14ac:dyDescent="0.25">
      <c r="A21" s="14"/>
      <c r="B21" s="144"/>
      <c r="C21" s="144"/>
      <c r="D21" s="144"/>
    </row>
    <row r="22" spans="1:4" x14ac:dyDescent="0.25">
      <c r="A22" s="7" t="s">
        <v>8</v>
      </c>
      <c r="B22" s="5"/>
      <c r="C22" s="52"/>
      <c r="D22" s="52"/>
    </row>
    <row r="23" spans="1:4" x14ac:dyDescent="0.25">
      <c r="A23" s="2" t="s">
        <v>9</v>
      </c>
      <c r="B23" s="5"/>
      <c r="C23" s="52"/>
      <c r="D23" s="52"/>
    </row>
    <row r="24" spans="1:4" x14ac:dyDescent="0.25">
      <c r="A24" s="2" t="s">
        <v>10</v>
      </c>
      <c r="B24" s="3">
        <f>'Calculos 2011'!G339</f>
        <v>761521.23338954453</v>
      </c>
      <c r="C24" s="52"/>
      <c r="D24" s="52"/>
    </row>
    <row r="25" spans="1:4" x14ac:dyDescent="0.25">
      <c r="A25" s="2" t="s">
        <v>109</v>
      </c>
      <c r="B25" s="3">
        <f>'Calculos 2011'!G340</f>
        <v>1002117.8003372678</v>
      </c>
      <c r="C25" s="52"/>
      <c r="D25" s="52"/>
    </row>
    <row r="26" spans="1:4" x14ac:dyDescent="0.25">
      <c r="A26" s="2" t="s">
        <v>54</v>
      </c>
      <c r="B26" s="3">
        <f>'Calculos 2011'!G341</f>
        <v>911043.6880269812</v>
      </c>
      <c r="C26" s="52"/>
      <c r="D26" s="52"/>
    </row>
    <row r="27" spans="1:4" x14ac:dyDescent="0.25">
      <c r="A27" s="2" t="s">
        <v>55</v>
      </c>
      <c r="B27" s="3">
        <f>'Calculos 2011'!G342</f>
        <v>1453460.6399925058</v>
      </c>
      <c r="C27" s="52"/>
      <c r="D27" s="52"/>
    </row>
    <row r="28" spans="1:4" x14ac:dyDescent="0.25">
      <c r="A28" s="2" t="s">
        <v>56</v>
      </c>
      <c r="B28" s="3">
        <f>'Calculos 2011'!G343</f>
        <v>820281.72344013466</v>
      </c>
      <c r="C28" s="52"/>
      <c r="D28" s="52"/>
    </row>
    <row r="29" spans="1:4" x14ac:dyDescent="0.25">
      <c r="A29" s="2" t="s">
        <v>57</v>
      </c>
      <c r="B29" s="3">
        <f>'Calculos 2011'!G344</f>
        <v>148389.09106239458</v>
      </c>
      <c r="C29" s="52"/>
      <c r="D29" s="52"/>
    </row>
    <row r="30" spans="1:4" x14ac:dyDescent="0.25">
      <c r="A30" s="2" t="s">
        <v>58</v>
      </c>
      <c r="B30" s="3">
        <f>'Calculos 2011'!G345</f>
        <v>681927.16998313647</v>
      </c>
      <c r="C30" s="52"/>
      <c r="D30" s="52"/>
    </row>
    <row r="31" spans="1:4" x14ac:dyDescent="0.25">
      <c r="A31" s="2" t="s">
        <v>59</v>
      </c>
      <c r="B31" s="3">
        <f>'Calculos 2011'!G346</f>
        <v>114679.47419898816</v>
      </c>
      <c r="C31" s="52"/>
      <c r="D31" s="52"/>
    </row>
    <row r="32" spans="1:4" x14ac:dyDescent="0.25">
      <c r="A32" s="2" t="s">
        <v>60</v>
      </c>
      <c r="B32" s="3">
        <f>'Calculos 2011'!G347</f>
        <v>190396.33254637432</v>
      </c>
      <c r="C32" s="52"/>
      <c r="D32" s="52"/>
    </row>
    <row r="33" spans="1:4" x14ac:dyDescent="0.25">
      <c r="A33" s="2" t="s">
        <v>15</v>
      </c>
      <c r="B33" s="4">
        <f>'Calculos 2011'!G348</f>
        <v>175789.59763912307</v>
      </c>
      <c r="C33" s="52"/>
      <c r="D33" s="52"/>
    </row>
    <row r="34" spans="1:4" x14ac:dyDescent="0.25">
      <c r="A34" s="2" t="s">
        <v>6</v>
      </c>
      <c r="B34" s="52"/>
      <c r="C34" s="3">
        <f>SUM(B24:B33)</f>
        <v>6259606.7506164508</v>
      </c>
      <c r="D34" s="52"/>
    </row>
    <row r="35" spans="1:4" x14ac:dyDescent="0.25">
      <c r="A35" s="2" t="s">
        <v>7</v>
      </c>
      <c r="B35" s="52"/>
      <c r="C35" s="3"/>
      <c r="D35" s="4">
        <f>C34-C20</f>
        <v>4645406.1620571138</v>
      </c>
    </row>
    <row r="36" spans="1:4" x14ac:dyDescent="0.25">
      <c r="A36" s="10" t="s">
        <v>62</v>
      </c>
      <c r="B36" s="52"/>
      <c r="C36" s="52"/>
      <c r="D36" s="8">
        <f>D17-D35</f>
        <v>1241710.9539631223</v>
      </c>
    </row>
    <row r="37" spans="1:4" x14ac:dyDescent="0.25">
      <c r="A37" s="52"/>
      <c r="B37" s="52"/>
      <c r="C37" s="52"/>
      <c r="D37" s="52"/>
    </row>
    <row r="38" spans="1:4" x14ac:dyDescent="0.25">
      <c r="A38" s="87" t="s">
        <v>110</v>
      </c>
      <c r="B38" s="52"/>
      <c r="C38" s="52"/>
      <c r="D38" s="81">
        <f>D36</f>
        <v>1241710.9539631223</v>
      </c>
    </row>
    <row r="39" spans="1:4" x14ac:dyDescent="0.25">
      <c r="A39" s="116" t="s">
        <v>111</v>
      </c>
      <c r="B39" s="52"/>
      <c r="C39" s="52"/>
      <c r="D39" s="4">
        <f>'Calculos 2011'!G349</f>
        <v>167068.33760539626</v>
      </c>
    </row>
    <row r="40" spans="1:4" x14ac:dyDescent="0.25">
      <c r="A40" s="10" t="s">
        <v>113</v>
      </c>
      <c r="B40" s="88"/>
      <c r="C40" s="88"/>
      <c r="D40" s="81">
        <f>D38-D39</f>
        <v>1074642.616357726</v>
      </c>
    </row>
    <row r="41" spans="1:4" x14ac:dyDescent="0.25">
      <c r="A41" s="137" t="s">
        <v>112</v>
      </c>
      <c r="B41" s="52"/>
      <c r="C41" s="52"/>
      <c r="D41" s="4">
        <f>D40*0.1</f>
        <v>107464.26163577261</v>
      </c>
    </row>
    <row r="42" spans="1:4" x14ac:dyDescent="0.25">
      <c r="A42" s="137"/>
      <c r="B42" s="52"/>
      <c r="C42" s="52"/>
      <c r="D42" s="86"/>
    </row>
    <row r="43" spans="1:4" ht="15.75" thickBot="1" x14ac:dyDescent="0.3">
      <c r="A43" s="89" t="s">
        <v>114</v>
      </c>
      <c r="B43" s="52"/>
      <c r="C43" s="52"/>
      <c r="D43" s="6">
        <f>D40-D41</f>
        <v>967178.35472195339</v>
      </c>
    </row>
    <row r="46" spans="1:4" x14ac:dyDescent="0.25">
      <c r="A46" s="146" t="s">
        <v>16</v>
      </c>
    </row>
    <row r="47" spans="1:4" x14ac:dyDescent="0.25">
      <c r="A47" s="145" t="str">
        <f>A1</f>
        <v>EJEMPLO, S.A.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  <ignoredErrors>
    <ignoredError sqref="B8:D4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6" sqref="D16"/>
    </sheetView>
  </sheetViews>
  <sheetFormatPr baseColWidth="10" defaultRowHeight="15" x14ac:dyDescent="0.25"/>
  <cols>
    <col min="1" max="1" width="40.7109375" customWidth="1"/>
    <col min="2" max="2" width="11.85546875" customWidth="1"/>
    <col min="3" max="3" width="17.85546875" customWidth="1"/>
    <col min="4" max="4" width="17.7109375" customWidth="1"/>
  </cols>
  <sheetData>
    <row r="1" spans="1:4" ht="15.75" x14ac:dyDescent="0.25">
      <c r="A1" s="185" t="s">
        <v>304</v>
      </c>
      <c r="B1" s="185"/>
      <c r="C1" s="185"/>
      <c r="D1" s="185"/>
    </row>
    <row r="2" spans="1:4" x14ac:dyDescent="0.25">
      <c r="A2" s="186" t="s">
        <v>17</v>
      </c>
      <c r="B2" s="186"/>
      <c r="C2" s="186"/>
      <c r="D2" s="186"/>
    </row>
    <row r="3" spans="1:4" x14ac:dyDescent="0.25">
      <c r="A3" s="186" t="s">
        <v>64</v>
      </c>
      <c r="B3" s="186"/>
      <c r="C3" s="186"/>
      <c r="D3" s="186"/>
    </row>
    <row r="4" spans="1:4" x14ac:dyDescent="0.25">
      <c r="A4" s="179" t="s">
        <v>265</v>
      </c>
      <c r="B4" s="179"/>
      <c r="C4" s="179"/>
      <c r="D4" s="179"/>
    </row>
    <row r="5" spans="1:4" x14ac:dyDescent="0.25">
      <c r="A5" s="114"/>
      <c r="B5" s="114"/>
      <c r="C5" s="114"/>
      <c r="D5" s="114"/>
    </row>
    <row r="6" spans="1:4" x14ac:dyDescent="0.25">
      <c r="A6" s="14"/>
      <c r="B6" s="15"/>
      <c r="C6" s="15"/>
      <c r="D6" s="15"/>
    </row>
    <row r="7" spans="1:4" x14ac:dyDescent="0.25">
      <c r="A7" s="16" t="s">
        <v>18</v>
      </c>
      <c r="B7" s="15"/>
      <c r="C7" s="15"/>
      <c r="D7" s="15"/>
    </row>
    <row r="8" spans="1:4" x14ac:dyDescent="0.25">
      <c r="A8" s="16" t="s">
        <v>19</v>
      </c>
      <c r="B8" s="15"/>
      <c r="C8" s="15"/>
      <c r="D8" s="15"/>
    </row>
    <row r="9" spans="1:4" x14ac:dyDescent="0.25">
      <c r="A9" s="16" t="s">
        <v>20</v>
      </c>
      <c r="B9" s="15"/>
      <c r="C9" s="15"/>
      <c r="D9" s="15"/>
    </row>
    <row r="10" spans="1:4" x14ac:dyDescent="0.25">
      <c r="A10" s="14" t="s">
        <v>21</v>
      </c>
      <c r="B10" s="15"/>
      <c r="C10" s="25">
        <v>395702.32</v>
      </c>
      <c r="D10" s="25"/>
    </row>
    <row r="11" spans="1:4" x14ac:dyDescent="0.25">
      <c r="A11" s="16" t="s">
        <v>38</v>
      </c>
      <c r="B11" s="15"/>
      <c r="C11" s="25"/>
      <c r="D11" s="25"/>
    </row>
    <row r="12" spans="1:4" x14ac:dyDescent="0.25">
      <c r="A12" s="14" t="s">
        <v>65</v>
      </c>
      <c r="B12" s="15"/>
      <c r="C12" s="25">
        <v>6180817.1799999997</v>
      </c>
      <c r="D12" s="25"/>
    </row>
    <row r="13" spans="1:4" x14ac:dyDescent="0.25">
      <c r="A13" s="14" t="s">
        <v>103</v>
      </c>
      <c r="B13" s="15"/>
      <c r="C13" s="25">
        <v>801745.41</v>
      </c>
      <c r="D13" s="25"/>
    </row>
    <row r="14" spans="1:4" x14ac:dyDescent="0.25">
      <c r="A14" s="14" t="s">
        <v>104</v>
      </c>
      <c r="B14" s="15"/>
      <c r="C14" s="25">
        <v>1384397.1800000002</v>
      </c>
      <c r="D14" s="25"/>
    </row>
    <row r="15" spans="1:4" ht="15.75" thickBot="1" x14ac:dyDescent="0.3">
      <c r="A15" s="16" t="s">
        <v>22</v>
      </c>
      <c r="B15" s="15"/>
      <c r="C15" s="25"/>
      <c r="D15" s="25"/>
    </row>
    <row r="16" spans="1:4" ht="15.75" thickBot="1" x14ac:dyDescent="0.3">
      <c r="A16" s="14" t="s">
        <v>115</v>
      </c>
      <c r="B16" s="15"/>
      <c r="C16" s="170">
        <f>'Calculos 2011'!G22</f>
        <v>2589475.5507560624</v>
      </c>
      <c r="D16" s="171"/>
    </row>
    <row r="17" spans="1:4" ht="15.75" thickBot="1" x14ac:dyDescent="0.3">
      <c r="A17" s="14" t="s">
        <v>66</v>
      </c>
      <c r="B17" s="15"/>
      <c r="C17" s="171">
        <f>'Calculos 2011'!G30</f>
        <v>662941.66859642416</v>
      </c>
      <c r="D17" s="171"/>
    </row>
    <row r="18" spans="1:4" x14ac:dyDescent="0.25">
      <c r="A18" s="16" t="s">
        <v>23</v>
      </c>
      <c r="B18" s="15"/>
      <c r="C18" s="172"/>
      <c r="D18" s="25"/>
    </row>
    <row r="19" spans="1:4" x14ac:dyDescent="0.25">
      <c r="A19" s="14" t="s">
        <v>39</v>
      </c>
      <c r="B19" s="15"/>
      <c r="C19" s="26">
        <v>255154.68</v>
      </c>
      <c r="D19" s="25"/>
    </row>
    <row r="20" spans="1:4" x14ac:dyDescent="0.25">
      <c r="A20" s="14" t="s">
        <v>24</v>
      </c>
      <c r="B20" s="15"/>
      <c r="C20" s="25"/>
      <c r="D20" s="25">
        <f>SUM(C10:C19)</f>
        <v>12270233.989352487</v>
      </c>
    </row>
    <row r="21" spans="1:4" x14ac:dyDescent="0.25">
      <c r="A21" s="16" t="s">
        <v>102</v>
      </c>
      <c r="B21" s="15"/>
      <c r="C21" s="25"/>
      <c r="D21" s="25"/>
    </row>
    <row r="22" spans="1:4" x14ac:dyDescent="0.25">
      <c r="A22" s="14" t="s">
        <v>159</v>
      </c>
      <c r="B22" s="15"/>
      <c r="D22" s="25">
        <f>'Calculos 2011'!G37</f>
        <v>510962.82221379835</v>
      </c>
    </row>
    <row r="23" spans="1:4" ht="15.75" thickBot="1" x14ac:dyDescent="0.3">
      <c r="A23" s="16" t="s">
        <v>25</v>
      </c>
      <c r="B23" s="15"/>
      <c r="C23" s="25"/>
      <c r="D23" s="25"/>
    </row>
    <row r="24" spans="1:4" ht="15.75" thickBot="1" x14ac:dyDescent="0.3">
      <c r="A24" s="14" t="s">
        <v>49</v>
      </c>
      <c r="B24" s="175"/>
      <c r="C24" s="173">
        <f>'Calculos 2011'!G45</f>
        <v>189165.95012897681</v>
      </c>
      <c r="D24" s="25"/>
    </row>
    <row r="25" spans="1:4" ht="15.75" thickBot="1" x14ac:dyDescent="0.3">
      <c r="A25" s="14" t="s">
        <v>50</v>
      </c>
      <c r="B25" s="175"/>
      <c r="C25" s="174">
        <f>'Calculos 2011'!G53+'Calculos 2011'!G72+'Calculos 2011'!G93+'Calculos 2011'!G118+'Calculos 2011'!G178</f>
        <v>7896183.7274040263</v>
      </c>
      <c r="D25" s="28"/>
    </row>
    <row r="26" spans="1:4" ht="15.75" thickBot="1" x14ac:dyDescent="0.3">
      <c r="A26" s="14" t="s">
        <v>51</v>
      </c>
      <c r="B26" s="175"/>
      <c r="C26" s="176">
        <f>-('Calculos 2011'!G238+'Calculos 2011'!G257+'Calculos 2011'!G278+'Calculos 2011'!G303)</f>
        <v>-4974290.9914358221</v>
      </c>
      <c r="D26" s="28"/>
    </row>
    <row r="27" spans="1:4" x14ac:dyDescent="0.25">
      <c r="A27" s="14" t="s">
        <v>26</v>
      </c>
      <c r="B27" s="15"/>
      <c r="C27" s="172"/>
      <c r="D27" s="25">
        <f>SUM(C24:C26)</f>
        <v>3111058.6860971814</v>
      </c>
    </row>
    <row r="28" spans="1:4" ht="15.75" thickBot="1" x14ac:dyDescent="0.3">
      <c r="A28" s="17" t="s">
        <v>27</v>
      </c>
      <c r="B28" s="15"/>
      <c r="C28" s="25"/>
      <c r="D28" s="27">
        <f>D20+D22+D27</f>
        <v>15892255.497663468</v>
      </c>
    </row>
    <row r="29" spans="1:4" ht="15.75" thickTop="1" x14ac:dyDescent="0.25">
      <c r="A29" s="14"/>
      <c r="B29" s="15"/>
      <c r="C29" s="25"/>
      <c r="D29" s="25"/>
    </row>
    <row r="30" spans="1:4" x14ac:dyDescent="0.25">
      <c r="A30" s="16" t="s">
        <v>28</v>
      </c>
      <c r="B30" s="15"/>
      <c r="C30" s="25"/>
      <c r="D30" s="25"/>
    </row>
    <row r="31" spans="1:4" x14ac:dyDescent="0.25">
      <c r="A31" s="16" t="s">
        <v>19</v>
      </c>
      <c r="B31" s="15"/>
      <c r="C31" s="25"/>
      <c r="D31" s="25"/>
    </row>
    <row r="32" spans="1:4" x14ac:dyDescent="0.25">
      <c r="A32" s="18" t="s">
        <v>41</v>
      </c>
      <c r="B32" s="15"/>
      <c r="C32" s="25">
        <v>2500000</v>
      </c>
      <c r="D32" s="25"/>
    </row>
    <row r="33" spans="1:4" x14ac:dyDescent="0.25">
      <c r="A33" s="18" t="s">
        <v>105</v>
      </c>
      <c r="B33" s="15"/>
      <c r="C33" s="25">
        <v>56995.979999999996</v>
      </c>
      <c r="D33" s="25"/>
    </row>
    <row r="34" spans="1:4" x14ac:dyDescent="0.25">
      <c r="A34" s="18" t="s">
        <v>257</v>
      </c>
      <c r="B34" s="15"/>
      <c r="C34" s="25">
        <f>'ER Hist Dic11'!D36</f>
        <v>150108.37</v>
      </c>
      <c r="D34" s="25"/>
    </row>
    <row r="35" spans="1:4" x14ac:dyDescent="0.25">
      <c r="A35" s="18" t="s">
        <v>42</v>
      </c>
      <c r="B35" s="19"/>
      <c r="C35" s="26">
        <v>1771806.82</v>
      </c>
      <c r="D35" s="28"/>
    </row>
    <row r="36" spans="1:4" x14ac:dyDescent="0.25">
      <c r="A36" s="18" t="s">
        <v>43</v>
      </c>
      <c r="B36" s="19"/>
      <c r="C36" s="28"/>
      <c r="D36" s="28">
        <f>SUM(C32:C35)</f>
        <v>4478911.17</v>
      </c>
    </row>
    <row r="37" spans="1:4" x14ac:dyDescent="0.25">
      <c r="A37" s="16" t="s">
        <v>44</v>
      </c>
      <c r="B37" s="19"/>
      <c r="C37" s="28"/>
      <c r="D37" s="28"/>
    </row>
    <row r="38" spans="1:4" x14ac:dyDescent="0.25">
      <c r="A38" s="18" t="s">
        <v>46</v>
      </c>
      <c r="B38" s="19"/>
      <c r="C38" s="25">
        <v>184931.39</v>
      </c>
      <c r="D38" s="25"/>
    </row>
    <row r="39" spans="1:4" x14ac:dyDescent="0.25">
      <c r="A39" s="18" t="s">
        <v>47</v>
      </c>
      <c r="B39" s="19"/>
      <c r="C39" s="26">
        <v>9644518.2899999991</v>
      </c>
      <c r="D39" s="28"/>
    </row>
    <row r="40" spans="1:4" x14ac:dyDescent="0.25">
      <c r="A40" s="18" t="s">
        <v>45</v>
      </c>
      <c r="B40" s="19"/>
      <c r="C40" s="28"/>
      <c r="D40" s="26">
        <f>SUM(C38:C39)</f>
        <v>9829449.6799999997</v>
      </c>
    </row>
    <row r="41" spans="1:4" ht="15.75" thickBot="1" x14ac:dyDescent="0.3">
      <c r="A41" s="17" t="s">
        <v>29</v>
      </c>
      <c r="B41" s="20"/>
      <c r="C41" s="29"/>
      <c r="D41" s="27">
        <f>D36+D40</f>
        <v>14308360.85</v>
      </c>
    </row>
    <row r="42" spans="1:4" ht="15.75" thickTop="1" x14ac:dyDescent="0.25">
      <c r="A42" s="14"/>
      <c r="B42" s="15"/>
      <c r="C42" s="25"/>
      <c r="D42" s="25"/>
    </row>
    <row r="43" spans="1:4" x14ac:dyDescent="0.25">
      <c r="A43" s="16" t="s">
        <v>30</v>
      </c>
      <c r="B43" s="15"/>
      <c r="C43" s="25"/>
      <c r="D43" s="25"/>
    </row>
    <row r="44" spans="1:4" x14ac:dyDescent="0.25">
      <c r="A44" s="14" t="s">
        <v>243</v>
      </c>
      <c r="B44" s="15"/>
      <c r="C44" s="153">
        <f>'Calculos 2011'!G311</f>
        <v>2515151.5151515151</v>
      </c>
      <c r="D44" s="154"/>
    </row>
    <row r="45" spans="1:4" x14ac:dyDescent="0.25">
      <c r="A45" s="119" t="s">
        <v>244</v>
      </c>
      <c r="B45" s="15"/>
      <c r="C45" s="25"/>
      <c r="D45" s="25"/>
    </row>
    <row r="46" spans="1:4" x14ac:dyDescent="0.25">
      <c r="A46" s="14" t="s">
        <v>241</v>
      </c>
      <c r="B46" s="15"/>
      <c r="C46" s="153">
        <f>'Calculos 2011'!G320</f>
        <v>-1964410.436972905</v>
      </c>
      <c r="D46" s="25"/>
    </row>
    <row r="47" spans="1:4" x14ac:dyDescent="0.25">
      <c r="A47" s="14" t="s">
        <v>242</v>
      </c>
      <c r="B47" s="15"/>
      <c r="C47" s="153">
        <f>'Calculos 2011'!G329</f>
        <v>181998.54600592976</v>
      </c>
      <c r="D47" s="25"/>
    </row>
    <row r="48" spans="1:4" x14ac:dyDescent="0.25">
      <c r="A48" s="14" t="s">
        <v>240</v>
      </c>
      <c r="B48" s="15"/>
      <c r="C48" s="155">
        <f>EdoResultados2011!D43</f>
        <v>967178.35472195339</v>
      </c>
      <c r="D48" s="154"/>
    </row>
    <row r="49" spans="1:4" x14ac:dyDescent="0.25">
      <c r="A49" s="17" t="s">
        <v>34</v>
      </c>
      <c r="B49" s="20"/>
      <c r="C49" s="30"/>
      <c r="D49" s="31">
        <f>SUM(C44:C48)</f>
        <v>1699917.9789064934</v>
      </c>
    </row>
    <row r="50" spans="1:4" ht="15.75" thickBot="1" x14ac:dyDescent="0.3">
      <c r="A50" s="17" t="s">
        <v>35</v>
      </c>
      <c r="B50" s="15"/>
      <c r="C50" s="25"/>
      <c r="D50" s="27">
        <f>SUM(D41+D49)</f>
        <v>16008278.828906493</v>
      </c>
    </row>
    <row r="51" spans="1:4" ht="15.75" thickTop="1" x14ac:dyDescent="0.25">
      <c r="A51" s="14"/>
      <c r="B51" s="15"/>
      <c r="C51" s="15"/>
      <c r="D51" s="15"/>
    </row>
    <row r="52" spans="1:4" x14ac:dyDescent="0.25">
      <c r="A52" s="14"/>
      <c r="B52" s="15"/>
      <c r="C52" s="15"/>
      <c r="D52" s="15"/>
    </row>
    <row r="53" spans="1:4" x14ac:dyDescent="0.25">
      <c r="A53" s="115" t="s">
        <v>16</v>
      </c>
      <c r="B53" s="21"/>
      <c r="C53" s="21"/>
      <c r="D53" s="123"/>
    </row>
    <row r="54" spans="1:4" x14ac:dyDescent="0.25">
      <c r="A54" s="113" t="str">
        <f>A1</f>
        <v>EJEMPLO, S.A.</v>
      </c>
      <c r="B54" s="23"/>
      <c r="C54" s="23"/>
      <c r="D54" s="23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sqref="A1:D1"/>
    </sheetView>
  </sheetViews>
  <sheetFormatPr baseColWidth="10" defaultRowHeight="15" x14ac:dyDescent="0.25"/>
  <cols>
    <col min="1" max="1" width="40.7109375" customWidth="1"/>
    <col min="2" max="2" width="11.85546875" customWidth="1"/>
    <col min="3" max="3" width="17.85546875" customWidth="1"/>
    <col min="4" max="4" width="17.7109375" customWidth="1"/>
    <col min="5" max="5" width="22.7109375" customWidth="1"/>
  </cols>
  <sheetData>
    <row r="1" spans="1:6" ht="15.75" x14ac:dyDescent="0.25">
      <c r="A1" s="185" t="s">
        <v>96</v>
      </c>
      <c r="B1" s="185"/>
      <c r="C1" s="185"/>
      <c r="D1" s="185"/>
    </row>
    <row r="2" spans="1:6" x14ac:dyDescent="0.25">
      <c r="A2" s="186" t="s">
        <v>275</v>
      </c>
      <c r="B2" s="186"/>
      <c r="C2" s="186"/>
      <c r="D2" s="186"/>
    </row>
    <row r="3" spans="1:6" x14ac:dyDescent="0.25">
      <c r="A3" s="179" t="s">
        <v>265</v>
      </c>
      <c r="B3" s="179"/>
      <c r="C3" s="179"/>
      <c r="D3" s="179"/>
    </row>
    <row r="4" spans="1:6" x14ac:dyDescent="0.25">
      <c r="A4" s="133"/>
      <c r="B4" s="133"/>
      <c r="C4" s="133"/>
      <c r="D4" s="133"/>
    </row>
    <row r="5" spans="1:6" x14ac:dyDescent="0.25">
      <c r="A5" s="14"/>
      <c r="B5" s="15"/>
      <c r="C5" s="187">
        <v>40543</v>
      </c>
      <c r="D5" s="187">
        <v>40908</v>
      </c>
    </row>
    <row r="6" spans="1:6" x14ac:dyDescent="0.25">
      <c r="A6" s="16" t="s">
        <v>18</v>
      </c>
      <c r="B6" s="15"/>
      <c r="C6" s="188"/>
      <c r="D6" s="188"/>
      <c r="E6" s="16"/>
    </row>
    <row r="7" spans="1:6" x14ac:dyDescent="0.25">
      <c r="A7" s="16" t="s">
        <v>19</v>
      </c>
      <c r="B7" s="15"/>
      <c r="C7" s="15"/>
      <c r="D7" s="15"/>
      <c r="E7" s="148"/>
    </row>
    <row r="8" spans="1:6" x14ac:dyDescent="0.25">
      <c r="A8" s="16" t="s">
        <v>20</v>
      </c>
      <c r="B8" s="15"/>
      <c r="C8" s="15"/>
      <c r="D8" s="15"/>
      <c r="E8" s="148"/>
    </row>
    <row r="9" spans="1:6" x14ac:dyDescent="0.25">
      <c r="A9" s="14" t="s">
        <v>21</v>
      </c>
      <c r="B9" s="15"/>
      <c r="C9" s="25">
        <f>BalanceGenral2010!C10</f>
        <v>895194.52392120077</v>
      </c>
      <c r="D9" s="25">
        <v>395702.32</v>
      </c>
      <c r="E9" s="28">
        <f>D9-C9</f>
        <v>-499492.20392120077</v>
      </c>
    </row>
    <row r="10" spans="1:6" x14ac:dyDescent="0.25">
      <c r="A10" s="16" t="s">
        <v>38</v>
      </c>
      <c r="B10" s="15"/>
      <c r="C10" s="25"/>
      <c r="D10" s="25"/>
      <c r="E10" s="148"/>
    </row>
    <row r="11" spans="1:6" x14ac:dyDescent="0.25">
      <c r="A11" s="14" t="s">
        <v>65</v>
      </c>
      <c r="B11" s="15"/>
      <c r="C11" s="25">
        <f>BalanceGenral2010!C12</f>
        <v>7418899.475844278</v>
      </c>
      <c r="D11" s="25">
        <v>6180817.1799999997</v>
      </c>
      <c r="E11" s="28">
        <f>D11-C11</f>
        <v>-1238082.2958442783</v>
      </c>
      <c r="F11" t="s">
        <v>276</v>
      </c>
    </row>
    <row r="12" spans="1:6" x14ac:dyDescent="0.25">
      <c r="A12" s="14" t="s">
        <v>103</v>
      </c>
      <c r="B12" s="15"/>
      <c r="C12" s="25">
        <f>BalanceGenral2010!C13</f>
        <v>791238.17776735465</v>
      </c>
      <c r="D12" s="25">
        <v>801745.41</v>
      </c>
      <c r="E12" s="28">
        <f t="shared" ref="E12:E47" si="0">D12-C12</f>
        <v>10507.232232645387</v>
      </c>
      <c r="F12" t="s">
        <v>276</v>
      </c>
    </row>
    <row r="13" spans="1:6" x14ac:dyDescent="0.25">
      <c r="A13" s="14" t="s">
        <v>104</v>
      </c>
      <c r="B13" s="15"/>
      <c r="C13" s="25">
        <f>BalanceGenral2010!C14</f>
        <v>1413161.2804878049</v>
      </c>
      <c r="D13" s="25">
        <v>1384397.1800000002</v>
      </c>
      <c r="E13" s="28">
        <f t="shared" si="0"/>
        <v>-28764.100487804739</v>
      </c>
      <c r="F13" t="s">
        <v>276</v>
      </c>
    </row>
    <row r="14" spans="1:6" x14ac:dyDescent="0.25">
      <c r="A14" s="16" t="s">
        <v>22</v>
      </c>
      <c r="B14" s="15"/>
      <c r="C14" s="25"/>
      <c r="D14" s="25"/>
      <c r="E14" s="28"/>
    </row>
    <row r="15" spans="1:6" x14ac:dyDescent="0.25">
      <c r="A15" s="14" t="s">
        <v>115</v>
      </c>
      <c r="B15" s="15"/>
      <c r="C15" s="25">
        <v>0</v>
      </c>
      <c r="D15" s="25">
        <f>BalanceGeneral2011!C16</f>
        <v>2589475.5507560624</v>
      </c>
      <c r="E15" s="28">
        <f t="shared" si="0"/>
        <v>2589475.5507560624</v>
      </c>
      <c r="F15" t="s">
        <v>276</v>
      </c>
    </row>
    <row r="16" spans="1:6" x14ac:dyDescent="0.25">
      <c r="A16" s="14" t="s">
        <v>66</v>
      </c>
      <c r="B16" s="15"/>
      <c r="C16" s="25">
        <f>BalanceGenral2010!C16</f>
        <v>10008887.419271838</v>
      </c>
      <c r="D16" s="25">
        <f>BalanceGeneral2011!C17</f>
        <v>662941.66859642416</v>
      </c>
      <c r="E16" s="28">
        <f t="shared" si="0"/>
        <v>-9345945.7506754138</v>
      </c>
      <c r="F16" t="s">
        <v>276</v>
      </c>
    </row>
    <row r="17" spans="1:6" x14ac:dyDescent="0.25">
      <c r="A17" s="16" t="s">
        <v>23</v>
      </c>
      <c r="B17" s="15"/>
      <c r="C17" s="25"/>
      <c r="D17" s="25"/>
      <c r="E17" s="28"/>
    </row>
    <row r="18" spans="1:6" x14ac:dyDescent="0.25">
      <c r="A18" s="14" t="s">
        <v>39</v>
      </c>
      <c r="B18" s="15"/>
      <c r="C18" s="26">
        <f>BalanceGenral2010!C18</f>
        <v>1230108.085131332</v>
      </c>
      <c r="D18" s="26">
        <v>255154.68</v>
      </c>
      <c r="E18" s="28">
        <f t="shared" si="0"/>
        <v>-974953.40513133211</v>
      </c>
    </row>
    <row r="19" spans="1:6" x14ac:dyDescent="0.25">
      <c r="A19" s="14" t="s">
        <v>24</v>
      </c>
      <c r="B19" s="15"/>
      <c r="C19" s="25">
        <f>SUM(C9:C18)</f>
        <v>21757488.962423809</v>
      </c>
      <c r="D19" s="25">
        <f>SUM(D9:D18)</f>
        <v>12270233.989352487</v>
      </c>
      <c r="E19" s="28"/>
    </row>
    <row r="20" spans="1:6" x14ac:dyDescent="0.25">
      <c r="A20" s="16" t="s">
        <v>102</v>
      </c>
      <c r="B20" s="15"/>
      <c r="C20" s="25"/>
      <c r="D20" s="25"/>
      <c r="E20" s="28"/>
    </row>
    <row r="21" spans="1:6" x14ac:dyDescent="0.25">
      <c r="A21" s="14" t="s">
        <v>159</v>
      </c>
      <c r="B21" s="15"/>
      <c r="C21" s="25">
        <f>BalanceGenral2010!D21</f>
        <v>510962.82221379835</v>
      </c>
      <c r="D21" s="25">
        <f>BalanceGeneral2011!D22</f>
        <v>510962.82221379835</v>
      </c>
      <c r="E21" s="28">
        <f t="shared" si="0"/>
        <v>0</v>
      </c>
    </row>
    <row r="22" spans="1:6" x14ac:dyDescent="0.25">
      <c r="A22" s="16" t="s">
        <v>25</v>
      </c>
      <c r="B22" s="15"/>
      <c r="C22" s="25"/>
      <c r="D22" s="25"/>
      <c r="E22" s="28"/>
    </row>
    <row r="23" spans="1:6" x14ac:dyDescent="0.25">
      <c r="A23" s="14" t="s">
        <v>49</v>
      </c>
      <c r="B23" s="15"/>
      <c r="C23" s="25">
        <f>BalanceGenral2010!C23</f>
        <v>189165.95012897681</v>
      </c>
      <c r="D23" s="25">
        <f>BalanceGeneral2011!C24</f>
        <v>189165.95012897681</v>
      </c>
      <c r="E23" s="28">
        <f t="shared" si="0"/>
        <v>0</v>
      </c>
    </row>
    <row r="24" spans="1:6" x14ac:dyDescent="0.25">
      <c r="A24" s="14" t="s">
        <v>50</v>
      </c>
      <c r="B24" s="15"/>
      <c r="C24" s="25">
        <f>BalanceGenral2010!C24</f>
        <v>7776133.2572313081</v>
      </c>
      <c r="D24" s="25">
        <f>BalanceGeneral2011!C25</f>
        <v>7896183.7274040263</v>
      </c>
      <c r="E24" s="28">
        <f t="shared" si="0"/>
        <v>120050.47017271817</v>
      </c>
    </row>
    <row r="25" spans="1:6" x14ac:dyDescent="0.25">
      <c r="A25" s="14" t="s">
        <v>51</v>
      </c>
      <c r="B25" s="15"/>
      <c r="C25" s="26">
        <f>BalanceGenral2010!C25</f>
        <v>-3520830.3514433163</v>
      </c>
      <c r="D25" s="26">
        <f>BalanceGeneral2011!C26</f>
        <v>-4974290.9914358221</v>
      </c>
      <c r="E25" s="28">
        <f t="shared" si="0"/>
        <v>-1453460.6399925058</v>
      </c>
    </row>
    <row r="26" spans="1:6" x14ac:dyDescent="0.25">
      <c r="A26" s="14" t="s">
        <v>26</v>
      </c>
      <c r="B26" s="15"/>
      <c r="C26" s="25">
        <f>SUM(C23:C25)</f>
        <v>4444468.8559169695</v>
      </c>
      <c r="D26" s="25">
        <f>SUM(D23:D25)</f>
        <v>3111058.6860971814</v>
      </c>
      <c r="E26" s="28"/>
    </row>
    <row r="27" spans="1:6" ht="15.75" thickBot="1" x14ac:dyDescent="0.3">
      <c r="A27" s="17" t="s">
        <v>27</v>
      </c>
      <c r="B27" s="15"/>
      <c r="C27" s="27">
        <f>C19+C21+C26</f>
        <v>26712920.640554577</v>
      </c>
      <c r="D27" s="27">
        <f>D19+D21+D26</f>
        <v>15892255.497663468</v>
      </c>
      <c r="E27" s="28"/>
    </row>
    <row r="28" spans="1:6" ht="15.75" thickTop="1" x14ac:dyDescent="0.25">
      <c r="A28" s="14"/>
      <c r="B28" s="15"/>
      <c r="C28" s="25"/>
      <c r="D28" s="25"/>
      <c r="E28" s="28"/>
    </row>
    <row r="29" spans="1:6" x14ac:dyDescent="0.25">
      <c r="A29" s="16" t="s">
        <v>28</v>
      </c>
      <c r="B29" s="15"/>
      <c r="C29" s="25"/>
      <c r="D29" s="25"/>
      <c r="E29" s="28"/>
    </row>
    <row r="30" spans="1:6" x14ac:dyDescent="0.25">
      <c r="A30" s="16" t="s">
        <v>19</v>
      </c>
      <c r="B30" s="15"/>
      <c r="C30" s="25"/>
      <c r="D30" s="25"/>
      <c r="E30" s="28"/>
    </row>
    <row r="31" spans="1:6" x14ac:dyDescent="0.25">
      <c r="A31" s="18" t="s">
        <v>41</v>
      </c>
      <c r="B31" s="15"/>
      <c r="C31" s="25">
        <f>BalanceGenral2010!C31</f>
        <v>1182487.2045028142</v>
      </c>
      <c r="D31" s="25">
        <v>2500000</v>
      </c>
      <c r="E31" s="28">
        <f t="shared" si="0"/>
        <v>1317512.7954971858</v>
      </c>
      <c r="F31" t="s">
        <v>276</v>
      </c>
    </row>
    <row r="32" spans="1:6" x14ac:dyDescent="0.25">
      <c r="A32" s="18" t="s">
        <v>105</v>
      </c>
      <c r="B32" s="15"/>
      <c r="C32" s="25">
        <f>BalanceGenral2010!C32</f>
        <v>224081.26055347093</v>
      </c>
      <c r="D32" s="25">
        <v>56995.979999999996</v>
      </c>
      <c r="E32" s="28">
        <f t="shared" si="0"/>
        <v>-167085.28055347095</v>
      </c>
      <c r="F32" t="s">
        <v>276</v>
      </c>
    </row>
    <row r="33" spans="1:6" x14ac:dyDescent="0.25">
      <c r="A33" s="18" t="s">
        <v>257</v>
      </c>
      <c r="B33" s="15"/>
      <c r="C33" s="25">
        <v>0</v>
      </c>
      <c r="D33" s="25">
        <f>'ER Hist Dic11'!D36</f>
        <v>150108.37</v>
      </c>
      <c r="E33" s="28">
        <f t="shared" si="0"/>
        <v>150108.37</v>
      </c>
    </row>
    <row r="34" spans="1:6" x14ac:dyDescent="0.25">
      <c r="A34" s="18" t="s">
        <v>40</v>
      </c>
      <c r="B34" s="19"/>
      <c r="C34" s="25">
        <f>+BalanceGenral2010!C33</f>
        <v>152006.09521575985</v>
      </c>
      <c r="D34" s="25">
        <v>0</v>
      </c>
      <c r="E34" s="28">
        <f t="shared" si="0"/>
        <v>-152006.09521575985</v>
      </c>
      <c r="F34" t="s">
        <v>276</v>
      </c>
    </row>
    <row r="35" spans="1:6" x14ac:dyDescent="0.25">
      <c r="A35" s="18" t="s">
        <v>42</v>
      </c>
      <c r="B35" s="19"/>
      <c r="C35" s="26">
        <f>+BalanceGenral2010!C34</f>
        <v>126529.88625703566</v>
      </c>
      <c r="D35" s="26">
        <v>1771806.82</v>
      </c>
      <c r="E35" s="28">
        <f t="shared" si="0"/>
        <v>1645276.9337429644</v>
      </c>
    </row>
    <row r="36" spans="1:6" x14ac:dyDescent="0.25">
      <c r="A36" s="18" t="s">
        <v>43</v>
      </c>
      <c r="B36" s="19"/>
      <c r="C36" s="29">
        <f>SUM(C31:C35)</f>
        <v>1685104.4465290809</v>
      </c>
      <c r="D36" s="29">
        <f>SUM(D31:D35)</f>
        <v>4478911.17</v>
      </c>
      <c r="E36" s="28"/>
    </row>
    <row r="37" spans="1:6" x14ac:dyDescent="0.25">
      <c r="A37" s="16" t="s">
        <v>44</v>
      </c>
      <c r="B37" s="19"/>
      <c r="C37" s="28"/>
      <c r="D37" s="28"/>
      <c r="E37" s="28"/>
    </row>
    <row r="38" spans="1:6" x14ac:dyDescent="0.25">
      <c r="A38" s="18" t="s">
        <v>46</v>
      </c>
      <c r="B38" s="19"/>
      <c r="C38" s="25">
        <f>BalanceGenral2010!C37</f>
        <v>198936.43175422138</v>
      </c>
      <c r="D38" s="25">
        <v>184931.39</v>
      </c>
      <c r="E38" s="28">
        <f t="shared" si="0"/>
        <v>-14005.041754221369</v>
      </c>
    </row>
    <row r="39" spans="1:6" x14ac:dyDescent="0.25">
      <c r="A39" s="18" t="s">
        <v>47</v>
      </c>
      <c r="B39" s="19"/>
      <c r="C39" s="26">
        <f>+BalanceGenral2010!C38</f>
        <v>24167677.63250469</v>
      </c>
      <c r="D39" s="26">
        <v>9644518.2899999991</v>
      </c>
      <c r="E39" s="28">
        <f t="shared" si="0"/>
        <v>-14523159.342504691</v>
      </c>
      <c r="F39" t="s">
        <v>276</v>
      </c>
    </row>
    <row r="40" spans="1:6" x14ac:dyDescent="0.25">
      <c r="A40" s="18" t="s">
        <v>45</v>
      </c>
      <c r="B40" s="19"/>
      <c r="C40" s="26">
        <f>SUM(C38:C39)</f>
        <v>24366614.064258911</v>
      </c>
      <c r="D40" s="26">
        <f>SUM(D38:D39)</f>
        <v>9829449.6799999997</v>
      </c>
      <c r="E40" s="28"/>
    </row>
    <row r="41" spans="1:6" ht="15.75" thickBot="1" x14ac:dyDescent="0.3">
      <c r="A41" s="17" t="s">
        <v>29</v>
      </c>
      <c r="B41" s="20"/>
      <c r="C41" s="27">
        <f>C36+C40</f>
        <v>26051718.51078799</v>
      </c>
      <c r="D41" s="27">
        <f>D36+D40</f>
        <v>14308360.85</v>
      </c>
      <c r="E41" s="28"/>
    </row>
    <row r="42" spans="1:6" ht="15.75" thickTop="1" x14ac:dyDescent="0.25">
      <c r="A42" s="14"/>
      <c r="B42" s="15"/>
      <c r="C42" s="25"/>
      <c r="D42" s="25"/>
      <c r="E42" s="28"/>
    </row>
    <row r="43" spans="1:6" x14ac:dyDescent="0.25">
      <c r="A43" s="16" t="s">
        <v>30</v>
      </c>
      <c r="B43" s="15"/>
      <c r="C43" s="25"/>
      <c r="D43" s="25"/>
      <c r="E43" s="28"/>
    </row>
    <row r="44" spans="1:6" x14ac:dyDescent="0.25">
      <c r="A44" s="14" t="s">
        <v>31</v>
      </c>
      <c r="B44" s="15"/>
      <c r="C44" s="25">
        <f>+BalanceGenral2010!C43</f>
        <v>2399128.1839084867</v>
      </c>
      <c r="D44" s="25">
        <f>BalanceGeneral2011!C44</f>
        <v>2515151.5151515151</v>
      </c>
      <c r="E44" s="28">
        <f t="shared" si="0"/>
        <v>116023.3312430284</v>
      </c>
    </row>
    <row r="45" spans="1:6" x14ac:dyDescent="0.25">
      <c r="A45" s="14" t="s">
        <v>106</v>
      </c>
      <c r="B45" s="15"/>
      <c r="C45" s="25">
        <f>+BalanceGenral2010!C45</f>
        <v>2808388.556380515</v>
      </c>
      <c r="D45" s="25">
        <f>BalanceGeneral2011!C46</f>
        <v>-1964410.436972905</v>
      </c>
      <c r="E45" s="28">
        <f t="shared" si="0"/>
        <v>-4772798.9933534199</v>
      </c>
    </row>
    <row r="46" spans="1:6" x14ac:dyDescent="0.25">
      <c r="A46" s="14" t="s">
        <v>33</v>
      </c>
      <c r="B46" s="15"/>
      <c r="C46" s="25">
        <f>+BalanceGenral2010!C46</f>
        <v>74534.284370157169</v>
      </c>
      <c r="D46" s="25">
        <f>BalanceGeneral2011!C47</f>
        <v>181998.54600592976</v>
      </c>
      <c r="E46" s="28">
        <f t="shared" si="0"/>
        <v>107464.26163577259</v>
      </c>
    </row>
    <row r="47" spans="1:6" x14ac:dyDescent="0.25">
      <c r="A47" s="14" t="s">
        <v>107</v>
      </c>
      <c r="B47" s="15"/>
      <c r="C47" s="26">
        <f>+BalanceGenral2010!C47</f>
        <v>-4620848.8948925771</v>
      </c>
      <c r="D47" s="26">
        <f>BalanceGeneral2011!C48</f>
        <v>967178.35472195339</v>
      </c>
      <c r="E47" s="28">
        <f t="shared" si="0"/>
        <v>5588027.2496145302</v>
      </c>
    </row>
    <row r="48" spans="1:6" x14ac:dyDescent="0.25">
      <c r="A48" s="17" t="s">
        <v>34</v>
      </c>
      <c r="B48" s="20"/>
      <c r="C48" s="31">
        <f>SUM(C44:C47)</f>
        <v>661202.12976658158</v>
      </c>
      <c r="D48" s="31">
        <f>SUM(D44:D47)</f>
        <v>1699917.9789064934</v>
      </c>
      <c r="E48" s="28"/>
    </row>
    <row r="49" spans="1:5" ht="15.75" thickBot="1" x14ac:dyDescent="0.3">
      <c r="A49" s="17" t="s">
        <v>35</v>
      </c>
      <c r="B49" s="15"/>
      <c r="C49" s="27">
        <f>SUM(C41+C48)</f>
        <v>26712920.64055457</v>
      </c>
      <c r="D49" s="27">
        <f>SUM(D41+D48)</f>
        <v>16008278.828906493</v>
      </c>
      <c r="E49" s="28"/>
    </row>
    <row r="50" spans="1:5" ht="15.75" thickTop="1" x14ac:dyDescent="0.25">
      <c r="A50" s="14"/>
      <c r="B50" s="15"/>
      <c r="C50" s="15"/>
      <c r="D50" s="15"/>
      <c r="E50" s="82"/>
    </row>
    <row r="51" spans="1:5" x14ac:dyDescent="0.25">
      <c r="A51" s="14"/>
      <c r="B51" s="15"/>
      <c r="C51" s="15"/>
      <c r="D51" s="21"/>
      <c r="E51" s="82"/>
    </row>
    <row r="52" spans="1:5" x14ac:dyDescent="0.25">
      <c r="A52" s="134" t="s">
        <v>16</v>
      </c>
      <c r="B52" s="21"/>
      <c r="C52" s="21"/>
      <c r="D52" s="23"/>
      <c r="E52" s="82"/>
    </row>
    <row r="53" spans="1:5" x14ac:dyDescent="0.25">
      <c r="A53" s="132" t="str">
        <f>A1</f>
        <v>CONAQUIA, S.A.</v>
      </c>
      <c r="B53" s="23"/>
      <c r="C53" s="23"/>
    </row>
  </sheetData>
  <mergeCells count="5">
    <mergeCell ref="A1:D1"/>
    <mergeCell ref="A2:D2"/>
    <mergeCell ref="A3:D3"/>
    <mergeCell ref="C5:C6"/>
    <mergeCell ref="D5:D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D1"/>
    </sheetView>
  </sheetViews>
  <sheetFormatPr baseColWidth="10" defaultRowHeight="15" x14ac:dyDescent="0.25"/>
  <cols>
    <col min="1" max="1" width="51.42578125" customWidth="1"/>
    <col min="2" max="2" width="14.42578125" customWidth="1"/>
    <col min="3" max="3" width="16.28515625" customWidth="1"/>
    <col min="4" max="4" width="16.85546875" customWidth="1"/>
    <col min="6" max="6" width="14.5703125" bestFit="1" customWidth="1"/>
  </cols>
  <sheetData>
    <row r="1" spans="1:6" ht="15.75" x14ac:dyDescent="0.25">
      <c r="A1" s="192" t="s">
        <v>96</v>
      </c>
      <c r="B1" s="192"/>
      <c r="C1" s="192"/>
      <c r="D1" s="192"/>
    </row>
    <row r="2" spans="1:6" x14ac:dyDescent="0.25">
      <c r="A2" s="186" t="s">
        <v>67</v>
      </c>
      <c r="B2" s="186"/>
      <c r="C2" s="186"/>
      <c r="D2" s="186"/>
    </row>
    <row r="3" spans="1:6" x14ac:dyDescent="0.25">
      <c r="A3" s="186" t="s">
        <v>88</v>
      </c>
      <c r="B3" s="186"/>
      <c r="C3" s="186"/>
      <c r="D3" s="186"/>
    </row>
    <row r="4" spans="1:6" x14ac:dyDescent="0.25">
      <c r="A4" s="179" t="s">
        <v>265</v>
      </c>
      <c r="B4" s="179"/>
      <c r="C4" s="179"/>
      <c r="D4" s="179"/>
    </row>
    <row r="5" spans="1:6" x14ac:dyDescent="0.25">
      <c r="A5" s="52"/>
      <c r="B5" s="52"/>
      <c r="C5" s="52"/>
      <c r="D5" s="52"/>
    </row>
    <row r="6" spans="1:6" x14ac:dyDescent="0.25">
      <c r="A6" s="32" t="s">
        <v>68</v>
      </c>
      <c r="B6" s="52"/>
      <c r="C6" s="33"/>
      <c r="D6" s="33"/>
    </row>
    <row r="7" spans="1:6" x14ac:dyDescent="0.25">
      <c r="A7" s="133"/>
      <c r="B7" s="34"/>
      <c r="C7" s="35"/>
      <c r="D7" s="35"/>
    </row>
    <row r="8" spans="1:6" x14ac:dyDescent="0.25">
      <c r="A8" s="16" t="s">
        <v>69</v>
      </c>
      <c r="B8" s="52"/>
      <c r="C8" s="33"/>
      <c r="D8" s="33"/>
    </row>
    <row r="9" spans="1:6" x14ac:dyDescent="0.25">
      <c r="A9" s="14" t="s">
        <v>70</v>
      </c>
      <c r="B9" s="52"/>
      <c r="C9" s="36">
        <f>EdoResultados2011!C11+(BG_Comparat_Rexp!C11-BG_Comparat_Rexp!D11)-BG_Comparat_Rexp!E12-(BG_Comparat_Rexp!C39-BG_Comparat_Rexp!D39)</f>
        <v>8335687.5258286931</v>
      </c>
      <c r="D9" s="36"/>
    </row>
    <row r="10" spans="1:6" x14ac:dyDescent="0.25">
      <c r="A10" s="14" t="s">
        <v>71</v>
      </c>
      <c r="B10" s="52"/>
      <c r="C10" s="36">
        <f>-((EdoResultados2011!B14-(BG_Comparat_Rexp!C13-BG_Comparat_Rexp!D13)+BG_Comparat_Rexp!E15-(BG_Comparat_Rexp!C16-BG_Comparat_Rexp!D16)-BG_Comparat_Rexp!E31+(BG_Comparat_Rexp!C32-BG_Comparat_Rexp!D32)+BG_Comparat_Rexp!C34))</f>
        <v>-7960498.9685664037</v>
      </c>
      <c r="D10" s="36"/>
    </row>
    <row r="11" spans="1:6" x14ac:dyDescent="0.25">
      <c r="A11" s="14" t="s">
        <v>72</v>
      </c>
      <c r="B11" s="52"/>
      <c r="C11" s="36">
        <f>-((EdoResultados2011!B24+EdoResultados2011!B25)-BG_Comparat_Rexp!E35+(BG_Comparat_Rexp!C38-BG_Comparat_Rexp!D38))</f>
        <v>-132367.1417380693</v>
      </c>
      <c r="D11" s="36"/>
    </row>
    <row r="12" spans="1:6" x14ac:dyDescent="0.25">
      <c r="A12" s="14" t="s">
        <v>73</v>
      </c>
      <c r="B12" s="52"/>
      <c r="C12" s="36">
        <f>-((EdoResultados2011!B26+EdoResultados2011!B28+EdoResultados2011!B29+EdoResultados2011!B30+EdoResultados2011!B31+EdoResultados2011!B32+EdoResultados2011!B33+EdoResultados2011!D39)-(BG_Comparat_Rexp!C18-BG_Comparat_Rexp!D18)-BG_Comparat_Rexp!E33)</f>
        <v>-2084513.6393711963</v>
      </c>
      <c r="D12" s="36"/>
    </row>
    <row r="13" spans="1:6" ht="15.75" thickBot="1" x14ac:dyDescent="0.3">
      <c r="A13" s="14" t="s">
        <v>291</v>
      </c>
      <c r="B13" s="52"/>
      <c r="C13" s="36">
        <f>EdoResultados2011!C20</f>
        <v>1614200.588559337</v>
      </c>
      <c r="D13" s="36"/>
    </row>
    <row r="14" spans="1:6" x14ac:dyDescent="0.25">
      <c r="A14" s="189" t="s">
        <v>74</v>
      </c>
      <c r="B14" s="189"/>
      <c r="C14" s="38"/>
      <c r="D14" s="36">
        <f>SUM(C9:C13)</f>
        <v>-227491.63528763922</v>
      </c>
      <c r="F14" s="107"/>
    </row>
    <row r="15" spans="1:6" x14ac:dyDescent="0.25">
      <c r="A15" s="52"/>
      <c r="B15" s="52"/>
      <c r="C15" s="36"/>
      <c r="D15" s="36"/>
    </row>
    <row r="16" spans="1:6" x14ac:dyDescent="0.25">
      <c r="A16" s="16" t="s">
        <v>75</v>
      </c>
      <c r="B16" s="52"/>
      <c r="C16" s="36"/>
      <c r="D16" s="36"/>
    </row>
    <row r="17" spans="1:6" x14ac:dyDescent="0.25">
      <c r="A17" t="s">
        <v>76</v>
      </c>
      <c r="B17" s="52"/>
      <c r="C17" s="36">
        <f>-BG_Comparat_Rexp!E24</f>
        <v>-120050.47017271817</v>
      </c>
      <c r="D17" s="36"/>
    </row>
    <row r="18" spans="1:6" ht="15.75" thickBot="1" x14ac:dyDescent="0.3">
      <c r="A18" s="52" t="s">
        <v>77</v>
      </c>
      <c r="B18" s="52"/>
      <c r="C18" s="36">
        <v>0</v>
      </c>
      <c r="D18" s="36"/>
    </row>
    <row r="19" spans="1:6" x14ac:dyDescent="0.25">
      <c r="A19" s="183" t="s">
        <v>78</v>
      </c>
      <c r="B19" s="183"/>
      <c r="C19" s="38"/>
      <c r="D19" s="36">
        <f>SUM(C17:C18)</f>
        <v>-120050.47017271817</v>
      </c>
    </row>
    <row r="20" spans="1:6" x14ac:dyDescent="0.25">
      <c r="A20" s="52"/>
      <c r="B20" s="52"/>
      <c r="C20" s="39"/>
      <c r="D20" s="36"/>
    </row>
    <row r="21" spans="1:6" x14ac:dyDescent="0.25">
      <c r="A21" s="16" t="s">
        <v>79</v>
      </c>
      <c r="B21" s="52"/>
      <c r="C21" s="36"/>
      <c r="D21" s="36"/>
    </row>
    <row r="22" spans="1:6" ht="15.75" thickBot="1" x14ac:dyDescent="0.3">
      <c r="A22" t="s">
        <v>277</v>
      </c>
      <c r="B22" s="52"/>
      <c r="C22" s="36">
        <f>'Calculos 2011'!G318</f>
        <v>-151950.09846084198</v>
      </c>
      <c r="D22" s="36"/>
    </row>
    <row r="23" spans="1:6" ht="15.75" thickBot="1" x14ac:dyDescent="0.3">
      <c r="A23" s="189" t="s">
        <v>80</v>
      </c>
      <c r="B23" s="189"/>
      <c r="C23" s="38"/>
      <c r="D23" s="40">
        <f>SUM(C22:C22)</f>
        <v>-151950.09846084198</v>
      </c>
    </row>
    <row r="24" spans="1:6" ht="15.75" thickTop="1" x14ac:dyDescent="0.25">
      <c r="A24" s="52"/>
      <c r="B24" s="52"/>
      <c r="C24" s="41"/>
      <c r="D24" s="36"/>
    </row>
    <row r="25" spans="1:6" ht="15.75" x14ac:dyDescent="0.25">
      <c r="A25" s="42" t="s">
        <v>81</v>
      </c>
      <c r="B25" s="43"/>
      <c r="C25" s="44"/>
      <c r="D25" s="44">
        <f>SUM(D14:D23)</f>
        <v>-499492.20392119937</v>
      </c>
    </row>
    <row r="26" spans="1:6" x14ac:dyDescent="0.25">
      <c r="A26" s="52"/>
      <c r="B26" s="52"/>
      <c r="C26" s="36"/>
      <c r="D26" s="36"/>
    </row>
    <row r="27" spans="1:6" ht="15.75" thickBot="1" x14ac:dyDescent="0.3">
      <c r="A27" s="136" t="s">
        <v>82</v>
      </c>
      <c r="B27" s="52"/>
      <c r="C27" s="36"/>
      <c r="D27" s="36">
        <f>BG_Comparat_Rexp!C9</f>
        <v>895194.52392120077</v>
      </c>
    </row>
    <row r="28" spans="1:6" ht="15.75" thickTop="1" x14ac:dyDescent="0.25">
      <c r="A28" s="52"/>
      <c r="B28" s="52"/>
      <c r="C28" s="36"/>
      <c r="D28" s="46"/>
    </row>
    <row r="29" spans="1:6" x14ac:dyDescent="0.25">
      <c r="A29" s="190" t="s">
        <v>83</v>
      </c>
      <c r="B29" s="190"/>
      <c r="C29" s="47"/>
      <c r="D29" s="47">
        <f>SUM(D25:D27)</f>
        <v>395702.3200000014</v>
      </c>
      <c r="F29" s="107"/>
    </row>
    <row r="30" spans="1:6" x14ac:dyDescent="0.25">
      <c r="A30" s="135"/>
      <c r="B30" s="135"/>
      <c r="C30" s="47"/>
      <c r="D30" s="47"/>
    </row>
    <row r="31" spans="1:6" x14ac:dyDescent="0.25">
      <c r="A31" s="49" t="s">
        <v>84</v>
      </c>
      <c r="B31" s="52"/>
      <c r="C31" s="36"/>
      <c r="D31" s="36"/>
    </row>
    <row r="32" spans="1:6" x14ac:dyDescent="0.25">
      <c r="A32" s="49" t="s">
        <v>85</v>
      </c>
      <c r="B32" s="52"/>
      <c r="C32" s="36"/>
      <c r="D32" s="36"/>
    </row>
    <row r="33" spans="1:4" x14ac:dyDescent="0.25">
      <c r="A33" s="190" t="s">
        <v>32</v>
      </c>
      <c r="B33" s="190"/>
      <c r="C33" s="47"/>
      <c r="D33" s="47">
        <f>EdoResultados2011!D40</f>
        <v>1074642.616357726</v>
      </c>
    </row>
    <row r="34" spans="1:4" x14ac:dyDescent="0.25">
      <c r="A34" s="52" t="s">
        <v>86</v>
      </c>
      <c r="B34" s="135"/>
      <c r="C34" s="47"/>
      <c r="D34" s="36">
        <f>EdoResultados2011!B27</f>
        <v>1453460.6399925058</v>
      </c>
    </row>
    <row r="35" spans="1:4" x14ac:dyDescent="0.25">
      <c r="A35" t="s">
        <v>300</v>
      </c>
      <c r="B35" s="135"/>
      <c r="C35" s="47"/>
      <c r="D35" s="36">
        <f>BG_Comparat_Rexp!C11-BG_Comparat_Rexp!D11</f>
        <v>1238082.2958442783</v>
      </c>
    </row>
    <row r="36" spans="1:4" x14ac:dyDescent="0.25">
      <c r="A36" t="s">
        <v>279</v>
      </c>
      <c r="B36" s="135"/>
      <c r="C36" s="47"/>
      <c r="D36" s="36">
        <f>-BG_Comparat_Rexp!E12</f>
        <v>-10507.232232645387</v>
      </c>
    </row>
    <row r="37" spans="1:4" x14ac:dyDescent="0.25">
      <c r="A37" t="s">
        <v>301</v>
      </c>
      <c r="B37" s="135"/>
      <c r="C37" s="47"/>
      <c r="D37" s="36">
        <f>BG_Comparat_Rexp!C13-BG_Comparat_Rexp!D13</f>
        <v>28764.100487804739</v>
      </c>
    </row>
    <row r="38" spans="1:4" x14ac:dyDescent="0.25">
      <c r="A38" t="s">
        <v>281</v>
      </c>
      <c r="B38" s="133"/>
      <c r="C38" s="50"/>
      <c r="D38" s="36">
        <f>-BG_Comparat_Rexp!E15</f>
        <v>-2589475.5507560624</v>
      </c>
    </row>
    <row r="39" spans="1:4" x14ac:dyDescent="0.25">
      <c r="A39" t="s">
        <v>282</v>
      </c>
      <c r="B39" s="133"/>
      <c r="C39" s="50"/>
      <c r="D39" s="36">
        <f>BG_Comparat_Rexp!C16-BG_Comparat_Rexp!D16</f>
        <v>9345945.7506754138</v>
      </c>
    </row>
    <row r="40" spans="1:4" x14ac:dyDescent="0.25">
      <c r="A40" t="s">
        <v>283</v>
      </c>
      <c r="B40" s="133"/>
      <c r="C40" s="50"/>
      <c r="D40" s="36">
        <f>BG_Comparat_Rexp!C18-BG_Comparat_Rexp!D18</f>
        <v>974953.40513133211</v>
      </c>
    </row>
    <row r="41" spans="1:4" x14ac:dyDescent="0.25">
      <c r="A41" t="s">
        <v>284</v>
      </c>
      <c r="B41" s="133"/>
      <c r="C41" s="50"/>
      <c r="D41" s="36">
        <f>BG_Comparat_Rexp!E31</f>
        <v>1317512.7954971858</v>
      </c>
    </row>
    <row r="42" spans="1:4" x14ac:dyDescent="0.25">
      <c r="A42" t="s">
        <v>285</v>
      </c>
      <c r="B42" s="133"/>
      <c r="C42" s="50"/>
      <c r="D42" s="36">
        <f>BG_Comparat_Rexp!E32</f>
        <v>-167085.28055347095</v>
      </c>
    </row>
    <row r="43" spans="1:4" x14ac:dyDescent="0.25">
      <c r="A43" t="s">
        <v>286</v>
      </c>
      <c r="B43" s="133"/>
      <c r="C43" s="50"/>
      <c r="D43" s="36">
        <f>BG_Comparat_Rexp!E33</f>
        <v>150108.37</v>
      </c>
    </row>
    <row r="44" spans="1:4" x14ac:dyDescent="0.25">
      <c r="A44" t="s">
        <v>287</v>
      </c>
      <c r="B44" s="133"/>
      <c r="C44" s="50"/>
      <c r="D44" s="36">
        <f>BG_Comparat_Rexp!E34</f>
        <v>-152006.09521575985</v>
      </c>
    </row>
    <row r="45" spans="1:4" x14ac:dyDescent="0.25">
      <c r="A45" t="s">
        <v>288</v>
      </c>
      <c r="B45" s="133"/>
      <c r="C45" s="50"/>
      <c r="D45" s="36">
        <f>BG_Comparat_Rexp!E35</f>
        <v>1645276.9337429644</v>
      </c>
    </row>
    <row r="46" spans="1:4" x14ac:dyDescent="0.25">
      <c r="A46" t="s">
        <v>302</v>
      </c>
      <c r="B46" s="133"/>
      <c r="C46" s="50"/>
      <c r="D46" s="36">
        <f>BG_Comparat_Rexp!E38</f>
        <v>-14005.041754221369</v>
      </c>
    </row>
    <row r="47" spans="1:4" ht="15.75" thickBot="1" x14ac:dyDescent="0.3">
      <c r="A47" t="s">
        <v>290</v>
      </c>
      <c r="B47" s="52"/>
      <c r="C47" s="36"/>
      <c r="D47" s="40">
        <f>BG_Comparat_Rexp!E39</f>
        <v>-14523159.342504691</v>
      </c>
    </row>
    <row r="48" spans="1:4" ht="15.75" thickTop="1" x14ac:dyDescent="0.25">
      <c r="A48" s="191" t="s">
        <v>87</v>
      </c>
      <c r="B48" s="191"/>
      <c r="C48" s="36"/>
      <c r="D48" s="51">
        <f>SUM(D33:D47)</f>
        <v>-227491.63528764062</v>
      </c>
    </row>
    <row r="51" spans="1:4" ht="15.75" x14ac:dyDescent="0.25">
      <c r="A51" s="178" t="s">
        <v>292</v>
      </c>
      <c r="B51" s="178"/>
      <c r="C51" s="178"/>
      <c r="D51" s="178"/>
    </row>
    <row r="52" spans="1:4" x14ac:dyDescent="0.25">
      <c r="A52" s="190" t="s">
        <v>293</v>
      </c>
      <c r="B52" s="190"/>
      <c r="C52" s="190"/>
      <c r="D52" s="190"/>
    </row>
    <row r="53" spans="1:4" x14ac:dyDescent="0.25">
      <c r="A53" s="52"/>
      <c r="B53" s="149" t="s">
        <v>294</v>
      </c>
      <c r="C53" s="149" t="s">
        <v>124</v>
      </c>
      <c r="D53" s="150" t="s">
        <v>295</v>
      </c>
    </row>
    <row r="54" spans="1:4" x14ac:dyDescent="0.25">
      <c r="A54" s="52" t="s">
        <v>296</v>
      </c>
      <c r="B54" s="141">
        <f>'EFE Hist Dic11'!D13</f>
        <v>-75287.269999996992</v>
      </c>
      <c r="C54" s="141">
        <f>D14</f>
        <v>-227491.63528763922</v>
      </c>
      <c r="D54" s="141">
        <f>C54-B54</f>
        <v>-152204.36528764223</v>
      </c>
    </row>
    <row r="55" spans="1:4" x14ac:dyDescent="0.25">
      <c r="A55" s="52" t="s">
        <v>297</v>
      </c>
      <c r="B55" s="141">
        <f>'EFE Hist Dic11'!D18</f>
        <v>-100972.93999999994</v>
      </c>
      <c r="C55" s="141">
        <f>D19</f>
        <v>-120050.47017271817</v>
      </c>
      <c r="D55" s="141">
        <f>C55-B55</f>
        <v>-19077.530172718223</v>
      </c>
    </row>
    <row r="56" spans="1:4" x14ac:dyDescent="0.25">
      <c r="A56" s="52" t="s">
        <v>298</v>
      </c>
      <c r="B56" s="141">
        <f>'EFE Hist Dic11'!D22</f>
        <v>-122057.37</v>
      </c>
      <c r="C56" s="141">
        <f>D23</f>
        <v>-151950.09846084198</v>
      </c>
      <c r="D56" s="141">
        <f>C56-B56</f>
        <v>-29892.728460841987</v>
      </c>
    </row>
    <row r="57" spans="1:4" ht="15.75" thickBot="1" x14ac:dyDescent="0.3">
      <c r="A57" s="52" t="s">
        <v>299</v>
      </c>
      <c r="B57" s="151">
        <f>'EFE Hist Dic11'!D26</f>
        <v>694019.9</v>
      </c>
      <c r="C57" s="151">
        <f>D27</f>
        <v>895194.52392120077</v>
      </c>
      <c r="D57" s="151">
        <f>C57-B57</f>
        <v>201174.62392120075</v>
      </c>
    </row>
    <row r="58" spans="1:4" ht="15.75" thickBot="1" x14ac:dyDescent="0.3">
      <c r="A58" s="133" t="s">
        <v>133</v>
      </c>
      <c r="B58" s="152">
        <f>SUM(B54:B57)</f>
        <v>395702.32000000309</v>
      </c>
      <c r="C58" s="152">
        <f>SUM(C54:C57)</f>
        <v>395702.3200000014</v>
      </c>
      <c r="D58" s="152">
        <f>SUM(D54:D57)</f>
        <v>-1.6880221664905548E-9</v>
      </c>
    </row>
    <row r="59" spans="1:4" ht="15.75" thickTop="1" x14ac:dyDescent="0.25"/>
    <row r="60" spans="1:4" x14ac:dyDescent="0.25">
      <c r="A60" s="134" t="s">
        <v>16</v>
      </c>
    </row>
    <row r="61" spans="1:4" x14ac:dyDescent="0.25">
      <c r="A61" s="132" t="str">
        <f>A1</f>
        <v>CONAQUIA, S.A.</v>
      </c>
    </row>
  </sheetData>
  <mergeCells count="12">
    <mergeCell ref="A1:D1"/>
    <mergeCell ref="A2:D2"/>
    <mergeCell ref="A3:D3"/>
    <mergeCell ref="A4:D4"/>
    <mergeCell ref="A14:B14"/>
    <mergeCell ref="A51:D51"/>
    <mergeCell ref="A52:D52"/>
    <mergeCell ref="A19:B19"/>
    <mergeCell ref="A23:B23"/>
    <mergeCell ref="A29:B29"/>
    <mergeCell ref="A33:B33"/>
    <mergeCell ref="A48:B4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1"/>
    </sheetView>
  </sheetViews>
  <sheetFormatPr baseColWidth="10" defaultRowHeight="15" x14ac:dyDescent="0.25"/>
  <cols>
    <col min="1" max="1" width="22.140625" customWidth="1"/>
    <col min="2" max="2" width="16.42578125" customWidth="1"/>
    <col min="3" max="3" width="16.140625" customWidth="1"/>
    <col min="4" max="5" width="15" customWidth="1"/>
    <col min="6" max="6" width="16.85546875" customWidth="1"/>
  </cols>
  <sheetData>
    <row r="1" spans="1:6" ht="15.75" x14ac:dyDescent="0.25">
      <c r="A1" s="192" t="s">
        <v>96</v>
      </c>
      <c r="B1" s="192"/>
      <c r="C1" s="192"/>
      <c r="D1" s="192"/>
      <c r="E1" s="192"/>
      <c r="F1" s="192"/>
    </row>
    <row r="2" spans="1:6" x14ac:dyDescent="0.25">
      <c r="A2" s="186" t="s">
        <v>89</v>
      </c>
      <c r="B2" s="186"/>
      <c r="C2" s="186"/>
      <c r="D2" s="186"/>
      <c r="E2" s="186"/>
      <c r="F2" s="186"/>
    </row>
    <row r="3" spans="1:6" x14ac:dyDescent="0.25">
      <c r="A3" s="186" t="s">
        <v>88</v>
      </c>
      <c r="B3" s="186"/>
      <c r="C3" s="186"/>
      <c r="D3" s="186"/>
      <c r="E3" s="186"/>
      <c r="F3" s="186"/>
    </row>
    <row r="4" spans="1:6" x14ac:dyDescent="0.25">
      <c r="A4" s="179" t="s">
        <v>265</v>
      </c>
      <c r="B4" s="179"/>
      <c r="C4" s="179"/>
      <c r="D4" s="179"/>
      <c r="E4" s="179"/>
      <c r="F4" s="179"/>
    </row>
    <row r="5" spans="1:6" x14ac:dyDescent="0.25">
      <c r="A5" s="52"/>
      <c r="B5" s="52"/>
      <c r="C5" s="52"/>
      <c r="D5" s="52"/>
      <c r="E5" s="52"/>
      <c r="F5" s="52"/>
    </row>
    <row r="6" spans="1:6" x14ac:dyDescent="0.25">
      <c r="A6" s="52"/>
      <c r="B6" s="52"/>
      <c r="C6" s="52"/>
      <c r="D6" s="52"/>
      <c r="E6" s="52"/>
      <c r="F6" s="52"/>
    </row>
    <row r="7" spans="1:6" x14ac:dyDescent="0.25">
      <c r="A7" s="52"/>
      <c r="B7" s="52"/>
      <c r="C7" s="52"/>
      <c r="D7" s="52"/>
      <c r="E7" s="52"/>
      <c r="F7" s="52"/>
    </row>
    <row r="8" spans="1:6" x14ac:dyDescent="0.25">
      <c r="A8" s="52"/>
      <c r="B8" s="52"/>
      <c r="C8" s="52"/>
      <c r="D8" s="52"/>
      <c r="E8" s="52"/>
      <c r="F8" s="52"/>
    </row>
    <row r="9" spans="1:6" x14ac:dyDescent="0.25">
      <c r="A9" s="52"/>
      <c r="B9" s="52"/>
      <c r="C9" s="52"/>
      <c r="D9" s="52"/>
      <c r="E9" s="52"/>
      <c r="F9" s="52"/>
    </row>
    <row r="10" spans="1:6" x14ac:dyDescent="0.25">
      <c r="A10" s="52"/>
      <c r="B10" s="52"/>
      <c r="C10" s="52"/>
      <c r="D10" s="52"/>
      <c r="E10" s="52"/>
      <c r="F10" s="52"/>
    </row>
    <row r="11" spans="1:6" x14ac:dyDescent="0.25">
      <c r="A11" s="52"/>
      <c r="B11" s="52"/>
      <c r="C11" s="52"/>
      <c r="D11" s="52"/>
      <c r="E11" s="52"/>
      <c r="F11" s="52"/>
    </row>
    <row r="12" spans="1:6" ht="15.75" thickBot="1" x14ac:dyDescent="0.3">
      <c r="A12" s="52"/>
      <c r="B12" s="52"/>
      <c r="C12" s="52"/>
      <c r="D12" s="52"/>
      <c r="E12" s="52"/>
      <c r="F12" s="52"/>
    </row>
    <row r="13" spans="1:6" ht="45.75" thickBot="1" x14ac:dyDescent="0.3">
      <c r="A13" s="53" t="s">
        <v>90</v>
      </c>
      <c r="B13" s="54" t="s">
        <v>31</v>
      </c>
      <c r="C13" s="54" t="s">
        <v>48</v>
      </c>
      <c r="D13" s="54" t="s">
        <v>33</v>
      </c>
      <c r="E13" s="54" t="s">
        <v>303</v>
      </c>
      <c r="F13" s="55" t="s">
        <v>92</v>
      </c>
    </row>
    <row r="14" spans="1:6" x14ac:dyDescent="0.25">
      <c r="A14" s="56"/>
      <c r="B14" s="57"/>
      <c r="C14" s="57"/>
      <c r="D14" s="57"/>
      <c r="E14" s="57"/>
      <c r="F14" s="58"/>
    </row>
    <row r="15" spans="1:6" x14ac:dyDescent="0.25">
      <c r="A15" s="59" t="s">
        <v>95</v>
      </c>
      <c r="B15" s="60">
        <f>BalanceGenral2010!C43</f>
        <v>2399128.1839084867</v>
      </c>
      <c r="C15" s="60">
        <f>BalanceGenral2010!C45+BalanceGenral2010!C47</f>
        <v>-1812460.3385120621</v>
      </c>
      <c r="D15" s="60">
        <f>BalanceGenral2010!C46</f>
        <v>74534.284370157169</v>
      </c>
      <c r="E15" s="60">
        <v>0</v>
      </c>
      <c r="F15" s="61">
        <f>SUM(B15:E15)</f>
        <v>661202.12976658181</v>
      </c>
    </row>
    <row r="16" spans="1:6" x14ac:dyDescent="0.25">
      <c r="A16" s="62"/>
      <c r="B16" s="60"/>
      <c r="C16" s="60"/>
      <c r="D16" s="60"/>
      <c r="E16" s="60"/>
      <c r="F16" s="61"/>
    </row>
    <row r="17" spans="1:6" x14ac:dyDescent="0.25">
      <c r="A17" s="62" t="s">
        <v>93</v>
      </c>
      <c r="B17" s="60">
        <v>0</v>
      </c>
      <c r="C17" s="60">
        <f>EdoResultados2011!D43</f>
        <v>967178.35472195339</v>
      </c>
      <c r="D17" s="60"/>
      <c r="E17" s="60">
        <v>0</v>
      </c>
      <c r="F17" s="61">
        <f>SUM(B17:E17)</f>
        <v>967178.35472195339</v>
      </c>
    </row>
    <row r="18" spans="1:6" x14ac:dyDescent="0.25">
      <c r="A18" s="62"/>
      <c r="B18" s="60"/>
      <c r="C18" s="60"/>
      <c r="D18" s="60"/>
      <c r="E18" s="60"/>
      <c r="F18" s="61"/>
    </row>
    <row r="19" spans="1:6" x14ac:dyDescent="0.25">
      <c r="A19" s="147" t="s">
        <v>273</v>
      </c>
      <c r="B19" s="60"/>
      <c r="C19" s="60">
        <f>'Calculos 2011'!G318</f>
        <v>-151950.09846084198</v>
      </c>
      <c r="D19" s="60"/>
      <c r="E19" s="60"/>
      <c r="F19" s="61">
        <f>SUM(B19:E19)</f>
        <v>-151950.09846084198</v>
      </c>
    </row>
    <row r="20" spans="1:6" x14ac:dyDescent="0.25">
      <c r="A20" s="62"/>
      <c r="B20" s="60"/>
      <c r="C20" s="60"/>
      <c r="D20" s="60"/>
      <c r="E20" s="60"/>
      <c r="F20" s="61"/>
    </row>
    <row r="21" spans="1:6" x14ac:dyDescent="0.25">
      <c r="A21" s="62" t="s">
        <v>94</v>
      </c>
      <c r="B21" s="60"/>
      <c r="C21" s="60"/>
      <c r="D21" s="60">
        <f>'Calculos 2011'!G328</f>
        <v>107464.26163577261</v>
      </c>
      <c r="E21" s="60">
        <v>0</v>
      </c>
      <c r="F21" s="61">
        <f>SUM(B21:E21)</f>
        <v>107464.26163577261</v>
      </c>
    </row>
    <row r="22" spans="1:6" ht="15.75" thickBot="1" x14ac:dyDescent="0.3">
      <c r="A22" s="63"/>
      <c r="B22" s="64"/>
      <c r="C22" s="64"/>
      <c r="D22" s="64"/>
      <c r="E22" s="64"/>
      <c r="F22" s="61"/>
    </row>
    <row r="23" spans="1:6" ht="16.5" thickBot="1" x14ac:dyDescent="0.3">
      <c r="A23" s="65" t="s">
        <v>274</v>
      </c>
      <c r="B23" s="66">
        <f>SUM(B15:B21)</f>
        <v>2399128.1839084867</v>
      </c>
      <c r="C23" s="66">
        <f>SUM(C15:C21)</f>
        <v>-997232.08225095063</v>
      </c>
      <c r="D23" s="66">
        <f>SUM(D15:D21)</f>
        <v>181998.54600592976</v>
      </c>
      <c r="E23" s="66">
        <f>SUM(E15:E21)</f>
        <v>0</v>
      </c>
      <c r="F23" s="67">
        <f>SUM(F15:F21)</f>
        <v>1583894.6476634659</v>
      </c>
    </row>
    <row r="24" spans="1:6" x14ac:dyDescent="0.25">
      <c r="A24" s="68"/>
      <c r="B24" s="69"/>
      <c r="C24" s="69"/>
      <c r="D24" s="69"/>
      <c r="E24" s="69"/>
      <c r="F24" s="70"/>
    </row>
    <row r="25" spans="1:6" x14ac:dyDescent="0.25">
      <c r="A25" s="68"/>
      <c r="B25" s="69"/>
      <c r="C25" s="69"/>
      <c r="D25" s="69"/>
      <c r="E25" s="69"/>
      <c r="F25" s="70"/>
    </row>
    <row r="26" spans="1:6" x14ac:dyDescent="0.25">
      <c r="A26" s="68"/>
      <c r="B26" s="69"/>
      <c r="C26" s="69"/>
      <c r="D26" s="69"/>
      <c r="E26" s="69"/>
      <c r="F26" s="70"/>
    </row>
    <row r="27" spans="1:6" x14ac:dyDescent="0.25">
      <c r="A27" s="68"/>
      <c r="B27" s="69"/>
      <c r="C27" s="69"/>
      <c r="D27" s="69"/>
      <c r="E27" s="69"/>
      <c r="F27" s="70"/>
    </row>
    <row r="28" spans="1:6" x14ac:dyDescent="0.25">
      <c r="A28" s="68"/>
      <c r="B28" s="69"/>
      <c r="C28" s="69"/>
      <c r="D28" s="69"/>
      <c r="E28" s="69"/>
      <c r="F28" s="70"/>
    </row>
    <row r="29" spans="1:6" x14ac:dyDescent="0.25">
      <c r="A29" s="68"/>
      <c r="B29" s="69"/>
      <c r="C29" s="69"/>
      <c r="D29" s="69"/>
      <c r="E29" s="69"/>
      <c r="F29" s="70"/>
    </row>
    <row r="30" spans="1:6" x14ac:dyDescent="0.25">
      <c r="A30" s="68"/>
      <c r="B30" s="69"/>
      <c r="C30" s="69"/>
      <c r="D30" s="69"/>
      <c r="E30" s="69"/>
      <c r="F30" s="70"/>
    </row>
    <row r="31" spans="1:6" x14ac:dyDescent="0.25">
      <c r="A31" s="52"/>
      <c r="B31" s="52"/>
      <c r="C31" s="52"/>
      <c r="D31" s="52"/>
      <c r="E31" s="52"/>
      <c r="F31" s="52"/>
    </row>
    <row r="36" spans="2:6" x14ac:dyDescent="0.25">
      <c r="B36" s="71" t="s">
        <v>16</v>
      </c>
    </row>
    <row r="37" spans="2:6" x14ac:dyDescent="0.25">
      <c r="B37" s="72" t="str">
        <f>A1</f>
        <v>CONAQUIA, S.A.</v>
      </c>
      <c r="C37" s="73"/>
      <c r="D37" s="73"/>
      <c r="E37" s="73"/>
      <c r="F37" s="73"/>
    </row>
    <row r="38" spans="2:6" x14ac:dyDescent="0.25">
      <c r="B38" s="74"/>
      <c r="C38" s="74"/>
      <c r="D38" s="74"/>
      <c r="E38" s="74"/>
      <c r="F38" s="74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7"/>
  <sheetViews>
    <sheetView tabSelected="1" topLeftCell="R1" zoomScale="112" zoomScaleNormal="112" workbookViewId="0">
      <selection activeCell="S18" sqref="S18"/>
    </sheetView>
  </sheetViews>
  <sheetFormatPr baseColWidth="10" defaultRowHeight="12.75" x14ac:dyDescent="0.2"/>
  <cols>
    <col min="1" max="1" width="26.140625" style="34" customWidth="1"/>
    <col min="2" max="13" width="14.5703125" style="34" bestFit="1" customWidth="1"/>
    <col min="14" max="14" width="15.7109375" style="34" bestFit="1" customWidth="1"/>
    <col min="15" max="26" width="14.5703125" style="34" bestFit="1" customWidth="1"/>
    <col min="27" max="27" width="15.7109375" style="34" bestFit="1" customWidth="1"/>
    <col min="28" max="16384" width="11.42578125" style="34"/>
  </cols>
  <sheetData>
    <row r="2" spans="1:27" s="156" customFormat="1" ht="18.75" customHeight="1" x14ac:dyDescent="0.2">
      <c r="B2" s="194" t="s">
        <v>305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68"/>
      <c r="O2" s="194" t="s">
        <v>305</v>
      </c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68"/>
    </row>
    <row r="3" spans="1:27" s="156" customFormat="1" ht="12.75" customHeight="1" x14ac:dyDescent="0.2">
      <c r="B3" s="157"/>
      <c r="C3" s="157"/>
      <c r="D3" s="157"/>
      <c r="E3" s="157"/>
      <c r="F3" s="157"/>
      <c r="G3" s="157"/>
      <c r="H3" s="157"/>
      <c r="I3" s="157"/>
      <c r="J3" s="157"/>
      <c r="K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AA3" s="157"/>
    </row>
    <row r="4" spans="1:27" s="156" customFormat="1" ht="18.75" x14ac:dyDescent="0.2">
      <c r="B4" s="195" t="s">
        <v>306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69"/>
      <c r="O4" s="195" t="s">
        <v>306</v>
      </c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69"/>
    </row>
    <row r="5" spans="1:27" x14ac:dyDescent="0.2"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 ht="13.5" thickBot="1" x14ac:dyDescent="0.25"/>
    <row r="7" spans="1:27" s="159" customFormat="1" ht="18.75" x14ac:dyDescent="0.3">
      <c r="A7" s="196" t="s">
        <v>90</v>
      </c>
      <c r="B7" s="198" t="s">
        <v>418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200" t="s">
        <v>128</v>
      </c>
      <c r="O7" s="198" t="s">
        <v>307</v>
      </c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200" t="s">
        <v>128</v>
      </c>
    </row>
    <row r="8" spans="1:27" s="159" customFormat="1" ht="16.5" thickBot="1" x14ac:dyDescent="0.3">
      <c r="A8" s="197"/>
      <c r="B8" s="160" t="s">
        <v>308</v>
      </c>
      <c r="C8" s="160" t="s">
        <v>309</v>
      </c>
      <c r="D8" s="160" t="s">
        <v>310</v>
      </c>
      <c r="E8" s="160" t="s">
        <v>311</v>
      </c>
      <c r="F8" s="160" t="s">
        <v>312</v>
      </c>
      <c r="G8" s="160" t="s">
        <v>313</v>
      </c>
      <c r="H8" s="160" t="s">
        <v>314</v>
      </c>
      <c r="I8" s="160" t="s">
        <v>315</v>
      </c>
      <c r="J8" s="160" t="s">
        <v>316</v>
      </c>
      <c r="K8" s="160" t="s">
        <v>317</v>
      </c>
      <c r="L8" s="160" t="s">
        <v>318</v>
      </c>
      <c r="M8" s="160" t="s">
        <v>319</v>
      </c>
      <c r="N8" s="201"/>
      <c r="O8" s="160" t="s">
        <v>308</v>
      </c>
      <c r="P8" s="160" t="s">
        <v>309</v>
      </c>
      <c r="Q8" s="160" t="s">
        <v>310</v>
      </c>
      <c r="R8" s="160" t="s">
        <v>311</v>
      </c>
      <c r="S8" s="160" t="s">
        <v>312</v>
      </c>
      <c r="T8" s="160" t="s">
        <v>313</v>
      </c>
      <c r="U8" s="160" t="s">
        <v>314</v>
      </c>
      <c r="V8" s="160" t="s">
        <v>315</v>
      </c>
      <c r="W8" s="160" t="s">
        <v>316</v>
      </c>
      <c r="X8" s="160" t="s">
        <v>317</v>
      </c>
      <c r="Y8" s="160" t="s">
        <v>318</v>
      </c>
      <c r="Z8" s="161" t="s">
        <v>319</v>
      </c>
      <c r="AA8" s="201"/>
    </row>
    <row r="9" spans="1:27" x14ac:dyDescent="0.2">
      <c r="A9" s="162" t="s">
        <v>320</v>
      </c>
      <c r="B9" s="163">
        <v>15537</v>
      </c>
      <c r="C9" s="163">
        <v>11218</v>
      </c>
      <c r="D9" s="163">
        <v>5314</v>
      </c>
      <c r="E9" s="163">
        <v>8335</v>
      </c>
      <c r="F9" s="163">
        <v>18875</v>
      </c>
      <c r="G9" s="163">
        <v>8479</v>
      </c>
      <c r="H9" s="163">
        <v>6174</v>
      </c>
      <c r="I9" s="163">
        <v>18174</v>
      </c>
      <c r="J9" s="163">
        <v>18107</v>
      </c>
      <c r="K9" s="163">
        <v>17977</v>
      </c>
      <c r="L9" s="163">
        <v>8761</v>
      </c>
      <c r="M9" s="163">
        <v>9622</v>
      </c>
      <c r="N9" s="163">
        <f>SUM(B9:M9)</f>
        <v>146573</v>
      </c>
      <c r="O9" s="163">
        <v>6854</v>
      </c>
      <c r="P9" s="163">
        <v>15438</v>
      </c>
      <c r="Q9" s="163">
        <v>9370</v>
      </c>
      <c r="R9" s="163">
        <v>19079</v>
      </c>
      <c r="S9" s="163">
        <v>16435</v>
      </c>
      <c r="T9" s="163">
        <v>6726</v>
      </c>
      <c r="U9" s="163">
        <v>8166</v>
      </c>
      <c r="V9" s="163">
        <v>9668</v>
      </c>
      <c r="W9" s="163">
        <v>19464</v>
      </c>
      <c r="X9" s="163">
        <v>15084</v>
      </c>
      <c r="Y9" s="163">
        <v>12459</v>
      </c>
      <c r="Z9" s="164">
        <v>8244</v>
      </c>
      <c r="AA9" s="163">
        <f>SUM(O9:Z9)</f>
        <v>146987</v>
      </c>
    </row>
    <row r="10" spans="1:27" x14ac:dyDescent="0.2">
      <c r="A10" s="162" t="s">
        <v>321</v>
      </c>
      <c r="B10" s="165">
        <v>12746</v>
      </c>
      <c r="C10" s="165">
        <v>14730</v>
      </c>
      <c r="D10" s="165">
        <v>13412</v>
      </c>
      <c r="E10" s="165">
        <v>10138</v>
      </c>
      <c r="F10" s="165">
        <v>10749</v>
      </c>
      <c r="G10" s="165">
        <v>16513</v>
      </c>
      <c r="H10" s="165">
        <v>15374</v>
      </c>
      <c r="I10" s="165">
        <v>17282</v>
      </c>
      <c r="J10" s="165">
        <v>15451</v>
      </c>
      <c r="K10" s="165">
        <v>13975</v>
      </c>
      <c r="L10" s="165">
        <v>15361</v>
      </c>
      <c r="M10" s="165">
        <v>17377</v>
      </c>
      <c r="N10" s="165">
        <f>SUM(B10:M10)</f>
        <v>173108</v>
      </c>
      <c r="O10" s="165">
        <v>13901</v>
      </c>
      <c r="P10" s="165">
        <v>14022</v>
      </c>
      <c r="Q10" s="165">
        <v>5834</v>
      </c>
      <c r="R10" s="165">
        <v>17019</v>
      </c>
      <c r="S10" s="165">
        <v>11207</v>
      </c>
      <c r="T10" s="165">
        <v>6925</v>
      </c>
      <c r="U10" s="165">
        <v>13134</v>
      </c>
      <c r="V10" s="165">
        <v>10521</v>
      </c>
      <c r="W10" s="165">
        <v>6815</v>
      </c>
      <c r="X10" s="165">
        <v>9265</v>
      </c>
      <c r="Y10" s="165">
        <v>17335</v>
      </c>
      <c r="Z10" s="164">
        <v>17559</v>
      </c>
      <c r="AA10" s="165">
        <f>SUM(O10:Z10)</f>
        <v>143537</v>
      </c>
    </row>
    <row r="11" spans="1:27" x14ac:dyDescent="0.2">
      <c r="A11" s="162" t="s">
        <v>322</v>
      </c>
      <c r="B11" s="165">
        <v>6916</v>
      </c>
      <c r="C11" s="165">
        <v>15957</v>
      </c>
      <c r="D11" s="165">
        <v>19591</v>
      </c>
      <c r="E11" s="165">
        <v>9432</v>
      </c>
      <c r="F11" s="165">
        <v>5479</v>
      </c>
      <c r="G11" s="165">
        <v>10006</v>
      </c>
      <c r="H11" s="165">
        <v>5391</v>
      </c>
      <c r="I11" s="165">
        <v>19255</v>
      </c>
      <c r="J11" s="165">
        <v>10793</v>
      </c>
      <c r="K11" s="165">
        <v>17063</v>
      </c>
      <c r="L11" s="165">
        <v>18393</v>
      </c>
      <c r="M11" s="165">
        <v>5823</v>
      </c>
      <c r="N11" s="165">
        <f t="shared" ref="N11:N74" si="0">SUM(B11:M11)</f>
        <v>144099</v>
      </c>
      <c r="O11" s="165">
        <v>5710</v>
      </c>
      <c r="P11" s="165">
        <v>6084</v>
      </c>
      <c r="Q11" s="165">
        <v>13116</v>
      </c>
      <c r="R11" s="165">
        <v>19324</v>
      </c>
      <c r="S11" s="165">
        <v>9021</v>
      </c>
      <c r="T11" s="165">
        <v>10322</v>
      </c>
      <c r="U11" s="165">
        <v>19509</v>
      </c>
      <c r="V11" s="165">
        <v>15927</v>
      </c>
      <c r="W11" s="165">
        <v>9459</v>
      </c>
      <c r="X11" s="165">
        <v>14448</v>
      </c>
      <c r="Y11" s="165">
        <v>17256</v>
      </c>
      <c r="Z11" s="164">
        <v>7891</v>
      </c>
      <c r="AA11" s="165">
        <f t="shared" ref="AA11:AA74" si="1">SUM(O11:Z11)</f>
        <v>148067</v>
      </c>
    </row>
    <row r="12" spans="1:27" x14ac:dyDescent="0.2">
      <c r="A12" s="162" t="s">
        <v>323</v>
      </c>
      <c r="B12" s="165">
        <v>7953</v>
      </c>
      <c r="C12" s="165">
        <v>16964</v>
      </c>
      <c r="D12" s="165">
        <v>5322</v>
      </c>
      <c r="E12" s="165">
        <v>7819</v>
      </c>
      <c r="F12" s="165">
        <v>6741</v>
      </c>
      <c r="G12" s="165">
        <v>18763</v>
      </c>
      <c r="H12" s="165">
        <v>12648</v>
      </c>
      <c r="I12" s="165">
        <v>13961</v>
      </c>
      <c r="J12" s="165">
        <v>13138</v>
      </c>
      <c r="K12" s="165">
        <v>6380</v>
      </c>
      <c r="L12" s="165">
        <v>13846</v>
      </c>
      <c r="M12" s="165">
        <v>10487</v>
      </c>
      <c r="N12" s="165">
        <f t="shared" si="0"/>
        <v>134022</v>
      </c>
      <c r="O12" s="165">
        <v>16812</v>
      </c>
      <c r="P12" s="165">
        <v>5703</v>
      </c>
      <c r="Q12" s="165">
        <v>18609</v>
      </c>
      <c r="R12" s="165">
        <v>10683</v>
      </c>
      <c r="S12" s="165">
        <v>12278</v>
      </c>
      <c r="T12" s="165">
        <v>12286</v>
      </c>
      <c r="U12" s="165">
        <v>19759</v>
      </c>
      <c r="V12" s="165">
        <v>19213</v>
      </c>
      <c r="W12" s="165">
        <v>18677</v>
      </c>
      <c r="X12" s="165">
        <v>13997</v>
      </c>
      <c r="Y12" s="165">
        <v>16774</v>
      </c>
      <c r="Z12" s="164">
        <v>10639</v>
      </c>
      <c r="AA12" s="165">
        <f t="shared" si="1"/>
        <v>175430</v>
      </c>
    </row>
    <row r="13" spans="1:27" x14ac:dyDescent="0.2">
      <c r="A13" s="162" t="s">
        <v>324</v>
      </c>
      <c r="B13" s="165">
        <v>17540</v>
      </c>
      <c r="C13" s="165">
        <v>17283</v>
      </c>
      <c r="D13" s="165">
        <v>10615</v>
      </c>
      <c r="E13" s="165">
        <v>11432</v>
      </c>
      <c r="F13" s="165">
        <v>17021</v>
      </c>
      <c r="G13" s="165">
        <v>16469</v>
      </c>
      <c r="H13" s="165">
        <v>9377</v>
      </c>
      <c r="I13" s="165">
        <v>19394</v>
      </c>
      <c r="J13" s="165">
        <v>6120</v>
      </c>
      <c r="K13" s="165">
        <v>19608</v>
      </c>
      <c r="L13" s="165">
        <v>8156</v>
      </c>
      <c r="M13" s="165">
        <v>5823</v>
      </c>
      <c r="N13" s="165">
        <f t="shared" si="0"/>
        <v>158838</v>
      </c>
      <c r="O13" s="165">
        <v>12263</v>
      </c>
      <c r="P13" s="165">
        <v>17997</v>
      </c>
      <c r="Q13" s="165">
        <v>9110</v>
      </c>
      <c r="R13" s="165">
        <v>7661</v>
      </c>
      <c r="S13" s="165">
        <v>17002</v>
      </c>
      <c r="T13" s="165">
        <v>9493</v>
      </c>
      <c r="U13" s="165">
        <v>19106</v>
      </c>
      <c r="V13" s="165">
        <v>11199</v>
      </c>
      <c r="W13" s="165">
        <v>6022</v>
      </c>
      <c r="X13" s="165">
        <v>19754</v>
      </c>
      <c r="Y13" s="165">
        <v>8442</v>
      </c>
      <c r="Z13" s="164">
        <v>16203</v>
      </c>
      <c r="AA13" s="165">
        <f t="shared" si="1"/>
        <v>154252</v>
      </c>
    </row>
    <row r="14" spans="1:27" x14ac:dyDescent="0.2">
      <c r="A14" s="162" t="s">
        <v>325</v>
      </c>
      <c r="B14" s="165">
        <v>14361</v>
      </c>
      <c r="C14" s="165">
        <v>17070</v>
      </c>
      <c r="D14" s="165">
        <v>5936</v>
      </c>
      <c r="E14" s="165">
        <v>13050</v>
      </c>
      <c r="F14" s="165">
        <v>19769</v>
      </c>
      <c r="G14" s="165">
        <v>14326</v>
      </c>
      <c r="H14" s="165">
        <v>19496</v>
      </c>
      <c r="I14" s="165">
        <v>15605</v>
      </c>
      <c r="J14" s="165">
        <v>9914</v>
      </c>
      <c r="K14" s="165">
        <v>17223</v>
      </c>
      <c r="L14" s="165">
        <v>19454</v>
      </c>
      <c r="M14" s="165">
        <v>9111</v>
      </c>
      <c r="N14" s="165">
        <f t="shared" si="0"/>
        <v>175315</v>
      </c>
      <c r="O14" s="165">
        <v>10947</v>
      </c>
      <c r="P14" s="165">
        <v>7288</v>
      </c>
      <c r="Q14" s="165">
        <v>15146</v>
      </c>
      <c r="R14" s="165">
        <v>8494</v>
      </c>
      <c r="S14" s="165">
        <v>12702</v>
      </c>
      <c r="T14" s="165">
        <v>11497</v>
      </c>
      <c r="U14" s="165">
        <v>9000</v>
      </c>
      <c r="V14" s="165">
        <v>8920</v>
      </c>
      <c r="W14" s="165">
        <v>17537</v>
      </c>
      <c r="X14" s="165">
        <v>8504</v>
      </c>
      <c r="Y14" s="165">
        <v>18889</v>
      </c>
      <c r="Z14" s="164">
        <v>14462</v>
      </c>
      <c r="AA14" s="165">
        <f t="shared" si="1"/>
        <v>143386</v>
      </c>
    </row>
    <row r="15" spans="1:27" x14ac:dyDescent="0.2">
      <c r="A15" s="162" t="s">
        <v>326</v>
      </c>
      <c r="B15" s="165">
        <v>17828</v>
      </c>
      <c r="C15" s="165">
        <v>19079</v>
      </c>
      <c r="D15" s="165">
        <v>15707</v>
      </c>
      <c r="E15" s="165">
        <v>7148</v>
      </c>
      <c r="F15" s="165">
        <v>14852</v>
      </c>
      <c r="G15" s="165">
        <v>6386</v>
      </c>
      <c r="H15" s="165">
        <v>14987</v>
      </c>
      <c r="I15" s="165">
        <v>17446</v>
      </c>
      <c r="J15" s="165">
        <v>6843</v>
      </c>
      <c r="K15" s="165">
        <v>19418</v>
      </c>
      <c r="L15" s="165">
        <v>19041</v>
      </c>
      <c r="M15" s="165">
        <v>18908</v>
      </c>
      <c r="N15" s="165">
        <f t="shared" si="0"/>
        <v>177643</v>
      </c>
      <c r="O15" s="165">
        <v>19342</v>
      </c>
      <c r="P15" s="165">
        <v>7767</v>
      </c>
      <c r="Q15" s="165">
        <v>6861</v>
      </c>
      <c r="R15" s="165">
        <v>6590</v>
      </c>
      <c r="S15" s="165">
        <v>10182</v>
      </c>
      <c r="T15" s="165">
        <v>18223</v>
      </c>
      <c r="U15" s="165">
        <v>10489</v>
      </c>
      <c r="V15" s="165">
        <v>16136</v>
      </c>
      <c r="W15" s="165">
        <v>7426</v>
      </c>
      <c r="X15" s="165">
        <v>16056</v>
      </c>
      <c r="Y15" s="165">
        <v>17824</v>
      </c>
      <c r="Z15" s="164">
        <v>12442</v>
      </c>
      <c r="AA15" s="165">
        <f t="shared" si="1"/>
        <v>149338</v>
      </c>
    </row>
    <row r="16" spans="1:27" x14ac:dyDescent="0.2">
      <c r="A16" s="162" t="s">
        <v>327</v>
      </c>
      <c r="B16" s="165">
        <v>8222</v>
      </c>
      <c r="C16" s="165">
        <v>11816</v>
      </c>
      <c r="D16" s="165">
        <v>10676</v>
      </c>
      <c r="E16" s="165">
        <v>8317</v>
      </c>
      <c r="F16" s="165">
        <v>17640</v>
      </c>
      <c r="G16" s="165">
        <v>8184</v>
      </c>
      <c r="H16" s="165">
        <v>5567</v>
      </c>
      <c r="I16" s="165">
        <v>8218</v>
      </c>
      <c r="J16" s="165">
        <v>14416</v>
      </c>
      <c r="K16" s="165">
        <v>16026</v>
      </c>
      <c r="L16" s="165">
        <v>19042</v>
      </c>
      <c r="M16" s="165">
        <v>11617</v>
      </c>
      <c r="N16" s="165">
        <f t="shared" si="0"/>
        <v>139741</v>
      </c>
      <c r="O16" s="165">
        <v>18981</v>
      </c>
      <c r="P16" s="165">
        <v>13620</v>
      </c>
      <c r="Q16" s="165">
        <v>11203</v>
      </c>
      <c r="R16" s="165">
        <v>11591</v>
      </c>
      <c r="S16" s="165">
        <v>16843</v>
      </c>
      <c r="T16" s="165">
        <v>10379</v>
      </c>
      <c r="U16" s="165">
        <v>9065</v>
      </c>
      <c r="V16" s="165">
        <v>12130</v>
      </c>
      <c r="W16" s="165">
        <v>18615</v>
      </c>
      <c r="X16" s="165">
        <v>13482</v>
      </c>
      <c r="Y16" s="165">
        <v>5892</v>
      </c>
      <c r="Z16" s="164">
        <v>19009</v>
      </c>
      <c r="AA16" s="165">
        <f t="shared" si="1"/>
        <v>160810</v>
      </c>
    </row>
    <row r="17" spans="1:27" x14ac:dyDescent="0.2">
      <c r="A17" s="162" t="s">
        <v>328</v>
      </c>
      <c r="B17" s="165">
        <v>15301</v>
      </c>
      <c r="C17" s="165">
        <v>6069</v>
      </c>
      <c r="D17" s="165">
        <v>12637</v>
      </c>
      <c r="E17" s="165">
        <v>19872</v>
      </c>
      <c r="F17" s="165">
        <v>5026</v>
      </c>
      <c r="G17" s="165">
        <v>17941</v>
      </c>
      <c r="H17" s="165">
        <v>15639</v>
      </c>
      <c r="I17" s="165">
        <v>9805</v>
      </c>
      <c r="J17" s="165">
        <v>15731</v>
      </c>
      <c r="K17" s="165">
        <v>12345</v>
      </c>
      <c r="L17" s="165">
        <v>15304</v>
      </c>
      <c r="M17" s="165">
        <v>10496</v>
      </c>
      <c r="N17" s="165">
        <f t="shared" si="0"/>
        <v>156166</v>
      </c>
      <c r="O17" s="165">
        <v>13075</v>
      </c>
      <c r="P17" s="165">
        <v>5799</v>
      </c>
      <c r="Q17" s="165">
        <v>16675</v>
      </c>
      <c r="R17" s="165">
        <v>9029</v>
      </c>
      <c r="S17" s="165">
        <v>10555</v>
      </c>
      <c r="T17" s="165">
        <v>6334</v>
      </c>
      <c r="U17" s="165">
        <v>13057</v>
      </c>
      <c r="V17" s="165">
        <v>12618</v>
      </c>
      <c r="W17" s="165">
        <v>6763</v>
      </c>
      <c r="X17" s="165">
        <v>16422</v>
      </c>
      <c r="Y17" s="165">
        <v>9201</v>
      </c>
      <c r="Z17" s="164">
        <v>13898</v>
      </c>
      <c r="AA17" s="165">
        <f t="shared" si="1"/>
        <v>133426</v>
      </c>
    </row>
    <row r="18" spans="1:27" x14ac:dyDescent="0.2">
      <c r="A18" s="162" t="s">
        <v>329</v>
      </c>
      <c r="B18" s="165">
        <v>7570</v>
      </c>
      <c r="C18" s="165">
        <v>15353</v>
      </c>
      <c r="D18" s="165">
        <v>15847</v>
      </c>
      <c r="E18" s="165">
        <v>13649</v>
      </c>
      <c r="F18" s="165">
        <v>18715</v>
      </c>
      <c r="G18" s="165">
        <v>13621</v>
      </c>
      <c r="H18" s="165">
        <v>11028</v>
      </c>
      <c r="I18" s="165">
        <v>6336</v>
      </c>
      <c r="J18" s="165">
        <v>15828</v>
      </c>
      <c r="K18" s="165">
        <v>6646</v>
      </c>
      <c r="L18" s="165">
        <v>9031</v>
      </c>
      <c r="M18" s="165">
        <v>5125</v>
      </c>
      <c r="N18" s="165">
        <f t="shared" si="0"/>
        <v>138749</v>
      </c>
      <c r="O18" s="165">
        <v>13365</v>
      </c>
      <c r="P18" s="165">
        <v>5903</v>
      </c>
      <c r="Q18" s="165">
        <v>12270</v>
      </c>
      <c r="R18" s="165">
        <v>13921</v>
      </c>
      <c r="S18" s="165">
        <v>12649</v>
      </c>
      <c r="T18" s="165">
        <v>19625</v>
      </c>
      <c r="U18" s="165">
        <v>11221</v>
      </c>
      <c r="V18" s="165">
        <v>14149</v>
      </c>
      <c r="W18" s="165">
        <v>13656</v>
      </c>
      <c r="X18" s="165">
        <v>10667</v>
      </c>
      <c r="Y18" s="165">
        <v>19705</v>
      </c>
      <c r="Z18" s="164">
        <v>9052</v>
      </c>
      <c r="AA18" s="165">
        <f t="shared" si="1"/>
        <v>156183</v>
      </c>
    </row>
    <row r="19" spans="1:27" x14ac:dyDescent="0.2">
      <c r="A19" s="162" t="s">
        <v>330</v>
      </c>
      <c r="B19" s="165">
        <v>9986</v>
      </c>
      <c r="C19" s="165">
        <v>10194</v>
      </c>
      <c r="D19" s="165">
        <v>7602</v>
      </c>
      <c r="E19" s="165">
        <v>15035</v>
      </c>
      <c r="F19" s="165">
        <v>14568</v>
      </c>
      <c r="G19" s="165">
        <v>15211</v>
      </c>
      <c r="H19" s="165">
        <v>11585</v>
      </c>
      <c r="I19" s="165">
        <v>5171</v>
      </c>
      <c r="J19" s="165">
        <v>6567</v>
      </c>
      <c r="K19" s="165">
        <v>6048</v>
      </c>
      <c r="L19" s="165">
        <v>18785</v>
      </c>
      <c r="M19" s="165">
        <v>18054</v>
      </c>
      <c r="N19" s="165">
        <f t="shared" si="0"/>
        <v>138806</v>
      </c>
      <c r="O19" s="165">
        <v>9290</v>
      </c>
      <c r="P19" s="165">
        <v>14620</v>
      </c>
      <c r="Q19" s="165">
        <v>19959</v>
      </c>
      <c r="R19" s="165">
        <v>15965</v>
      </c>
      <c r="S19" s="165">
        <v>12962</v>
      </c>
      <c r="T19" s="165">
        <v>16334</v>
      </c>
      <c r="U19" s="165">
        <v>10949</v>
      </c>
      <c r="V19" s="165">
        <v>15192</v>
      </c>
      <c r="W19" s="165">
        <v>13974</v>
      </c>
      <c r="X19" s="165">
        <v>18297</v>
      </c>
      <c r="Y19" s="165">
        <v>5546</v>
      </c>
      <c r="Z19" s="164">
        <v>12101</v>
      </c>
      <c r="AA19" s="165">
        <f t="shared" si="1"/>
        <v>165189</v>
      </c>
    </row>
    <row r="20" spans="1:27" x14ac:dyDescent="0.2">
      <c r="A20" s="162" t="s">
        <v>331</v>
      </c>
      <c r="B20" s="165">
        <v>10604</v>
      </c>
      <c r="C20" s="165">
        <v>8365</v>
      </c>
      <c r="D20" s="165">
        <v>9587</v>
      </c>
      <c r="E20" s="165">
        <v>6308</v>
      </c>
      <c r="F20" s="165">
        <v>15198</v>
      </c>
      <c r="G20" s="165">
        <v>5714</v>
      </c>
      <c r="H20" s="165">
        <v>19281</v>
      </c>
      <c r="I20" s="165">
        <v>19993</v>
      </c>
      <c r="J20" s="165">
        <v>12106</v>
      </c>
      <c r="K20" s="165">
        <v>11842</v>
      </c>
      <c r="L20" s="165">
        <v>7257</v>
      </c>
      <c r="M20" s="165">
        <v>6933</v>
      </c>
      <c r="N20" s="165">
        <f t="shared" si="0"/>
        <v>133188</v>
      </c>
      <c r="O20" s="165">
        <v>7768</v>
      </c>
      <c r="P20" s="165">
        <v>8107</v>
      </c>
      <c r="Q20" s="165">
        <v>19623</v>
      </c>
      <c r="R20" s="165">
        <v>13539</v>
      </c>
      <c r="S20" s="165">
        <v>6032</v>
      </c>
      <c r="T20" s="165">
        <v>18865</v>
      </c>
      <c r="U20" s="165">
        <v>13423</v>
      </c>
      <c r="V20" s="165">
        <v>12833</v>
      </c>
      <c r="W20" s="165">
        <v>10403</v>
      </c>
      <c r="X20" s="165">
        <v>9557</v>
      </c>
      <c r="Y20" s="165">
        <v>14629</v>
      </c>
      <c r="Z20" s="164">
        <v>11441</v>
      </c>
      <c r="AA20" s="165">
        <f t="shared" si="1"/>
        <v>146220</v>
      </c>
    </row>
    <row r="21" spans="1:27" x14ac:dyDescent="0.2">
      <c r="A21" s="162" t="s">
        <v>332</v>
      </c>
      <c r="B21" s="165">
        <v>13036</v>
      </c>
      <c r="C21" s="165">
        <v>7360</v>
      </c>
      <c r="D21" s="165">
        <v>16241</v>
      </c>
      <c r="E21" s="165">
        <v>12951</v>
      </c>
      <c r="F21" s="165">
        <v>13435</v>
      </c>
      <c r="G21" s="165">
        <v>13038</v>
      </c>
      <c r="H21" s="165">
        <v>18260</v>
      </c>
      <c r="I21" s="165">
        <v>7139</v>
      </c>
      <c r="J21" s="165">
        <v>16241</v>
      </c>
      <c r="K21" s="165">
        <v>16647</v>
      </c>
      <c r="L21" s="165">
        <v>10162</v>
      </c>
      <c r="M21" s="165">
        <v>8631</v>
      </c>
      <c r="N21" s="165">
        <f t="shared" si="0"/>
        <v>153141</v>
      </c>
      <c r="O21" s="165">
        <v>16347</v>
      </c>
      <c r="P21" s="165">
        <v>10307</v>
      </c>
      <c r="Q21" s="165">
        <v>19686</v>
      </c>
      <c r="R21" s="165">
        <v>8832</v>
      </c>
      <c r="S21" s="165">
        <v>9565</v>
      </c>
      <c r="T21" s="165">
        <v>12498</v>
      </c>
      <c r="U21" s="165">
        <v>10625</v>
      </c>
      <c r="V21" s="165">
        <v>12494</v>
      </c>
      <c r="W21" s="165">
        <v>16332</v>
      </c>
      <c r="X21" s="165">
        <v>14601</v>
      </c>
      <c r="Y21" s="165">
        <v>12958</v>
      </c>
      <c r="Z21" s="164">
        <v>14080</v>
      </c>
      <c r="AA21" s="165">
        <f t="shared" si="1"/>
        <v>158325</v>
      </c>
    </row>
    <row r="22" spans="1:27" x14ac:dyDescent="0.2">
      <c r="A22" s="162" t="s">
        <v>333</v>
      </c>
      <c r="B22" s="165">
        <v>19848</v>
      </c>
      <c r="C22" s="165">
        <v>10239</v>
      </c>
      <c r="D22" s="165">
        <v>12823</v>
      </c>
      <c r="E22" s="165">
        <v>6054</v>
      </c>
      <c r="F22" s="165">
        <v>19399</v>
      </c>
      <c r="G22" s="165">
        <v>15177</v>
      </c>
      <c r="H22" s="165">
        <v>5981</v>
      </c>
      <c r="I22" s="165">
        <v>18053</v>
      </c>
      <c r="J22" s="165">
        <v>16580</v>
      </c>
      <c r="K22" s="165">
        <v>6735</v>
      </c>
      <c r="L22" s="165">
        <v>8331</v>
      </c>
      <c r="M22" s="165">
        <v>8787</v>
      </c>
      <c r="N22" s="165">
        <f t="shared" si="0"/>
        <v>148007</v>
      </c>
      <c r="O22" s="165">
        <v>9329</v>
      </c>
      <c r="P22" s="165">
        <v>12245</v>
      </c>
      <c r="Q22" s="165">
        <v>19801</v>
      </c>
      <c r="R22" s="165">
        <v>10817</v>
      </c>
      <c r="S22" s="165">
        <v>14650</v>
      </c>
      <c r="T22" s="165">
        <v>17187</v>
      </c>
      <c r="U22" s="165">
        <v>8398</v>
      </c>
      <c r="V22" s="165">
        <v>6628</v>
      </c>
      <c r="W22" s="165">
        <v>8618</v>
      </c>
      <c r="X22" s="165">
        <v>12790</v>
      </c>
      <c r="Y22" s="165">
        <v>8343</v>
      </c>
      <c r="Z22" s="164">
        <v>9578</v>
      </c>
      <c r="AA22" s="165">
        <f t="shared" si="1"/>
        <v>138384</v>
      </c>
    </row>
    <row r="23" spans="1:27" x14ac:dyDescent="0.2">
      <c r="A23" s="162" t="s">
        <v>334</v>
      </c>
      <c r="B23" s="165">
        <v>8195</v>
      </c>
      <c r="C23" s="165">
        <v>7424</v>
      </c>
      <c r="D23" s="165">
        <v>14214</v>
      </c>
      <c r="E23" s="165">
        <v>14264</v>
      </c>
      <c r="F23" s="165">
        <v>14114</v>
      </c>
      <c r="G23" s="165">
        <v>12509</v>
      </c>
      <c r="H23" s="165">
        <v>8416</v>
      </c>
      <c r="I23" s="165">
        <v>19801</v>
      </c>
      <c r="J23" s="165">
        <v>7709</v>
      </c>
      <c r="K23" s="165">
        <v>14088</v>
      </c>
      <c r="L23" s="165">
        <v>17296</v>
      </c>
      <c r="M23" s="165">
        <v>18232</v>
      </c>
      <c r="N23" s="165">
        <f t="shared" si="0"/>
        <v>156262</v>
      </c>
      <c r="O23" s="165">
        <v>12688</v>
      </c>
      <c r="P23" s="165">
        <v>16780</v>
      </c>
      <c r="Q23" s="165">
        <v>15136</v>
      </c>
      <c r="R23" s="165">
        <v>6702</v>
      </c>
      <c r="S23" s="165">
        <v>7642</v>
      </c>
      <c r="T23" s="165">
        <v>12747</v>
      </c>
      <c r="U23" s="165">
        <v>14005</v>
      </c>
      <c r="V23" s="165">
        <v>18261</v>
      </c>
      <c r="W23" s="165">
        <v>17317</v>
      </c>
      <c r="X23" s="165">
        <v>14123</v>
      </c>
      <c r="Y23" s="165">
        <v>17100</v>
      </c>
      <c r="Z23" s="164">
        <v>16985</v>
      </c>
      <c r="AA23" s="165">
        <f t="shared" si="1"/>
        <v>169486</v>
      </c>
    </row>
    <row r="24" spans="1:27" x14ac:dyDescent="0.2">
      <c r="A24" s="162" t="s">
        <v>335</v>
      </c>
      <c r="B24" s="165">
        <v>10442</v>
      </c>
      <c r="C24" s="165">
        <v>12211</v>
      </c>
      <c r="D24" s="165">
        <v>8928</v>
      </c>
      <c r="E24" s="165">
        <v>11322</v>
      </c>
      <c r="F24" s="165">
        <v>15859</v>
      </c>
      <c r="G24" s="165">
        <v>7171</v>
      </c>
      <c r="H24" s="165">
        <v>8153</v>
      </c>
      <c r="I24" s="165">
        <v>11781</v>
      </c>
      <c r="J24" s="165">
        <v>14464</v>
      </c>
      <c r="K24" s="165">
        <v>15995</v>
      </c>
      <c r="L24" s="165">
        <v>9237</v>
      </c>
      <c r="M24" s="165">
        <v>7038</v>
      </c>
      <c r="N24" s="165">
        <f t="shared" si="0"/>
        <v>132601</v>
      </c>
      <c r="O24" s="165">
        <v>14266</v>
      </c>
      <c r="P24" s="165">
        <v>9812</v>
      </c>
      <c r="Q24" s="165">
        <v>5528</v>
      </c>
      <c r="R24" s="165">
        <v>9369</v>
      </c>
      <c r="S24" s="165">
        <v>13071</v>
      </c>
      <c r="T24" s="165">
        <v>17430</v>
      </c>
      <c r="U24" s="165">
        <v>6588</v>
      </c>
      <c r="V24" s="165">
        <v>10104</v>
      </c>
      <c r="W24" s="165">
        <v>5900</v>
      </c>
      <c r="X24" s="165">
        <v>18881</v>
      </c>
      <c r="Y24" s="165">
        <v>13254</v>
      </c>
      <c r="Z24" s="164">
        <v>5627</v>
      </c>
      <c r="AA24" s="165">
        <f t="shared" si="1"/>
        <v>129830</v>
      </c>
    </row>
    <row r="25" spans="1:27" x14ac:dyDescent="0.2">
      <c r="A25" s="162" t="s">
        <v>336</v>
      </c>
      <c r="B25" s="165">
        <v>16596</v>
      </c>
      <c r="C25" s="165">
        <v>10499</v>
      </c>
      <c r="D25" s="165">
        <v>9235</v>
      </c>
      <c r="E25" s="165">
        <v>12845</v>
      </c>
      <c r="F25" s="165">
        <v>14125</v>
      </c>
      <c r="G25" s="165">
        <v>18099</v>
      </c>
      <c r="H25" s="165">
        <v>6459</v>
      </c>
      <c r="I25" s="165">
        <v>13950</v>
      </c>
      <c r="J25" s="165">
        <v>19539</v>
      </c>
      <c r="K25" s="165">
        <v>11663</v>
      </c>
      <c r="L25" s="165">
        <v>16046</v>
      </c>
      <c r="M25" s="165">
        <v>8966</v>
      </c>
      <c r="N25" s="165">
        <f t="shared" si="0"/>
        <v>158022</v>
      </c>
      <c r="O25" s="165">
        <v>17260</v>
      </c>
      <c r="P25" s="165">
        <v>8966</v>
      </c>
      <c r="Q25" s="165">
        <v>10584</v>
      </c>
      <c r="R25" s="165">
        <v>7027</v>
      </c>
      <c r="S25" s="165">
        <v>14159</v>
      </c>
      <c r="T25" s="165">
        <v>13360</v>
      </c>
      <c r="U25" s="165">
        <v>16722</v>
      </c>
      <c r="V25" s="165">
        <v>16616</v>
      </c>
      <c r="W25" s="165">
        <v>14853</v>
      </c>
      <c r="X25" s="165">
        <v>16679</v>
      </c>
      <c r="Y25" s="165">
        <v>6636</v>
      </c>
      <c r="Z25" s="164">
        <v>11790</v>
      </c>
      <c r="AA25" s="165">
        <f t="shared" si="1"/>
        <v>154652</v>
      </c>
    </row>
    <row r="26" spans="1:27" x14ac:dyDescent="0.2">
      <c r="A26" s="162" t="s">
        <v>337</v>
      </c>
      <c r="B26" s="165">
        <v>17709</v>
      </c>
      <c r="C26" s="165">
        <v>17704</v>
      </c>
      <c r="D26" s="165">
        <v>9497</v>
      </c>
      <c r="E26" s="165">
        <v>12269</v>
      </c>
      <c r="F26" s="165">
        <v>19046</v>
      </c>
      <c r="G26" s="165">
        <v>14226</v>
      </c>
      <c r="H26" s="165">
        <v>10001</v>
      </c>
      <c r="I26" s="165">
        <v>9656</v>
      </c>
      <c r="J26" s="165">
        <v>7977</v>
      </c>
      <c r="K26" s="165">
        <v>11055</v>
      </c>
      <c r="L26" s="165">
        <v>19675</v>
      </c>
      <c r="M26" s="165">
        <v>7045</v>
      </c>
      <c r="N26" s="165">
        <f t="shared" si="0"/>
        <v>155860</v>
      </c>
      <c r="O26" s="165">
        <v>11377</v>
      </c>
      <c r="P26" s="165">
        <v>15617</v>
      </c>
      <c r="Q26" s="165">
        <v>6628</v>
      </c>
      <c r="R26" s="165">
        <v>13103</v>
      </c>
      <c r="S26" s="165">
        <v>18108</v>
      </c>
      <c r="T26" s="165">
        <v>9453</v>
      </c>
      <c r="U26" s="165">
        <v>7803</v>
      </c>
      <c r="V26" s="165">
        <v>11750</v>
      </c>
      <c r="W26" s="165">
        <v>15209</v>
      </c>
      <c r="X26" s="165">
        <v>11392</v>
      </c>
      <c r="Y26" s="165">
        <v>7944</v>
      </c>
      <c r="Z26" s="164">
        <v>17012</v>
      </c>
      <c r="AA26" s="165">
        <f t="shared" si="1"/>
        <v>145396</v>
      </c>
    </row>
    <row r="27" spans="1:27" x14ac:dyDescent="0.2">
      <c r="A27" s="162" t="s">
        <v>338</v>
      </c>
      <c r="B27" s="165">
        <v>7695</v>
      </c>
      <c r="C27" s="165">
        <v>10312</v>
      </c>
      <c r="D27" s="165">
        <v>13712</v>
      </c>
      <c r="E27" s="165">
        <v>11681</v>
      </c>
      <c r="F27" s="165">
        <v>12338</v>
      </c>
      <c r="G27" s="165">
        <v>18541</v>
      </c>
      <c r="H27" s="165">
        <v>15256</v>
      </c>
      <c r="I27" s="165">
        <v>10943</v>
      </c>
      <c r="J27" s="165">
        <v>18132</v>
      </c>
      <c r="K27" s="165">
        <v>15119</v>
      </c>
      <c r="L27" s="165">
        <v>8099</v>
      </c>
      <c r="M27" s="165">
        <v>6207</v>
      </c>
      <c r="N27" s="165">
        <f t="shared" si="0"/>
        <v>148035</v>
      </c>
      <c r="O27" s="165">
        <v>14166</v>
      </c>
      <c r="P27" s="165">
        <v>8959</v>
      </c>
      <c r="Q27" s="165">
        <v>7247</v>
      </c>
      <c r="R27" s="165">
        <v>12853</v>
      </c>
      <c r="S27" s="165">
        <v>11656</v>
      </c>
      <c r="T27" s="165">
        <v>6416</v>
      </c>
      <c r="U27" s="165">
        <v>9315</v>
      </c>
      <c r="V27" s="165">
        <v>11221</v>
      </c>
      <c r="W27" s="165">
        <v>16735</v>
      </c>
      <c r="X27" s="165">
        <v>8953</v>
      </c>
      <c r="Y27" s="165">
        <v>7525</v>
      </c>
      <c r="Z27" s="164">
        <v>6022</v>
      </c>
      <c r="AA27" s="165">
        <f t="shared" si="1"/>
        <v>121068</v>
      </c>
    </row>
    <row r="28" spans="1:27" x14ac:dyDescent="0.2">
      <c r="A28" s="162" t="s">
        <v>339</v>
      </c>
      <c r="B28" s="165">
        <v>16206</v>
      </c>
      <c r="C28" s="165">
        <v>12852</v>
      </c>
      <c r="D28" s="165">
        <v>5684</v>
      </c>
      <c r="E28" s="165">
        <v>18207</v>
      </c>
      <c r="F28" s="165">
        <v>8990</v>
      </c>
      <c r="G28" s="165">
        <v>8059</v>
      </c>
      <c r="H28" s="165">
        <v>5445</v>
      </c>
      <c r="I28" s="165">
        <v>14614</v>
      </c>
      <c r="J28" s="165">
        <v>5561</v>
      </c>
      <c r="K28" s="165">
        <v>10812</v>
      </c>
      <c r="L28" s="165">
        <v>11501</v>
      </c>
      <c r="M28" s="165">
        <v>14504</v>
      </c>
      <c r="N28" s="165">
        <f t="shared" si="0"/>
        <v>132435</v>
      </c>
      <c r="O28" s="165">
        <v>9876</v>
      </c>
      <c r="P28" s="165">
        <v>19425</v>
      </c>
      <c r="Q28" s="165">
        <v>15716</v>
      </c>
      <c r="R28" s="165">
        <v>18330</v>
      </c>
      <c r="S28" s="165">
        <v>9227</v>
      </c>
      <c r="T28" s="165">
        <v>10867</v>
      </c>
      <c r="U28" s="165">
        <v>8442</v>
      </c>
      <c r="V28" s="165">
        <v>12671</v>
      </c>
      <c r="W28" s="165">
        <v>19542</v>
      </c>
      <c r="X28" s="165">
        <v>5610</v>
      </c>
      <c r="Y28" s="165">
        <v>17650</v>
      </c>
      <c r="Z28" s="164">
        <v>18750</v>
      </c>
      <c r="AA28" s="165">
        <f t="shared" si="1"/>
        <v>166106</v>
      </c>
    </row>
    <row r="29" spans="1:27" x14ac:dyDescent="0.2">
      <c r="A29" s="162" t="s">
        <v>340</v>
      </c>
      <c r="B29" s="165">
        <v>15678</v>
      </c>
      <c r="C29" s="165">
        <v>6015</v>
      </c>
      <c r="D29" s="165">
        <v>13024</v>
      </c>
      <c r="E29" s="165">
        <v>8863</v>
      </c>
      <c r="F29" s="165">
        <v>9346</v>
      </c>
      <c r="G29" s="165">
        <v>5756</v>
      </c>
      <c r="H29" s="165">
        <v>16234</v>
      </c>
      <c r="I29" s="165">
        <v>14179</v>
      </c>
      <c r="J29" s="165">
        <v>5595</v>
      </c>
      <c r="K29" s="165">
        <v>12404</v>
      </c>
      <c r="L29" s="165">
        <v>11883</v>
      </c>
      <c r="M29" s="165">
        <v>15026</v>
      </c>
      <c r="N29" s="165">
        <f t="shared" si="0"/>
        <v>134003</v>
      </c>
      <c r="O29" s="165">
        <v>17080</v>
      </c>
      <c r="P29" s="165">
        <v>6496</v>
      </c>
      <c r="Q29" s="165">
        <v>11494</v>
      </c>
      <c r="R29" s="165">
        <v>19075</v>
      </c>
      <c r="S29" s="165">
        <v>6854</v>
      </c>
      <c r="T29" s="165">
        <v>18707</v>
      </c>
      <c r="U29" s="165">
        <v>15342</v>
      </c>
      <c r="V29" s="165">
        <v>5918</v>
      </c>
      <c r="W29" s="165">
        <v>7300</v>
      </c>
      <c r="X29" s="165">
        <v>15249</v>
      </c>
      <c r="Y29" s="165">
        <v>13465</v>
      </c>
      <c r="Z29" s="164">
        <v>19300</v>
      </c>
      <c r="AA29" s="165">
        <f t="shared" si="1"/>
        <v>156280</v>
      </c>
    </row>
    <row r="30" spans="1:27" x14ac:dyDescent="0.2">
      <c r="A30" s="162" t="s">
        <v>341</v>
      </c>
      <c r="B30" s="165">
        <v>19878</v>
      </c>
      <c r="C30" s="165">
        <v>16108</v>
      </c>
      <c r="D30" s="165">
        <v>7789</v>
      </c>
      <c r="E30" s="165">
        <v>15072</v>
      </c>
      <c r="F30" s="165">
        <v>18368</v>
      </c>
      <c r="G30" s="165">
        <v>16264</v>
      </c>
      <c r="H30" s="165">
        <v>19169</v>
      </c>
      <c r="I30" s="165">
        <v>10690</v>
      </c>
      <c r="J30" s="165">
        <v>11202</v>
      </c>
      <c r="K30" s="165">
        <v>18789</v>
      </c>
      <c r="L30" s="165">
        <v>6934</v>
      </c>
      <c r="M30" s="165">
        <v>12971</v>
      </c>
      <c r="N30" s="165">
        <f t="shared" si="0"/>
        <v>173234</v>
      </c>
      <c r="O30" s="165">
        <v>13188</v>
      </c>
      <c r="P30" s="165">
        <v>8756</v>
      </c>
      <c r="Q30" s="165">
        <v>8728</v>
      </c>
      <c r="R30" s="165">
        <v>14977</v>
      </c>
      <c r="S30" s="165">
        <v>10159</v>
      </c>
      <c r="T30" s="165">
        <v>16847</v>
      </c>
      <c r="U30" s="165">
        <v>7019</v>
      </c>
      <c r="V30" s="165">
        <v>7594</v>
      </c>
      <c r="W30" s="165">
        <v>8909</v>
      </c>
      <c r="X30" s="165">
        <v>7180</v>
      </c>
      <c r="Y30" s="165">
        <v>10800</v>
      </c>
      <c r="Z30" s="164">
        <v>17085</v>
      </c>
      <c r="AA30" s="165">
        <f t="shared" si="1"/>
        <v>131242</v>
      </c>
    </row>
    <row r="31" spans="1:27" x14ac:dyDescent="0.2">
      <c r="A31" s="162" t="s">
        <v>342</v>
      </c>
      <c r="B31" s="165">
        <v>13662</v>
      </c>
      <c r="C31" s="165">
        <v>13078</v>
      </c>
      <c r="D31" s="165">
        <v>17062</v>
      </c>
      <c r="E31" s="165">
        <v>19684</v>
      </c>
      <c r="F31" s="165">
        <v>6476</v>
      </c>
      <c r="G31" s="165">
        <v>7646</v>
      </c>
      <c r="H31" s="165">
        <v>13801</v>
      </c>
      <c r="I31" s="165">
        <v>9285</v>
      </c>
      <c r="J31" s="165">
        <v>6779</v>
      </c>
      <c r="K31" s="165">
        <v>8205</v>
      </c>
      <c r="L31" s="165">
        <v>14508</v>
      </c>
      <c r="M31" s="165">
        <v>10221</v>
      </c>
      <c r="N31" s="165">
        <f t="shared" si="0"/>
        <v>140407</v>
      </c>
      <c r="O31" s="165">
        <v>10926</v>
      </c>
      <c r="P31" s="165">
        <v>8871</v>
      </c>
      <c r="Q31" s="165">
        <v>6060</v>
      </c>
      <c r="R31" s="165">
        <v>13432</v>
      </c>
      <c r="S31" s="165">
        <v>19908</v>
      </c>
      <c r="T31" s="165">
        <v>13080</v>
      </c>
      <c r="U31" s="165">
        <v>6650</v>
      </c>
      <c r="V31" s="165">
        <v>6344</v>
      </c>
      <c r="W31" s="165">
        <v>18154</v>
      </c>
      <c r="X31" s="165">
        <v>14968</v>
      </c>
      <c r="Y31" s="165">
        <v>5589</v>
      </c>
      <c r="Z31" s="164">
        <v>17475</v>
      </c>
      <c r="AA31" s="165">
        <f t="shared" si="1"/>
        <v>141457</v>
      </c>
    </row>
    <row r="32" spans="1:27" x14ac:dyDescent="0.2">
      <c r="A32" s="162" t="s">
        <v>343</v>
      </c>
      <c r="B32" s="165">
        <v>5539</v>
      </c>
      <c r="C32" s="165">
        <v>8342</v>
      </c>
      <c r="D32" s="165">
        <v>19483</v>
      </c>
      <c r="E32" s="165">
        <v>10370</v>
      </c>
      <c r="F32" s="165">
        <v>10016</v>
      </c>
      <c r="G32" s="165">
        <v>12924</v>
      </c>
      <c r="H32" s="165">
        <v>7123</v>
      </c>
      <c r="I32" s="165">
        <v>11497</v>
      </c>
      <c r="J32" s="165">
        <v>18053</v>
      </c>
      <c r="K32" s="165">
        <v>8612</v>
      </c>
      <c r="L32" s="165">
        <v>10893</v>
      </c>
      <c r="M32" s="165">
        <v>14283</v>
      </c>
      <c r="N32" s="165">
        <f t="shared" si="0"/>
        <v>137135</v>
      </c>
      <c r="O32" s="165">
        <v>16737</v>
      </c>
      <c r="P32" s="165">
        <v>19253</v>
      </c>
      <c r="Q32" s="165">
        <v>13762</v>
      </c>
      <c r="R32" s="165">
        <v>16493</v>
      </c>
      <c r="S32" s="165">
        <v>17258</v>
      </c>
      <c r="T32" s="165">
        <v>9567</v>
      </c>
      <c r="U32" s="165">
        <v>14387</v>
      </c>
      <c r="V32" s="165">
        <v>10305</v>
      </c>
      <c r="W32" s="165">
        <v>11430</v>
      </c>
      <c r="X32" s="165">
        <v>6876</v>
      </c>
      <c r="Y32" s="165">
        <v>6637</v>
      </c>
      <c r="Z32" s="164">
        <v>12555</v>
      </c>
      <c r="AA32" s="165">
        <f t="shared" si="1"/>
        <v>155260</v>
      </c>
    </row>
    <row r="33" spans="1:27" x14ac:dyDescent="0.2">
      <c r="A33" s="162" t="s">
        <v>344</v>
      </c>
      <c r="B33" s="165">
        <v>14623</v>
      </c>
      <c r="C33" s="165">
        <v>6791</v>
      </c>
      <c r="D33" s="165">
        <v>18587</v>
      </c>
      <c r="E33" s="165">
        <v>9474</v>
      </c>
      <c r="F33" s="165">
        <v>15594</v>
      </c>
      <c r="G33" s="165">
        <v>5132</v>
      </c>
      <c r="H33" s="165">
        <v>12573</v>
      </c>
      <c r="I33" s="165">
        <v>9500</v>
      </c>
      <c r="J33" s="165">
        <v>18035</v>
      </c>
      <c r="K33" s="165">
        <v>5823</v>
      </c>
      <c r="L33" s="165">
        <v>9213</v>
      </c>
      <c r="M33" s="165">
        <v>9495</v>
      </c>
      <c r="N33" s="165">
        <f t="shared" si="0"/>
        <v>134840</v>
      </c>
      <c r="O33" s="165">
        <v>16403</v>
      </c>
      <c r="P33" s="165">
        <v>12394</v>
      </c>
      <c r="Q33" s="165">
        <v>12227</v>
      </c>
      <c r="R33" s="165">
        <v>5750</v>
      </c>
      <c r="S33" s="165">
        <v>9273</v>
      </c>
      <c r="T33" s="165">
        <v>13316</v>
      </c>
      <c r="U33" s="165">
        <v>19750</v>
      </c>
      <c r="V33" s="165">
        <v>19399</v>
      </c>
      <c r="W33" s="165">
        <v>15220</v>
      </c>
      <c r="X33" s="165">
        <v>15946</v>
      </c>
      <c r="Y33" s="165">
        <v>11954</v>
      </c>
      <c r="Z33" s="164">
        <v>14112</v>
      </c>
      <c r="AA33" s="165">
        <f t="shared" si="1"/>
        <v>165744</v>
      </c>
    </row>
    <row r="34" spans="1:27" x14ac:dyDescent="0.2">
      <c r="A34" s="162" t="s">
        <v>345</v>
      </c>
      <c r="B34" s="165">
        <v>5516</v>
      </c>
      <c r="C34" s="165">
        <v>5250</v>
      </c>
      <c r="D34" s="165">
        <v>14096</v>
      </c>
      <c r="E34" s="165">
        <v>18517</v>
      </c>
      <c r="F34" s="165">
        <v>9720</v>
      </c>
      <c r="G34" s="165">
        <v>12131</v>
      </c>
      <c r="H34" s="165">
        <v>12901</v>
      </c>
      <c r="I34" s="165">
        <v>9741</v>
      </c>
      <c r="J34" s="165">
        <v>16707</v>
      </c>
      <c r="K34" s="165">
        <v>15810</v>
      </c>
      <c r="L34" s="165">
        <v>9656</v>
      </c>
      <c r="M34" s="165">
        <v>16073</v>
      </c>
      <c r="N34" s="165">
        <f t="shared" si="0"/>
        <v>146118</v>
      </c>
      <c r="O34" s="165">
        <v>6085</v>
      </c>
      <c r="P34" s="165">
        <v>13828</v>
      </c>
      <c r="Q34" s="165">
        <v>16487</v>
      </c>
      <c r="R34" s="165">
        <v>14907</v>
      </c>
      <c r="S34" s="165">
        <v>12751</v>
      </c>
      <c r="T34" s="165">
        <v>19648</v>
      </c>
      <c r="U34" s="165">
        <v>16256</v>
      </c>
      <c r="V34" s="165">
        <v>5827</v>
      </c>
      <c r="W34" s="165">
        <v>14572</v>
      </c>
      <c r="X34" s="165">
        <v>11860</v>
      </c>
      <c r="Y34" s="165">
        <v>19106</v>
      </c>
      <c r="Z34" s="164">
        <v>13155</v>
      </c>
      <c r="AA34" s="165">
        <f t="shared" si="1"/>
        <v>164482</v>
      </c>
    </row>
    <row r="35" spans="1:27" x14ac:dyDescent="0.2">
      <c r="A35" s="162" t="s">
        <v>346</v>
      </c>
      <c r="B35" s="165">
        <v>19060</v>
      </c>
      <c r="C35" s="165">
        <v>14195</v>
      </c>
      <c r="D35" s="165">
        <v>15493</v>
      </c>
      <c r="E35" s="165">
        <v>7051</v>
      </c>
      <c r="F35" s="165">
        <v>11600</v>
      </c>
      <c r="G35" s="165">
        <v>8874</v>
      </c>
      <c r="H35" s="165">
        <v>17711</v>
      </c>
      <c r="I35" s="165">
        <v>16441</v>
      </c>
      <c r="J35" s="165">
        <v>14506</v>
      </c>
      <c r="K35" s="165">
        <v>9701</v>
      </c>
      <c r="L35" s="165">
        <v>7440</v>
      </c>
      <c r="M35" s="165">
        <v>12534</v>
      </c>
      <c r="N35" s="165">
        <f t="shared" si="0"/>
        <v>154606</v>
      </c>
      <c r="O35" s="165">
        <v>11734</v>
      </c>
      <c r="P35" s="165">
        <v>9332</v>
      </c>
      <c r="Q35" s="165">
        <v>14274</v>
      </c>
      <c r="R35" s="165">
        <v>16636</v>
      </c>
      <c r="S35" s="165">
        <v>10141</v>
      </c>
      <c r="T35" s="165">
        <v>12924</v>
      </c>
      <c r="U35" s="165">
        <v>14679</v>
      </c>
      <c r="V35" s="165">
        <v>19148</v>
      </c>
      <c r="W35" s="165">
        <v>10847</v>
      </c>
      <c r="X35" s="165">
        <v>5601</v>
      </c>
      <c r="Y35" s="165">
        <v>9480</v>
      </c>
      <c r="Z35" s="164">
        <v>19344</v>
      </c>
      <c r="AA35" s="165">
        <f t="shared" si="1"/>
        <v>154140</v>
      </c>
    </row>
    <row r="36" spans="1:27" x14ac:dyDescent="0.2">
      <c r="A36" s="162" t="s">
        <v>347</v>
      </c>
      <c r="B36" s="165">
        <v>18581</v>
      </c>
      <c r="C36" s="165">
        <v>10128</v>
      </c>
      <c r="D36" s="165">
        <v>15282</v>
      </c>
      <c r="E36" s="165">
        <v>12869</v>
      </c>
      <c r="F36" s="165">
        <v>14326</v>
      </c>
      <c r="G36" s="165">
        <v>13383</v>
      </c>
      <c r="H36" s="165">
        <v>14289</v>
      </c>
      <c r="I36" s="165">
        <v>13567</v>
      </c>
      <c r="J36" s="165">
        <v>18079</v>
      </c>
      <c r="K36" s="165">
        <v>9492</v>
      </c>
      <c r="L36" s="165">
        <v>13275</v>
      </c>
      <c r="M36" s="165">
        <v>9857</v>
      </c>
      <c r="N36" s="165">
        <f t="shared" si="0"/>
        <v>163128</v>
      </c>
      <c r="O36" s="165">
        <v>6076</v>
      </c>
      <c r="P36" s="165">
        <v>16909</v>
      </c>
      <c r="Q36" s="165">
        <v>16788</v>
      </c>
      <c r="R36" s="165">
        <v>8271</v>
      </c>
      <c r="S36" s="165">
        <v>11545</v>
      </c>
      <c r="T36" s="165">
        <v>18740</v>
      </c>
      <c r="U36" s="165">
        <v>8542</v>
      </c>
      <c r="V36" s="165">
        <v>7642</v>
      </c>
      <c r="W36" s="165">
        <v>5539</v>
      </c>
      <c r="X36" s="165">
        <v>5579</v>
      </c>
      <c r="Y36" s="165">
        <v>12939</v>
      </c>
      <c r="Z36" s="164">
        <v>17388</v>
      </c>
      <c r="AA36" s="165">
        <f t="shared" si="1"/>
        <v>135958</v>
      </c>
    </row>
    <row r="37" spans="1:27" x14ac:dyDescent="0.2">
      <c r="A37" s="162" t="s">
        <v>348</v>
      </c>
      <c r="B37" s="165">
        <v>8292</v>
      </c>
      <c r="C37" s="165">
        <v>14367</v>
      </c>
      <c r="D37" s="165">
        <v>13006</v>
      </c>
      <c r="E37" s="165">
        <v>17206</v>
      </c>
      <c r="F37" s="165">
        <v>8123</v>
      </c>
      <c r="G37" s="165">
        <v>9619</v>
      </c>
      <c r="H37" s="165">
        <v>9416</v>
      </c>
      <c r="I37" s="165">
        <v>19595</v>
      </c>
      <c r="J37" s="165">
        <v>13468</v>
      </c>
      <c r="K37" s="165">
        <v>10343</v>
      </c>
      <c r="L37" s="165">
        <v>15723</v>
      </c>
      <c r="M37" s="165">
        <v>11217</v>
      </c>
      <c r="N37" s="165">
        <f t="shared" si="0"/>
        <v>150375</v>
      </c>
      <c r="O37" s="165">
        <v>11158</v>
      </c>
      <c r="P37" s="165">
        <v>6911</v>
      </c>
      <c r="Q37" s="165">
        <v>11661</v>
      </c>
      <c r="R37" s="165">
        <v>17782</v>
      </c>
      <c r="S37" s="165">
        <v>9106</v>
      </c>
      <c r="T37" s="165">
        <v>18866</v>
      </c>
      <c r="U37" s="165">
        <v>17041</v>
      </c>
      <c r="V37" s="165">
        <v>10967</v>
      </c>
      <c r="W37" s="165">
        <v>7282</v>
      </c>
      <c r="X37" s="165">
        <v>19971</v>
      </c>
      <c r="Y37" s="165">
        <v>6005</v>
      </c>
      <c r="Z37" s="164">
        <v>16083</v>
      </c>
      <c r="AA37" s="165">
        <f t="shared" si="1"/>
        <v>152833</v>
      </c>
    </row>
    <row r="38" spans="1:27" x14ac:dyDescent="0.2">
      <c r="A38" s="162" t="s">
        <v>349</v>
      </c>
      <c r="B38" s="165">
        <v>14786</v>
      </c>
      <c r="C38" s="165">
        <v>18680</v>
      </c>
      <c r="D38" s="165">
        <v>17017</v>
      </c>
      <c r="E38" s="165">
        <v>6228</v>
      </c>
      <c r="F38" s="165">
        <v>6769</v>
      </c>
      <c r="G38" s="165">
        <v>7324</v>
      </c>
      <c r="H38" s="165">
        <v>8355</v>
      </c>
      <c r="I38" s="165">
        <v>16444</v>
      </c>
      <c r="J38" s="165">
        <v>9851</v>
      </c>
      <c r="K38" s="165">
        <v>18952</v>
      </c>
      <c r="L38" s="165">
        <v>11764</v>
      </c>
      <c r="M38" s="165">
        <v>14798</v>
      </c>
      <c r="N38" s="165">
        <f t="shared" si="0"/>
        <v>150968</v>
      </c>
      <c r="O38" s="165">
        <v>12418</v>
      </c>
      <c r="P38" s="165">
        <v>11469</v>
      </c>
      <c r="Q38" s="165">
        <v>12558</v>
      </c>
      <c r="R38" s="165">
        <v>19983</v>
      </c>
      <c r="S38" s="165">
        <v>9728</v>
      </c>
      <c r="T38" s="165">
        <v>19757</v>
      </c>
      <c r="U38" s="165">
        <v>14123</v>
      </c>
      <c r="V38" s="165">
        <v>19290</v>
      </c>
      <c r="W38" s="165">
        <v>7601</v>
      </c>
      <c r="X38" s="165">
        <v>6342</v>
      </c>
      <c r="Y38" s="165">
        <v>9081</v>
      </c>
      <c r="Z38" s="164">
        <v>13734</v>
      </c>
      <c r="AA38" s="165">
        <f t="shared" si="1"/>
        <v>156084</v>
      </c>
    </row>
    <row r="39" spans="1:27" x14ac:dyDescent="0.2">
      <c r="A39" s="162" t="s">
        <v>350</v>
      </c>
      <c r="B39" s="165">
        <v>18902</v>
      </c>
      <c r="C39" s="165">
        <v>13266</v>
      </c>
      <c r="D39" s="165">
        <v>17200</v>
      </c>
      <c r="E39" s="165">
        <v>15175</v>
      </c>
      <c r="F39" s="165">
        <v>12842</v>
      </c>
      <c r="G39" s="165">
        <v>17745</v>
      </c>
      <c r="H39" s="165">
        <v>18418</v>
      </c>
      <c r="I39" s="165">
        <v>17319</v>
      </c>
      <c r="J39" s="165">
        <v>15059</v>
      </c>
      <c r="K39" s="165">
        <v>18954</v>
      </c>
      <c r="L39" s="165">
        <v>13154</v>
      </c>
      <c r="M39" s="165">
        <v>9836</v>
      </c>
      <c r="N39" s="165">
        <f t="shared" si="0"/>
        <v>187870</v>
      </c>
      <c r="O39" s="165">
        <v>15822</v>
      </c>
      <c r="P39" s="165">
        <v>18074</v>
      </c>
      <c r="Q39" s="165">
        <v>15802</v>
      </c>
      <c r="R39" s="165">
        <v>18933</v>
      </c>
      <c r="S39" s="165">
        <v>11465</v>
      </c>
      <c r="T39" s="165">
        <v>17123</v>
      </c>
      <c r="U39" s="165">
        <v>6115</v>
      </c>
      <c r="V39" s="165">
        <v>10932</v>
      </c>
      <c r="W39" s="165">
        <v>10448</v>
      </c>
      <c r="X39" s="165">
        <v>7519</v>
      </c>
      <c r="Y39" s="165">
        <v>17512</v>
      </c>
      <c r="Z39" s="164">
        <v>10895</v>
      </c>
      <c r="AA39" s="165">
        <f t="shared" si="1"/>
        <v>160640</v>
      </c>
    </row>
    <row r="40" spans="1:27" x14ac:dyDescent="0.2">
      <c r="A40" s="162" t="s">
        <v>351</v>
      </c>
      <c r="B40" s="165">
        <v>6534</v>
      </c>
      <c r="C40" s="165">
        <v>11719</v>
      </c>
      <c r="D40" s="165">
        <v>7968</v>
      </c>
      <c r="E40" s="165">
        <v>9533</v>
      </c>
      <c r="F40" s="165">
        <v>14362</v>
      </c>
      <c r="G40" s="165">
        <v>19152</v>
      </c>
      <c r="H40" s="165">
        <v>15350</v>
      </c>
      <c r="I40" s="165">
        <v>6993</v>
      </c>
      <c r="J40" s="165">
        <v>16146</v>
      </c>
      <c r="K40" s="165">
        <v>9504</v>
      </c>
      <c r="L40" s="165">
        <v>7039</v>
      </c>
      <c r="M40" s="165">
        <v>11452</v>
      </c>
      <c r="N40" s="165">
        <f t="shared" si="0"/>
        <v>135752</v>
      </c>
      <c r="O40" s="165">
        <v>8484</v>
      </c>
      <c r="P40" s="165">
        <v>13902</v>
      </c>
      <c r="Q40" s="165">
        <v>14362</v>
      </c>
      <c r="R40" s="165">
        <v>6347</v>
      </c>
      <c r="S40" s="165">
        <v>17204</v>
      </c>
      <c r="T40" s="165">
        <v>8025</v>
      </c>
      <c r="U40" s="165">
        <v>11520</v>
      </c>
      <c r="V40" s="165">
        <v>13589</v>
      </c>
      <c r="W40" s="165">
        <v>18253</v>
      </c>
      <c r="X40" s="165">
        <v>7965</v>
      </c>
      <c r="Y40" s="165">
        <v>10803</v>
      </c>
      <c r="Z40" s="164">
        <v>10985</v>
      </c>
      <c r="AA40" s="165">
        <f t="shared" si="1"/>
        <v>141439</v>
      </c>
    </row>
    <row r="41" spans="1:27" x14ac:dyDescent="0.2">
      <c r="A41" s="162" t="s">
        <v>352</v>
      </c>
      <c r="B41" s="165">
        <v>11854</v>
      </c>
      <c r="C41" s="165">
        <v>16576</v>
      </c>
      <c r="D41" s="165">
        <v>5217</v>
      </c>
      <c r="E41" s="165">
        <v>16091</v>
      </c>
      <c r="F41" s="165">
        <v>7536</v>
      </c>
      <c r="G41" s="165">
        <v>16992</v>
      </c>
      <c r="H41" s="165">
        <v>14597</v>
      </c>
      <c r="I41" s="165">
        <v>16113</v>
      </c>
      <c r="J41" s="165">
        <v>7059</v>
      </c>
      <c r="K41" s="165">
        <v>14751</v>
      </c>
      <c r="L41" s="165">
        <v>12327</v>
      </c>
      <c r="M41" s="165">
        <v>5199</v>
      </c>
      <c r="N41" s="165">
        <f t="shared" si="0"/>
        <v>144312</v>
      </c>
      <c r="O41" s="165">
        <v>11556</v>
      </c>
      <c r="P41" s="165">
        <v>14035</v>
      </c>
      <c r="Q41" s="165">
        <v>13549</v>
      </c>
      <c r="R41" s="165">
        <v>9272</v>
      </c>
      <c r="S41" s="165">
        <v>7702</v>
      </c>
      <c r="T41" s="165">
        <v>19128</v>
      </c>
      <c r="U41" s="165">
        <v>17062</v>
      </c>
      <c r="V41" s="165">
        <v>6877</v>
      </c>
      <c r="W41" s="165">
        <v>18439</v>
      </c>
      <c r="X41" s="165">
        <v>10047</v>
      </c>
      <c r="Y41" s="165">
        <v>19002</v>
      </c>
      <c r="Z41" s="164">
        <v>17989</v>
      </c>
      <c r="AA41" s="165">
        <f t="shared" si="1"/>
        <v>164658</v>
      </c>
    </row>
    <row r="42" spans="1:27" x14ac:dyDescent="0.2">
      <c r="A42" s="162" t="s">
        <v>353</v>
      </c>
      <c r="B42" s="165">
        <v>17605</v>
      </c>
      <c r="C42" s="165">
        <v>17561</v>
      </c>
      <c r="D42" s="165">
        <v>13666</v>
      </c>
      <c r="E42" s="165">
        <v>15781</v>
      </c>
      <c r="F42" s="165">
        <v>12435</v>
      </c>
      <c r="G42" s="165">
        <v>17785</v>
      </c>
      <c r="H42" s="165">
        <v>11838</v>
      </c>
      <c r="I42" s="165">
        <v>7946</v>
      </c>
      <c r="J42" s="165">
        <v>6279</v>
      </c>
      <c r="K42" s="165">
        <v>10857</v>
      </c>
      <c r="L42" s="165">
        <v>5674</v>
      </c>
      <c r="M42" s="165">
        <v>19979</v>
      </c>
      <c r="N42" s="165">
        <f t="shared" si="0"/>
        <v>157406</v>
      </c>
      <c r="O42" s="165">
        <v>16180</v>
      </c>
      <c r="P42" s="165">
        <v>8515</v>
      </c>
      <c r="Q42" s="165">
        <v>19947</v>
      </c>
      <c r="R42" s="165">
        <v>14502</v>
      </c>
      <c r="S42" s="165">
        <v>11259</v>
      </c>
      <c r="T42" s="165">
        <v>10552</v>
      </c>
      <c r="U42" s="165">
        <v>17073</v>
      </c>
      <c r="V42" s="165">
        <v>16709</v>
      </c>
      <c r="W42" s="165">
        <v>17675</v>
      </c>
      <c r="X42" s="165">
        <v>14498</v>
      </c>
      <c r="Y42" s="165">
        <v>19813</v>
      </c>
      <c r="Z42" s="164">
        <v>10660</v>
      </c>
      <c r="AA42" s="165">
        <f t="shared" si="1"/>
        <v>177383</v>
      </c>
    </row>
    <row r="43" spans="1:27" x14ac:dyDescent="0.2">
      <c r="A43" s="162" t="s">
        <v>354</v>
      </c>
      <c r="B43" s="165">
        <v>15704</v>
      </c>
      <c r="C43" s="165">
        <v>7242</v>
      </c>
      <c r="D43" s="165">
        <v>9722</v>
      </c>
      <c r="E43" s="165">
        <v>18829</v>
      </c>
      <c r="F43" s="165">
        <v>6456</v>
      </c>
      <c r="G43" s="165">
        <v>7959</v>
      </c>
      <c r="H43" s="165">
        <v>10519</v>
      </c>
      <c r="I43" s="165">
        <v>16130</v>
      </c>
      <c r="J43" s="165">
        <v>17488</v>
      </c>
      <c r="K43" s="165">
        <v>15123</v>
      </c>
      <c r="L43" s="165">
        <v>5200</v>
      </c>
      <c r="M43" s="165">
        <v>11602</v>
      </c>
      <c r="N43" s="165">
        <f t="shared" si="0"/>
        <v>141974</v>
      </c>
      <c r="O43" s="165">
        <v>12951</v>
      </c>
      <c r="P43" s="165">
        <v>5289</v>
      </c>
      <c r="Q43" s="165">
        <v>15953</v>
      </c>
      <c r="R43" s="165">
        <v>6950</v>
      </c>
      <c r="S43" s="165">
        <v>13180</v>
      </c>
      <c r="T43" s="165">
        <v>11215</v>
      </c>
      <c r="U43" s="165">
        <v>5305</v>
      </c>
      <c r="V43" s="165">
        <v>17191</v>
      </c>
      <c r="W43" s="165">
        <v>6740</v>
      </c>
      <c r="X43" s="165">
        <v>11561</v>
      </c>
      <c r="Y43" s="165">
        <v>7145</v>
      </c>
      <c r="Z43" s="164">
        <v>6681</v>
      </c>
      <c r="AA43" s="165">
        <f t="shared" si="1"/>
        <v>120161</v>
      </c>
    </row>
    <row r="44" spans="1:27" x14ac:dyDescent="0.2">
      <c r="A44" s="162" t="s">
        <v>355</v>
      </c>
      <c r="B44" s="165">
        <v>5281</v>
      </c>
      <c r="C44" s="165">
        <v>13580</v>
      </c>
      <c r="D44" s="165">
        <v>13457</v>
      </c>
      <c r="E44" s="165">
        <v>5902</v>
      </c>
      <c r="F44" s="165">
        <v>17324</v>
      </c>
      <c r="G44" s="165">
        <v>13219</v>
      </c>
      <c r="H44" s="165">
        <v>18132</v>
      </c>
      <c r="I44" s="165">
        <v>11051</v>
      </c>
      <c r="J44" s="165">
        <v>10766</v>
      </c>
      <c r="K44" s="165">
        <v>15464</v>
      </c>
      <c r="L44" s="165">
        <v>18354</v>
      </c>
      <c r="M44" s="165">
        <v>14381</v>
      </c>
      <c r="N44" s="165">
        <f t="shared" si="0"/>
        <v>156911</v>
      </c>
      <c r="O44" s="165">
        <v>5450</v>
      </c>
      <c r="P44" s="165">
        <v>8181</v>
      </c>
      <c r="Q44" s="165">
        <v>5283</v>
      </c>
      <c r="R44" s="165">
        <v>10888</v>
      </c>
      <c r="S44" s="165">
        <v>19203</v>
      </c>
      <c r="T44" s="165">
        <v>15468</v>
      </c>
      <c r="U44" s="165">
        <v>6123</v>
      </c>
      <c r="V44" s="165">
        <v>11596</v>
      </c>
      <c r="W44" s="165">
        <v>13901</v>
      </c>
      <c r="X44" s="165">
        <v>7428</v>
      </c>
      <c r="Y44" s="165">
        <v>17297</v>
      </c>
      <c r="Z44" s="164">
        <v>9244</v>
      </c>
      <c r="AA44" s="165">
        <f t="shared" si="1"/>
        <v>130062</v>
      </c>
    </row>
    <row r="45" spans="1:27" x14ac:dyDescent="0.2">
      <c r="A45" s="162" t="s">
        <v>356</v>
      </c>
      <c r="B45" s="165">
        <v>17239</v>
      </c>
      <c r="C45" s="165">
        <v>6026</v>
      </c>
      <c r="D45" s="165">
        <v>9202</v>
      </c>
      <c r="E45" s="165">
        <v>10756</v>
      </c>
      <c r="F45" s="165">
        <v>18529</v>
      </c>
      <c r="G45" s="165">
        <v>16688</v>
      </c>
      <c r="H45" s="165">
        <v>9593</v>
      </c>
      <c r="I45" s="165">
        <v>18795</v>
      </c>
      <c r="J45" s="165">
        <v>15732</v>
      </c>
      <c r="K45" s="165">
        <v>10094</v>
      </c>
      <c r="L45" s="165">
        <v>16624</v>
      </c>
      <c r="M45" s="165">
        <v>12023</v>
      </c>
      <c r="N45" s="165">
        <f t="shared" si="0"/>
        <v>161301</v>
      </c>
      <c r="O45" s="165">
        <v>14502</v>
      </c>
      <c r="P45" s="165">
        <v>19948</v>
      </c>
      <c r="Q45" s="165">
        <v>16276</v>
      </c>
      <c r="R45" s="165">
        <v>19688</v>
      </c>
      <c r="S45" s="165">
        <v>5660</v>
      </c>
      <c r="T45" s="165">
        <v>15523</v>
      </c>
      <c r="U45" s="165">
        <v>11515</v>
      </c>
      <c r="V45" s="165">
        <v>11254</v>
      </c>
      <c r="W45" s="165">
        <v>15923</v>
      </c>
      <c r="X45" s="165">
        <v>5712</v>
      </c>
      <c r="Y45" s="165">
        <v>5633</v>
      </c>
      <c r="Z45" s="164">
        <v>8957</v>
      </c>
      <c r="AA45" s="165">
        <f t="shared" si="1"/>
        <v>150591</v>
      </c>
    </row>
    <row r="46" spans="1:27" x14ac:dyDescent="0.2">
      <c r="A46" s="162" t="s">
        <v>357</v>
      </c>
      <c r="B46" s="165">
        <v>7671</v>
      </c>
      <c r="C46" s="165">
        <v>7805</v>
      </c>
      <c r="D46" s="165">
        <v>16051</v>
      </c>
      <c r="E46" s="165">
        <v>13455</v>
      </c>
      <c r="F46" s="165">
        <v>12161</v>
      </c>
      <c r="G46" s="165">
        <v>18888</v>
      </c>
      <c r="H46" s="165">
        <v>6106</v>
      </c>
      <c r="I46" s="165">
        <v>12411</v>
      </c>
      <c r="J46" s="165">
        <v>9663</v>
      </c>
      <c r="K46" s="165">
        <v>15248</v>
      </c>
      <c r="L46" s="165">
        <v>15918</v>
      </c>
      <c r="M46" s="165">
        <v>17634</v>
      </c>
      <c r="N46" s="165">
        <f t="shared" si="0"/>
        <v>153011</v>
      </c>
      <c r="O46" s="165">
        <v>11238</v>
      </c>
      <c r="P46" s="165">
        <v>17004</v>
      </c>
      <c r="Q46" s="165">
        <v>11979</v>
      </c>
      <c r="R46" s="165">
        <v>7424</v>
      </c>
      <c r="S46" s="165">
        <v>15534</v>
      </c>
      <c r="T46" s="165">
        <v>11093</v>
      </c>
      <c r="U46" s="165">
        <v>7073</v>
      </c>
      <c r="V46" s="165">
        <v>6393</v>
      </c>
      <c r="W46" s="165">
        <v>18944</v>
      </c>
      <c r="X46" s="165">
        <v>10794</v>
      </c>
      <c r="Y46" s="165">
        <v>9890</v>
      </c>
      <c r="Z46" s="164">
        <v>10556</v>
      </c>
      <c r="AA46" s="165">
        <f t="shared" si="1"/>
        <v>137922</v>
      </c>
    </row>
    <row r="47" spans="1:27" x14ac:dyDescent="0.2">
      <c r="A47" s="162" t="s">
        <v>358</v>
      </c>
      <c r="B47" s="165">
        <v>14831</v>
      </c>
      <c r="C47" s="165">
        <v>13384</v>
      </c>
      <c r="D47" s="165">
        <v>18307</v>
      </c>
      <c r="E47" s="165">
        <v>9242</v>
      </c>
      <c r="F47" s="165">
        <v>11397</v>
      </c>
      <c r="G47" s="165">
        <v>17408</v>
      </c>
      <c r="H47" s="165">
        <v>7687</v>
      </c>
      <c r="I47" s="165">
        <v>13877</v>
      </c>
      <c r="J47" s="165">
        <v>12516</v>
      </c>
      <c r="K47" s="165">
        <v>14197</v>
      </c>
      <c r="L47" s="165">
        <v>16861</v>
      </c>
      <c r="M47" s="165">
        <v>11588</v>
      </c>
      <c r="N47" s="165">
        <f t="shared" si="0"/>
        <v>161295</v>
      </c>
      <c r="O47" s="165">
        <v>12423</v>
      </c>
      <c r="P47" s="165">
        <v>8346</v>
      </c>
      <c r="Q47" s="165">
        <v>14133</v>
      </c>
      <c r="R47" s="165">
        <v>9854</v>
      </c>
      <c r="S47" s="165">
        <v>17136</v>
      </c>
      <c r="T47" s="165">
        <v>15789</v>
      </c>
      <c r="U47" s="165">
        <v>11800</v>
      </c>
      <c r="V47" s="165">
        <v>5698</v>
      </c>
      <c r="W47" s="165">
        <v>6306</v>
      </c>
      <c r="X47" s="165">
        <v>17882</v>
      </c>
      <c r="Y47" s="165">
        <v>16937</v>
      </c>
      <c r="Z47" s="164">
        <v>17988</v>
      </c>
      <c r="AA47" s="165">
        <f t="shared" si="1"/>
        <v>154292</v>
      </c>
    </row>
    <row r="48" spans="1:27" x14ac:dyDescent="0.2">
      <c r="A48" s="162" t="s">
        <v>359</v>
      </c>
      <c r="B48" s="165">
        <v>19111</v>
      </c>
      <c r="C48" s="165">
        <v>12028</v>
      </c>
      <c r="D48" s="165">
        <v>7570</v>
      </c>
      <c r="E48" s="165">
        <v>8210</v>
      </c>
      <c r="F48" s="165">
        <v>10866</v>
      </c>
      <c r="G48" s="165">
        <v>15584</v>
      </c>
      <c r="H48" s="165">
        <v>18196</v>
      </c>
      <c r="I48" s="165">
        <v>19882</v>
      </c>
      <c r="J48" s="165">
        <v>7372</v>
      </c>
      <c r="K48" s="165">
        <v>10913</v>
      </c>
      <c r="L48" s="165">
        <v>5025</v>
      </c>
      <c r="M48" s="165">
        <v>6960</v>
      </c>
      <c r="N48" s="165">
        <f t="shared" si="0"/>
        <v>141717</v>
      </c>
      <c r="O48" s="165">
        <v>12032</v>
      </c>
      <c r="P48" s="165">
        <v>8605</v>
      </c>
      <c r="Q48" s="165">
        <v>19363</v>
      </c>
      <c r="R48" s="165">
        <v>12028</v>
      </c>
      <c r="S48" s="165">
        <v>12407</v>
      </c>
      <c r="T48" s="165">
        <v>19691</v>
      </c>
      <c r="U48" s="165">
        <v>10904</v>
      </c>
      <c r="V48" s="165">
        <v>10919</v>
      </c>
      <c r="W48" s="165">
        <v>14229</v>
      </c>
      <c r="X48" s="165">
        <v>16597</v>
      </c>
      <c r="Y48" s="165">
        <v>13312</v>
      </c>
      <c r="Z48" s="164">
        <v>7760</v>
      </c>
      <c r="AA48" s="165">
        <f t="shared" si="1"/>
        <v>157847</v>
      </c>
    </row>
    <row r="49" spans="1:27" x14ac:dyDescent="0.2">
      <c r="A49" s="162" t="s">
        <v>360</v>
      </c>
      <c r="B49" s="165">
        <v>11427</v>
      </c>
      <c r="C49" s="165">
        <v>17343</v>
      </c>
      <c r="D49" s="165">
        <v>6397</v>
      </c>
      <c r="E49" s="165">
        <v>18411</v>
      </c>
      <c r="F49" s="165">
        <v>18301</v>
      </c>
      <c r="G49" s="165">
        <v>11781</v>
      </c>
      <c r="H49" s="165">
        <v>8772</v>
      </c>
      <c r="I49" s="165">
        <v>11180</v>
      </c>
      <c r="J49" s="165">
        <v>19598</v>
      </c>
      <c r="K49" s="165">
        <v>7800</v>
      </c>
      <c r="L49" s="165">
        <v>13676</v>
      </c>
      <c r="M49" s="165">
        <v>17108</v>
      </c>
      <c r="N49" s="165">
        <f t="shared" si="0"/>
        <v>161794</v>
      </c>
      <c r="O49" s="165">
        <v>13455</v>
      </c>
      <c r="P49" s="165">
        <v>7885</v>
      </c>
      <c r="Q49" s="165">
        <v>11937</v>
      </c>
      <c r="R49" s="165">
        <v>17355</v>
      </c>
      <c r="S49" s="165">
        <v>19088</v>
      </c>
      <c r="T49" s="165">
        <v>6668</v>
      </c>
      <c r="U49" s="165">
        <v>10330</v>
      </c>
      <c r="V49" s="165">
        <v>14619</v>
      </c>
      <c r="W49" s="165">
        <v>17171</v>
      </c>
      <c r="X49" s="165">
        <v>6959</v>
      </c>
      <c r="Y49" s="165">
        <v>8386</v>
      </c>
      <c r="Z49" s="164">
        <v>14097</v>
      </c>
      <c r="AA49" s="165">
        <f t="shared" si="1"/>
        <v>147950</v>
      </c>
    </row>
    <row r="50" spans="1:27" x14ac:dyDescent="0.2">
      <c r="A50" s="162" t="s">
        <v>361</v>
      </c>
      <c r="B50" s="165">
        <v>11513</v>
      </c>
      <c r="C50" s="165">
        <v>5976</v>
      </c>
      <c r="D50" s="165">
        <v>6181</v>
      </c>
      <c r="E50" s="165">
        <v>8137</v>
      </c>
      <c r="F50" s="165">
        <v>18465</v>
      </c>
      <c r="G50" s="165">
        <v>13712</v>
      </c>
      <c r="H50" s="165">
        <v>11170</v>
      </c>
      <c r="I50" s="165">
        <v>12171</v>
      </c>
      <c r="J50" s="165">
        <v>16149</v>
      </c>
      <c r="K50" s="165">
        <v>15722</v>
      </c>
      <c r="L50" s="165">
        <v>15018</v>
      </c>
      <c r="M50" s="165">
        <v>13325</v>
      </c>
      <c r="N50" s="165">
        <f t="shared" si="0"/>
        <v>147539</v>
      </c>
      <c r="O50" s="165">
        <v>18260</v>
      </c>
      <c r="P50" s="165">
        <v>9998</v>
      </c>
      <c r="Q50" s="165">
        <v>17994</v>
      </c>
      <c r="R50" s="165">
        <v>16964</v>
      </c>
      <c r="S50" s="165">
        <v>11340</v>
      </c>
      <c r="T50" s="165">
        <v>13115</v>
      </c>
      <c r="U50" s="165">
        <v>13575</v>
      </c>
      <c r="V50" s="165">
        <v>13320</v>
      </c>
      <c r="W50" s="165">
        <v>16324</v>
      </c>
      <c r="X50" s="165">
        <v>11031</v>
      </c>
      <c r="Y50" s="165">
        <v>15337</v>
      </c>
      <c r="Z50" s="164">
        <v>12577</v>
      </c>
      <c r="AA50" s="165">
        <f t="shared" si="1"/>
        <v>169835</v>
      </c>
    </row>
    <row r="51" spans="1:27" x14ac:dyDescent="0.2">
      <c r="A51" s="162" t="s">
        <v>362</v>
      </c>
      <c r="B51" s="165">
        <v>17495</v>
      </c>
      <c r="C51" s="165">
        <v>11437</v>
      </c>
      <c r="D51" s="165">
        <v>12256</v>
      </c>
      <c r="E51" s="165">
        <v>16601</v>
      </c>
      <c r="F51" s="165">
        <v>13574</v>
      </c>
      <c r="G51" s="165">
        <v>13343</v>
      </c>
      <c r="H51" s="165">
        <v>11033</v>
      </c>
      <c r="I51" s="165">
        <v>13802</v>
      </c>
      <c r="J51" s="165">
        <v>6894</v>
      </c>
      <c r="K51" s="165">
        <v>8348</v>
      </c>
      <c r="L51" s="165">
        <v>13376</v>
      </c>
      <c r="M51" s="165">
        <v>8467</v>
      </c>
      <c r="N51" s="165">
        <f t="shared" si="0"/>
        <v>146626</v>
      </c>
      <c r="O51" s="165">
        <v>8706</v>
      </c>
      <c r="P51" s="165">
        <v>5432</v>
      </c>
      <c r="Q51" s="165">
        <v>19284</v>
      </c>
      <c r="R51" s="165">
        <v>18168</v>
      </c>
      <c r="S51" s="165">
        <v>12445</v>
      </c>
      <c r="T51" s="165">
        <v>9583</v>
      </c>
      <c r="U51" s="165">
        <v>9060</v>
      </c>
      <c r="V51" s="165">
        <v>6365</v>
      </c>
      <c r="W51" s="165">
        <v>11837</v>
      </c>
      <c r="X51" s="165">
        <v>11508</v>
      </c>
      <c r="Y51" s="165">
        <v>5482</v>
      </c>
      <c r="Z51" s="164">
        <v>12859</v>
      </c>
      <c r="AA51" s="165">
        <f t="shared" si="1"/>
        <v>130729</v>
      </c>
    </row>
    <row r="52" spans="1:27" x14ac:dyDescent="0.2">
      <c r="A52" s="162" t="s">
        <v>363</v>
      </c>
      <c r="B52" s="165">
        <v>8533</v>
      </c>
      <c r="C52" s="165">
        <v>5496</v>
      </c>
      <c r="D52" s="165">
        <v>10999</v>
      </c>
      <c r="E52" s="165">
        <v>11180</v>
      </c>
      <c r="F52" s="165">
        <v>16356</v>
      </c>
      <c r="G52" s="165">
        <v>16736</v>
      </c>
      <c r="H52" s="165">
        <v>14158</v>
      </c>
      <c r="I52" s="165">
        <v>16124</v>
      </c>
      <c r="J52" s="165">
        <v>13006</v>
      </c>
      <c r="K52" s="165">
        <v>19446</v>
      </c>
      <c r="L52" s="165">
        <v>18524</v>
      </c>
      <c r="M52" s="165">
        <v>7931</v>
      </c>
      <c r="N52" s="165">
        <f t="shared" si="0"/>
        <v>158489</v>
      </c>
      <c r="O52" s="165">
        <v>14565</v>
      </c>
      <c r="P52" s="165">
        <v>8712</v>
      </c>
      <c r="Q52" s="165">
        <v>14337</v>
      </c>
      <c r="R52" s="165">
        <v>7471</v>
      </c>
      <c r="S52" s="165">
        <v>6945</v>
      </c>
      <c r="T52" s="165">
        <v>18688</v>
      </c>
      <c r="U52" s="165">
        <v>11927</v>
      </c>
      <c r="V52" s="165">
        <v>12835</v>
      </c>
      <c r="W52" s="165">
        <v>9029</v>
      </c>
      <c r="X52" s="165">
        <v>18655</v>
      </c>
      <c r="Y52" s="165">
        <v>11885</v>
      </c>
      <c r="Z52" s="164">
        <v>12315</v>
      </c>
      <c r="AA52" s="165">
        <f t="shared" si="1"/>
        <v>147364</v>
      </c>
    </row>
    <row r="53" spans="1:27" x14ac:dyDescent="0.2">
      <c r="A53" s="162" t="s">
        <v>364</v>
      </c>
      <c r="B53" s="165">
        <v>7203</v>
      </c>
      <c r="C53" s="165">
        <v>7762</v>
      </c>
      <c r="D53" s="165">
        <v>5119</v>
      </c>
      <c r="E53" s="165">
        <v>18333</v>
      </c>
      <c r="F53" s="165">
        <v>11950</v>
      </c>
      <c r="G53" s="165">
        <v>17114</v>
      </c>
      <c r="H53" s="165">
        <v>13514</v>
      </c>
      <c r="I53" s="165">
        <v>16562</v>
      </c>
      <c r="J53" s="165">
        <v>13361</v>
      </c>
      <c r="K53" s="165">
        <v>5044</v>
      </c>
      <c r="L53" s="165">
        <v>13036</v>
      </c>
      <c r="M53" s="165">
        <v>14820</v>
      </c>
      <c r="N53" s="165">
        <f t="shared" si="0"/>
        <v>143818</v>
      </c>
      <c r="O53" s="165">
        <v>7255</v>
      </c>
      <c r="P53" s="165">
        <v>13462</v>
      </c>
      <c r="Q53" s="165">
        <v>5218</v>
      </c>
      <c r="R53" s="165">
        <v>19210</v>
      </c>
      <c r="S53" s="165">
        <v>7531</v>
      </c>
      <c r="T53" s="165">
        <v>16113</v>
      </c>
      <c r="U53" s="165">
        <v>11184</v>
      </c>
      <c r="V53" s="165">
        <v>8079</v>
      </c>
      <c r="W53" s="165">
        <v>17129</v>
      </c>
      <c r="X53" s="165">
        <v>8763</v>
      </c>
      <c r="Y53" s="165">
        <v>12157</v>
      </c>
      <c r="Z53" s="164">
        <v>10120</v>
      </c>
      <c r="AA53" s="165">
        <f t="shared" si="1"/>
        <v>136221</v>
      </c>
    </row>
    <row r="54" spans="1:27" x14ac:dyDescent="0.2">
      <c r="A54" s="162" t="s">
        <v>365</v>
      </c>
      <c r="B54" s="165">
        <v>6283</v>
      </c>
      <c r="C54" s="165">
        <v>18607</v>
      </c>
      <c r="D54" s="165">
        <v>10329</v>
      </c>
      <c r="E54" s="165">
        <v>10158</v>
      </c>
      <c r="F54" s="165">
        <v>8226</v>
      </c>
      <c r="G54" s="165">
        <v>16507</v>
      </c>
      <c r="H54" s="165">
        <v>17860</v>
      </c>
      <c r="I54" s="165">
        <v>5760</v>
      </c>
      <c r="J54" s="165">
        <v>9959</v>
      </c>
      <c r="K54" s="165">
        <v>9552</v>
      </c>
      <c r="L54" s="165">
        <v>13808</v>
      </c>
      <c r="M54" s="165">
        <v>18637</v>
      </c>
      <c r="N54" s="165">
        <f t="shared" si="0"/>
        <v>145686</v>
      </c>
      <c r="O54" s="165">
        <v>5804</v>
      </c>
      <c r="P54" s="165">
        <v>8150</v>
      </c>
      <c r="Q54" s="165">
        <v>9822</v>
      </c>
      <c r="R54" s="165">
        <v>14198</v>
      </c>
      <c r="S54" s="165">
        <v>11139</v>
      </c>
      <c r="T54" s="165">
        <v>8079</v>
      </c>
      <c r="U54" s="165">
        <v>13675</v>
      </c>
      <c r="V54" s="165">
        <v>7157</v>
      </c>
      <c r="W54" s="165">
        <v>11035</v>
      </c>
      <c r="X54" s="165">
        <v>5834</v>
      </c>
      <c r="Y54" s="165">
        <v>12339</v>
      </c>
      <c r="Z54" s="164">
        <v>14700</v>
      </c>
      <c r="AA54" s="165">
        <f t="shared" si="1"/>
        <v>121932</v>
      </c>
    </row>
    <row r="55" spans="1:27" x14ac:dyDescent="0.2">
      <c r="A55" s="162" t="s">
        <v>366</v>
      </c>
      <c r="B55" s="165">
        <v>9078</v>
      </c>
      <c r="C55" s="165">
        <v>16628</v>
      </c>
      <c r="D55" s="165">
        <v>16254</v>
      </c>
      <c r="E55" s="165">
        <v>13979</v>
      </c>
      <c r="F55" s="165">
        <v>5305</v>
      </c>
      <c r="G55" s="165">
        <v>11078</v>
      </c>
      <c r="H55" s="165">
        <v>9412</v>
      </c>
      <c r="I55" s="165">
        <v>18131</v>
      </c>
      <c r="J55" s="165">
        <v>13290</v>
      </c>
      <c r="K55" s="165">
        <v>7422</v>
      </c>
      <c r="L55" s="165">
        <v>12728</v>
      </c>
      <c r="M55" s="165">
        <v>18330</v>
      </c>
      <c r="N55" s="165">
        <f t="shared" si="0"/>
        <v>151635</v>
      </c>
      <c r="O55" s="165">
        <v>16496</v>
      </c>
      <c r="P55" s="165">
        <v>17307</v>
      </c>
      <c r="Q55" s="165">
        <v>18773</v>
      </c>
      <c r="R55" s="165">
        <v>10711</v>
      </c>
      <c r="S55" s="165">
        <v>8373</v>
      </c>
      <c r="T55" s="165">
        <v>17730</v>
      </c>
      <c r="U55" s="165">
        <v>9674</v>
      </c>
      <c r="V55" s="165">
        <v>12862</v>
      </c>
      <c r="W55" s="165">
        <v>11385</v>
      </c>
      <c r="X55" s="165">
        <v>13482</v>
      </c>
      <c r="Y55" s="165">
        <v>7804</v>
      </c>
      <c r="Z55" s="164">
        <v>19244</v>
      </c>
      <c r="AA55" s="165">
        <f t="shared" si="1"/>
        <v>163841</v>
      </c>
    </row>
    <row r="56" spans="1:27" x14ac:dyDescent="0.2">
      <c r="A56" s="162" t="s">
        <v>367</v>
      </c>
      <c r="B56" s="165">
        <v>5762</v>
      </c>
      <c r="C56" s="165">
        <v>6675</v>
      </c>
      <c r="D56" s="165">
        <v>16054</v>
      </c>
      <c r="E56" s="165">
        <v>18835</v>
      </c>
      <c r="F56" s="165">
        <v>19355</v>
      </c>
      <c r="G56" s="165">
        <v>15171</v>
      </c>
      <c r="H56" s="165">
        <v>18125</v>
      </c>
      <c r="I56" s="165">
        <v>5839</v>
      </c>
      <c r="J56" s="165">
        <v>14601</v>
      </c>
      <c r="K56" s="165">
        <v>5715</v>
      </c>
      <c r="L56" s="165">
        <v>8943</v>
      </c>
      <c r="M56" s="165">
        <v>14965</v>
      </c>
      <c r="N56" s="165">
        <f t="shared" si="0"/>
        <v>150040</v>
      </c>
      <c r="O56" s="165">
        <v>7939</v>
      </c>
      <c r="P56" s="165">
        <v>7909</v>
      </c>
      <c r="Q56" s="165">
        <v>7684</v>
      </c>
      <c r="R56" s="165">
        <v>8988</v>
      </c>
      <c r="S56" s="165">
        <v>9426</v>
      </c>
      <c r="T56" s="165">
        <v>7835</v>
      </c>
      <c r="U56" s="165">
        <v>8010</v>
      </c>
      <c r="V56" s="165">
        <v>19882</v>
      </c>
      <c r="W56" s="165">
        <v>16874</v>
      </c>
      <c r="X56" s="165">
        <v>6619</v>
      </c>
      <c r="Y56" s="165">
        <v>19328</v>
      </c>
      <c r="Z56" s="164">
        <v>7511</v>
      </c>
      <c r="AA56" s="165">
        <f t="shared" si="1"/>
        <v>128005</v>
      </c>
    </row>
    <row r="57" spans="1:27" x14ac:dyDescent="0.2">
      <c r="A57" s="162" t="s">
        <v>368</v>
      </c>
      <c r="B57" s="165">
        <v>11974</v>
      </c>
      <c r="C57" s="165">
        <v>10830</v>
      </c>
      <c r="D57" s="165">
        <v>9390</v>
      </c>
      <c r="E57" s="165">
        <v>9848</v>
      </c>
      <c r="F57" s="165">
        <v>9966</v>
      </c>
      <c r="G57" s="165">
        <v>14653</v>
      </c>
      <c r="H57" s="165">
        <v>6806</v>
      </c>
      <c r="I57" s="165">
        <v>19422</v>
      </c>
      <c r="J57" s="165">
        <v>7809</v>
      </c>
      <c r="K57" s="165">
        <v>15358</v>
      </c>
      <c r="L57" s="165">
        <v>12301</v>
      </c>
      <c r="M57" s="165">
        <v>17524</v>
      </c>
      <c r="N57" s="165">
        <f t="shared" si="0"/>
        <v>145881</v>
      </c>
      <c r="O57" s="165">
        <v>14118</v>
      </c>
      <c r="P57" s="165">
        <v>6857</v>
      </c>
      <c r="Q57" s="165">
        <v>7049</v>
      </c>
      <c r="R57" s="165">
        <v>15574</v>
      </c>
      <c r="S57" s="165">
        <v>15212</v>
      </c>
      <c r="T57" s="165">
        <v>15600</v>
      </c>
      <c r="U57" s="165">
        <v>10210</v>
      </c>
      <c r="V57" s="165">
        <v>13899</v>
      </c>
      <c r="W57" s="165">
        <v>18221</v>
      </c>
      <c r="X57" s="165">
        <v>8734</v>
      </c>
      <c r="Y57" s="165">
        <v>10495</v>
      </c>
      <c r="Z57" s="164">
        <v>15416</v>
      </c>
      <c r="AA57" s="165">
        <f t="shared" si="1"/>
        <v>151385</v>
      </c>
    </row>
    <row r="58" spans="1:27" x14ac:dyDescent="0.2">
      <c r="A58" s="162" t="s">
        <v>369</v>
      </c>
      <c r="B58" s="165">
        <v>17849</v>
      </c>
      <c r="C58" s="165">
        <v>14508</v>
      </c>
      <c r="D58" s="165">
        <v>11905</v>
      </c>
      <c r="E58" s="165">
        <v>14807</v>
      </c>
      <c r="F58" s="165">
        <v>19842</v>
      </c>
      <c r="G58" s="165">
        <v>19150</v>
      </c>
      <c r="H58" s="165">
        <v>6920</v>
      </c>
      <c r="I58" s="165">
        <v>9807</v>
      </c>
      <c r="J58" s="165">
        <v>5237</v>
      </c>
      <c r="K58" s="165">
        <v>6943</v>
      </c>
      <c r="L58" s="165">
        <v>15528</v>
      </c>
      <c r="M58" s="165">
        <v>5609</v>
      </c>
      <c r="N58" s="165">
        <f t="shared" si="0"/>
        <v>148105</v>
      </c>
      <c r="O58" s="165">
        <v>8714</v>
      </c>
      <c r="P58" s="165">
        <v>15129</v>
      </c>
      <c r="Q58" s="165">
        <v>9687</v>
      </c>
      <c r="R58" s="165">
        <v>13870</v>
      </c>
      <c r="S58" s="165">
        <v>6002</v>
      </c>
      <c r="T58" s="165">
        <v>10155</v>
      </c>
      <c r="U58" s="165">
        <v>10290</v>
      </c>
      <c r="V58" s="165">
        <v>7689</v>
      </c>
      <c r="W58" s="165">
        <v>9182</v>
      </c>
      <c r="X58" s="165">
        <v>17931</v>
      </c>
      <c r="Y58" s="165">
        <v>11879</v>
      </c>
      <c r="Z58" s="164">
        <v>10019</v>
      </c>
      <c r="AA58" s="165">
        <f t="shared" si="1"/>
        <v>130547</v>
      </c>
    </row>
    <row r="59" spans="1:27" x14ac:dyDescent="0.2">
      <c r="A59" s="162" t="s">
        <v>370</v>
      </c>
      <c r="B59" s="165">
        <v>6572</v>
      </c>
      <c r="C59" s="165">
        <v>15004</v>
      </c>
      <c r="D59" s="165">
        <v>17175</v>
      </c>
      <c r="E59" s="165">
        <v>9519</v>
      </c>
      <c r="F59" s="165">
        <v>10353</v>
      </c>
      <c r="G59" s="165">
        <v>14302</v>
      </c>
      <c r="H59" s="165">
        <v>14819</v>
      </c>
      <c r="I59" s="165">
        <v>15081</v>
      </c>
      <c r="J59" s="165">
        <v>15621</v>
      </c>
      <c r="K59" s="165">
        <v>9671</v>
      </c>
      <c r="L59" s="165">
        <v>9279</v>
      </c>
      <c r="M59" s="165">
        <v>19529</v>
      </c>
      <c r="N59" s="165">
        <f t="shared" si="0"/>
        <v>156925</v>
      </c>
      <c r="O59" s="165">
        <v>6751</v>
      </c>
      <c r="P59" s="165">
        <v>16678</v>
      </c>
      <c r="Q59" s="165">
        <v>10508</v>
      </c>
      <c r="R59" s="165">
        <v>19286</v>
      </c>
      <c r="S59" s="165">
        <v>16103</v>
      </c>
      <c r="T59" s="165">
        <v>7052</v>
      </c>
      <c r="U59" s="165">
        <v>14104</v>
      </c>
      <c r="V59" s="165">
        <v>18636</v>
      </c>
      <c r="W59" s="165">
        <v>16160</v>
      </c>
      <c r="X59" s="165">
        <v>8416</v>
      </c>
      <c r="Y59" s="165">
        <v>6159</v>
      </c>
      <c r="Z59" s="164">
        <v>7461</v>
      </c>
      <c r="AA59" s="165">
        <f t="shared" si="1"/>
        <v>147314</v>
      </c>
    </row>
    <row r="60" spans="1:27" x14ac:dyDescent="0.2">
      <c r="A60" s="162" t="s">
        <v>371</v>
      </c>
      <c r="B60" s="165">
        <v>13945</v>
      </c>
      <c r="C60" s="165">
        <v>11650</v>
      </c>
      <c r="D60" s="165">
        <v>16572</v>
      </c>
      <c r="E60" s="165">
        <v>12238</v>
      </c>
      <c r="F60" s="165">
        <v>14558</v>
      </c>
      <c r="G60" s="165">
        <v>12072</v>
      </c>
      <c r="H60" s="165">
        <v>17106</v>
      </c>
      <c r="I60" s="165">
        <v>7675</v>
      </c>
      <c r="J60" s="165">
        <v>5532</v>
      </c>
      <c r="K60" s="165">
        <v>8387</v>
      </c>
      <c r="L60" s="165">
        <v>18314</v>
      </c>
      <c r="M60" s="165">
        <v>13615</v>
      </c>
      <c r="N60" s="165">
        <f t="shared" si="0"/>
        <v>151664</v>
      </c>
      <c r="O60" s="165">
        <v>7090</v>
      </c>
      <c r="P60" s="165">
        <v>15624</v>
      </c>
      <c r="Q60" s="165">
        <v>8803</v>
      </c>
      <c r="R60" s="165">
        <v>13608</v>
      </c>
      <c r="S60" s="165">
        <v>15894</v>
      </c>
      <c r="T60" s="165">
        <v>11308</v>
      </c>
      <c r="U60" s="165">
        <v>10655</v>
      </c>
      <c r="V60" s="165">
        <v>19112</v>
      </c>
      <c r="W60" s="165">
        <v>9466</v>
      </c>
      <c r="X60" s="165">
        <v>12978</v>
      </c>
      <c r="Y60" s="165">
        <v>10838</v>
      </c>
      <c r="Z60" s="164">
        <v>18019</v>
      </c>
      <c r="AA60" s="165">
        <f t="shared" si="1"/>
        <v>153395</v>
      </c>
    </row>
    <row r="61" spans="1:27" x14ac:dyDescent="0.2">
      <c r="A61" s="162" t="s">
        <v>372</v>
      </c>
      <c r="B61" s="165">
        <v>10126</v>
      </c>
      <c r="C61" s="165">
        <v>10838</v>
      </c>
      <c r="D61" s="165">
        <v>18601</v>
      </c>
      <c r="E61" s="165">
        <v>12840</v>
      </c>
      <c r="F61" s="165">
        <v>9287</v>
      </c>
      <c r="G61" s="165">
        <v>9618</v>
      </c>
      <c r="H61" s="165">
        <v>9508</v>
      </c>
      <c r="I61" s="165">
        <v>13240</v>
      </c>
      <c r="J61" s="165">
        <v>12227</v>
      </c>
      <c r="K61" s="165">
        <v>5715</v>
      </c>
      <c r="L61" s="165">
        <v>18305</v>
      </c>
      <c r="M61" s="165">
        <v>10003</v>
      </c>
      <c r="N61" s="165">
        <f t="shared" si="0"/>
        <v>140308</v>
      </c>
      <c r="O61" s="165">
        <v>15824</v>
      </c>
      <c r="P61" s="165">
        <v>8054</v>
      </c>
      <c r="Q61" s="165">
        <v>15512</v>
      </c>
      <c r="R61" s="165">
        <v>17161</v>
      </c>
      <c r="S61" s="165">
        <v>10187</v>
      </c>
      <c r="T61" s="165">
        <v>13564</v>
      </c>
      <c r="U61" s="165">
        <v>13409</v>
      </c>
      <c r="V61" s="165">
        <v>15385</v>
      </c>
      <c r="W61" s="165">
        <v>9049</v>
      </c>
      <c r="X61" s="165">
        <v>15702</v>
      </c>
      <c r="Y61" s="165">
        <v>9272</v>
      </c>
      <c r="Z61" s="164">
        <v>6553</v>
      </c>
      <c r="AA61" s="165">
        <f t="shared" si="1"/>
        <v>149672</v>
      </c>
    </row>
    <row r="62" spans="1:27" x14ac:dyDescent="0.2">
      <c r="A62" s="162" t="s">
        <v>373</v>
      </c>
      <c r="B62" s="165">
        <v>15590</v>
      </c>
      <c r="C62" s="165">
        <v>12528</v>
      </c>
      <c r="D62" s="165">
        <v>11648</v>
      </c>
      <c r="E62" s="165">
        <v>18991</v>
      </c>
      <c r="F62" s="165">
        <v>7222</v>
      </c>
      <c r="G62" s="165">
        <v>6988</v>
      </c>
      <c r="H62" s="165">
        <v>13917</v>
      </c>
      <c r="I62" s="165">
        <v>12889</v>
      </c>
      <c r="J62" s="165">
        <v>17359</v>
      </c>
      <c r="K62" s="165">
        <v>16327</v>
      </c>
      <c r="L62" s="165">
        <v>5097</v>
      </c>
      <c r="M62" s="165">
        <v>11345</v>
      </c>
      <c r="N62" s="165">
        <f t="shared" si="0"/>
        <v>149901</v>
      </c>
      <c r="O62" s="165">
        <v>19610</v>
      </c>
      <c r="P62" s="165">
        <v>10452</v>
      </c>
      <c r="Q62" s="165">
        <v>15236</v>
      </c>
      <c r="R62" s="165">
        <v>12103</v>
      </c>
      <c r="S62" s="165">
        <v>10651</v>
      </c>
      <c r="T62" s="165">
        <v>8009</v>
      </c>
      <c r="U62" s="165">
        <v>19774</v>
      </c>
      <c r="V62" s="165">
        <v>10498</v>
      </c>
      <c r="W62" s="165">
        <v>10924</v>
      </c>
      <c r="X62" s="165">
        <v>14778</v>
      </c>
      <c r="Y62" s="165">
        <v>10570</v>
      </c>
      <c r="Z62" s="164">
        <v>6578</v>
      </c>
      <c r="AA62" s="165">
        <f t="shared" si="1"/>
        <v>149183</v>
      </c>
    </row>
    <row r="63" spans="1:27" x14ac:dyDescent="0.2">
      <c r="A63" s="162" t="s">
        <v>374</v>
      </c>
      <c r="B63" s="165">
        <v>18453</v>
      </c>
      <c r="C63" s="165">
        <v>17633</v>
      </c>
      <c r="D63" s="165">
        <v>9180</v>
      </c>
      <c r="E63" s="165">
        <v>9272</v>
      </c>
      <c r="F63" s="165">
        <v>7493</v>
      </c>
      <c r="G63" s="165">
        <v>13636</v>
      </c>
      <c r="H63" s="165">
        <v>18202</v>
      </c>
      <c r="I63" s="165">
        <v>8041</v>
      </c>
      <c r="J63" s="165">
        <v>6129</v>
      </c>
      <c r="K63" s="165">
        <v>15234</v>
      </c>
      <c r="L63" s="165">
        <v>16107</v>
      </c>
      <c r="M63" s="165">
        <v>7905</v>
      </c>
      <c r="N63" s="165">
        <f t="shared" si="0"/>
        <v>147285</v>
      </c>
      <c r="O63" s="165">
        <v>9227</v>
      </c>
      <c r="P63" s="165">
        <v>14771</v>
      </c>
      <c r="Q63" s="165">
        <v>16243</v>
      </c>
      <c r="R63" s="165">
        <v>7462</v>
      </c>
      <c r="S63" s="165">
        <v>9984</v>
      </c>
      <c r="T63" s="165">
        <v>18164</v>
      </c>
      <c r="U63" s="165">
        <v>17885</v>
      </c>
      <c r="V63" s="165">
        <v>12477</v>
      </c>
      <c r="W63" s="165">
        <v>16522</v>
      </c>
      <c r="X63" s="165">
        <v>19798</v>
      </c>
      <c r="Y63" s="165">
        <v>5966</v>
      </c>
      <c r="Z63" s="164">
        <v>9893</v>
      </c>
      <c r="AA63" s="165">
        <f t="shared" si="1"/>
        <v>158392</v>
      </c>
    </row>
    <row r="64" spans="1:27" x14ac:dyDescent="0.2">
      <c r="A64" s="162" t="s">
        <v>375</v>
      </c>
      <c r="B64" s="165">
        <v>10945</v>
      </c>
      <c r="C64" s="165">
        <v>19886</v>
      </c>
      <c r="D64" s="165">
        <v>13737</v>
      </c>
      <c r="E64" s="165">
        <v>12900</v>
      </c>
      <c r="F64" s="165">
        <v>13235</v>
      </c>
      <c r="G64" s="165">
        <v>19207</v>
      </c>
      <c r="H64" s="165">
        <v>8594</v>
      </c>
      <c r="I64" s="165">
        <v>9972</v>
      </c>
      <c r="J64" s="165">
        <v>18239</v>
      </c>
      <c r="K64" s="165">
        <v>17856</v>
      </c>
      <c r="L64" s="165">
        <v>17672</v>
      </c>
      <c r="M64" s="165">
        <v>7187</v>
      </c>
      <c r="N64" s="165">
        <f t="shared" si="0"/>
        <v>169430</v>
      </c>
      <c r="O64" s="165">
        <v>14780</v>
      </c>
      <c r="P64" s="165">
        <v>19562</v>
      </c>
      <c r="Q64" s="165">
        <v>15965</v>
      </c>
      <c r="R64" s="165">
        <v>9772</v>
      </c>
      <c r="S64" s="165">
        <v>11247</v>
      </c>
      <c r="T64" s="165">
        <v>13704</v>
      </c>
      <c r="U64" s="165">
        <v>15587</v>
      </c>
      <c r="V64" s="165">
        <v>12524</v>
      </c>
      <c r="W64" s="165">
        <v>10770</v>
      </c>
      <c r="X64" s="165">
        <v>16148</v>
      </c>
      <c r="Y64" s="165">
        <v>8009</v>
      </c>
      <c r="Z64" s="164">
        <v>11995</v>
      </c>
      <c r="AA64" s="165">
        <f t="shared" si="1"/>
        <v>160063</v>
      </c>
    </row>
    <row r="65" spans="1:27" x14ac:dyDescent="0.2">
      <c r="A65" s="162" t="s">
        <v>376</v>
      </c>
      <c r="B65" s="165">
        <v>17420</v>
      </c>
      <c r="C65" s="165">
        <v>12570</v>
      </c>
      <c r="D65" s="165">
        <v>8644</v>
      </c>
      <c r="E65" s="165">
        <v>14594</v>
      </c>
      <c r="F65" s="165">
        <v>16826</v>
      </c>
      <c r="G65" s="165">
        <v>6888</v>
      </c>
      <c r="H65" s="165">
        <v>12535</v>
      </c>
      <c r="I65" s="165">
        <v>9714</v>
      </c>
      <c r="J65" s="165">
        <v>15835</v>
      </c>
      <c r="K65" s="165">
        <v>16916</v>
      </c>
      <c r="L65" s="165">
        <v>14684</v>
      </c>
      <c r="M65" s="165">
        <v>8662</v>
      </c>
      <c r="N65" s="165">
        <f t="shared" si="0"/>
        <v>155288</v>
      </c>
      <c r="O65" s="165">
        <v>16184</v>
      </c>
      <c r="P65" s="165">
        <v>15823</v>
      </c>
      <c r="Q65" s="165">
        <v>6324</v>
      </c>
      <c r="R65" s="165">
        <v>11765</v>
      </c>
      <c r="S65" s="165">
        <v>13237</v>
      </c>
      <c r="T65" s="165">
        <v>6752</v>
      </c>
      <c r="U65" s="165">
        <v>11291</v>
      </c>
      <c r="V65" s="165">
        <v>18627</v>
      </c>
      <c r="W65" s="165">
        <v>17258</v>
      </c>
      <c r="X65" s="165">
        <v>15003</v>
      </c>
      <c r="Y65" s="165">
        <v>18226</v>
      </c>
      <c r="Z65" s="164">
        <v>10953</v>
      </c>
      <c r="AA65" s="165">
        <f t="shared" si="1"/>
        <v>161443</v>
      </c>
    </row>
    <row r="66" spans="1:27" x14ac:dyDescent="0.2">
      <c r="A66" s="162" t="s">
        <v>377</v>
      </c>
      <c r="B66" s="165">
        <v>18442</v>
      </c>
      <c r="C66" s="165">
        <v>16861</v>
      </c>
      <c r="D66" s="165">
        <v>18929</v>
      </c>
      <c r="E66" s="165">
        <v>13521</v>
      </c>
      <c r="F66" s="165">
        <v>18960</v>
      </c>
      <c r="G66" s="165">
        <v>11388</v>
      </c>
      <c r="H66" s="165">
        <v>18516</v>
      </c>
      <c r="I66" s="165">
        <v>19159</v>
      </c>
      <c r="J66" s="165">
        <v>17969</v>
      </c>
      <c r="K66" s="165">
        <v>13736</v>
      </c>
      <c r="L66" s="165">
        <v>7227</v>
      </c>
      <c r="M66" s="165">
        <v>9980</v>
      </c>
      <c r="N66" s="165">
        <f t="shared" si="0"/>
        <v>184688</v>
      </c>
      <c r="O66" s="165">
        <v>14343</v>
      </c>
      <c r="P66" s="165">
        <v>16372</v>
      </c>
      <c r="Q66" s="165">
        <v>14786</v>
      </c>
      <c r="R66" s="165">
        <v>18768</v>
      </c>
      <c r="S66" s="165">
        <v>6212</v>
      </c>
      <c r="T66" s="165">
        <v>9300</v>
      </c>
      <c r="U66" s="165">
        <v>16498</v>
      </c>
      <c r="V66" s="165">
        <v>8226</v>
      </c>
      <c r="W66" s="165">
        <v>15212</v>
      </c>
      <c r="X66" s="165">
        <v>19082</v>
      </c>
      <c r="Y66" s="165">
        <v>19538</v>
      </c>
      <c r="Z66" s="164">
        <v>18211</v>
      </c>
      <c r="AA66" s="165">
        <f t="shared" si="1"/>
        <v>176548</v>
      </c>
    </row>
    <row r="67" spans="1:27" x14ac:dyDescent="0.2">
      <c r="A67" s="162" t="s">
        <v>378</v>
      </c>
      <c r="B67" s="165">
        <v>17634</v>
      </c>
      <c r="C67" s="165">
        <v>10151</v>
      </c>
      <c r="D67" s="165">
        <v>15580</v>
      </c>
      <c r="E67" s="165">
        <v>19302</v>
      </c>
      <c r="F67" s="165">
        <v>6522</v>
      </c>
      <c r="G67" s="165">
        <v>18664</v>
      </c>
      <c r="H67" s="165">
        <v>8311</v>
      </c>
      <c r="I67" s="165">
        <v>19619</v>
      </c>
      <c r="J67" s="165">
        <v>10813</v>
      </c>
      <c r="K67" s="165">
        <v>13082</v>
      </c>
      <c r="L67" s="165">
        <v>7062</v>
      </c>
      <c r="M67" s="165">
        <v>8739</v>
      </c>
      <c r="N67" s="165">
        <f t="shared" si="0"/>
        <v>155479</v>
      </c>
      <c r="O67" s="165">
        <v>7623</v>
      </c>
      <c r="P67" s="165">
        <v>17367</v>
      </c>
      <c r="Q67" s="165">
        <v>5373</v>
      </c>
      <c r="R67" s="165">
        <v>7326</v>
      </c>
      <c r="S67" s="165">
        <v>14173</v>
      </c>
      <c r="T67" s="165">
        <v>14559</v>
      </c>
      <c r="U67" s="165">
        <v>15356</v>
      </c>
      <c r="V67" s="165">
        <v>17616</v>
      </c>
      <c r="W67" s="165">
        <v>9650</v>
      </c>
      <c r="X67" s="165">
        <v>19015</v>
      </c>
      <c r="Y67" s="165">
        <v>16975</v>
      </c>
      <c r="Z67" s="164">
        <v>5634</v>
      </c>
      <c r="AA67" s="165">
        <f t="shared" si="1"/>
        <v>150667</v>
      </c>
    </row>
    <row r="68" spans="1:27" x14ac:dyDescent="0.2">
      <c r="A68" s="162" t="s">
        <v>379</v>
      </c>
      <c r="B68" s="165">
        <v>10436</v>
      </c>
      <c r="C68" s="165">
        <v>12764</v>
      </c>
      <c r="D68" s="165">
        <v>13809</v>
      </c>
      <c r="E68" s="165">
        <v>9190</v>
      </c>
      <c r="F68" s="165">
        <v>18780</v>
      </c>
      <c r="G68" s="165">
        <v>16237</v>
      </c>
      <c r="H68" s="165">
        <v>13812</v>
      </c>
      <c r="I68" s="165">
        <v>8696</v>
      </c>
      <c r="J68" s="165">
        <v>13917</v>
      </c>
      <c r="K68" s="165">
        <v>10701</v>
      </c>
      <c r="L68" s="165">
        <v>19808</v>
      </c>
      <c r="M68" s="165">
        <v>8203</v>
      </c>
      <c r="N68" s="165">
        <f t="shared" si="0"/>
        <v>156353</v>
      </c>
      <c r="O68" s="165">
        <v>11656</v>
      </c>
      <c r="P68" s="165">
        <v>8823</v>
      </c>
      <c r="Q68" s="165">
        <v>6317</v>
      </c>
      <c r="R68" s="165">
        <v>19246</v>
      </c>
      <c r="S68" s="165">
        <v>10675</v>
      </c>
      <c r="T68" s="165">
        <v>5424</v>
      </c>
      <c r="U68" s="165">
        <v>18050</v>
      </c>
      <c r="V68" s="165">
        <v>13520</v>
      </c>
      <c r="W68" s="165">
        <v>10371</v>
      </c>
      <c r="X68" s="165">
        <v>12843</v>
      </c>
      <c r="Y68" s="165">
        <v>10774</v>
      </c>
      <c r="Z68" s="164">
        <v>16780</v>
      </c>
      <c r="AA68" s="165">
        <f t="shared" si="1"/>
        <v>144479</v>
      </c>
    </row>
    <row r="69" spans="1:27" x14ac:dyDescent="0.2">
      <c r="A69" s="162" t="s">
        <v>380</v>
      </c>
      <c r="B69" s="165">
        <v>6681</v>
      </c>
      <c r="C69" s="165">
        <v>15609</v>
      </c>
      <c r="D69" s="165">
        <v>8342</v>
      </c>
      <c r="E69" s="165">
        <v>13266</v>
      </c>
      <c r="F69" s="165">
        <v>10000</v>
      </c>
      <c r="G69" s="165">
        <v>16238</v>
      </c>
      <c r="H69" s="165">
        <v>9576</v>
      </c>
      <c r="I69" s="165">
        <v>18952</v>
      </c>
      <c r="J69" s="165">
        <v>9998</v>
      </c>
      <c r="K69" s="165">
        <v>5657</v>
      </c>
      <c r="L69" s="165">
        <v>18059</v>
      </c>
      <c r="M69" s="165">
        <v>5283</v>
      </c>
      <c r="N69" s="165">
        <f t="shared" si="0"/>
        <v>137661</v>
      </c>
      <c r="O69" s="165">
        <v>9073</v>
      </c>
      <c r="P69" s="165">
        <v>7069</v>
      </c>
      <c r="Q69" s="165">
        <v>14209</v>
      </c>
      <c r="R69" s="165">
        <v>12446</v>
      </c>
      <c r="S69" s="165">
        <v>7139</v>
      </c>
      <c r="T69" s="165">
        <v>11231</v>
      </c>
      <c r="U69" s="165">
        <v>8840</v>
      </c>
      <c r="V69" s="165">
        <v>18541</v>
      </c>
      <c r="W69" s="165">
        <v>8343</v>
      </c>
      <c r="X69" s="165">
        <v>11949</v>
      </c>
      <c r="Y69" s="165">
        <v>19845</v>
      </c>
      <c r="Z69" s="164">
        <v>18847</v>
      </c>
      <c r="AA69" s="165">
        <f t="shared" si="1"/>
        <v>147532</v>
      </c>
    </row>
    <row r="70" spans="1:27" x14ac:dyDescent="0.2">
      <c r="A70" s="162" t="s">
        <v>381</v>
      </c>
      <c r="B70" s="165">
        <v>6579</v>
      </c>
      <c r="C70" s="165">
        <v>8314</v>
      </c>
      <c r="D70" s="165">
        <v>11059</v>
      </c>
      <c r="E70" s="165">
        <v>17189</v>
      </c>
      <c r="F70" s="165">
        <v>14960</v>
      </c>
      <c r="G70" s="165">
        <v>17027</v>
      </c>
      <c r="H70" s="165">
        <v>16783</v>
      </c>
      <c r="I70" s="165">
        <v>7435</v>
      </c>
      <c r="J70" s="165">
        <v>18398</v>
      </c>
      <c r="K70" s="165">
        <v>13520</v>
      </c>
      <c r="L70" s="165">
        <v>8678</v>
      </c>
      <c r="M70" s="165">
        <v>13152</v>
      </c>
      <c r="N70" s="165">
        <f t="shared" si="0"/>
        <v>153094</v>
      </c>
      <c r="O70" s="165">
        <v>12786</v>
      </c>
      <c r="P70" s="165">
        <v>17124</v>
      </c>
      <c r="Q70" s="165">
        <v>10073</v>
      </c>
      <c r="R70" s="165">
        <v>9681</v>
      </c>
      <c r="S70" s="165">
        <v>9451</v>
      </c>
      <c r="T70" s="165">
        <v>11932</v>
      </c>
      <c r="U70" s="165">
        <v>14379</v>
      </c>
      <c r="V70" s="165">
        <v>8105</v>
      </c>
      <c r="W70" s="165">
        <v>7598</v>
      </c>
      <c r="X70" s="165">
        <v>13166</v>
      </c>
      <c r="Y70" s="165">
        <v>12666</v>
      </c>
      <c r="Z70" s="164">
        <v>15188</v>
      </c>
      <c r="AA70" s="165">
        <f t="shared" si="1"/>
        <v>142149</v>
      </c>
    </row>
    <row r="71" spans="1:27" x14ac:dyDescent="0.2">
      <c r="A71" s="162" t="s">
        <v>382</v>
      </c>
      <c r="B71" s="165">
        <v>11693</v>
      </c>
      <c r="C71" s="165">
        <v>12444</v>
      </c>
      <c r="D71" s="165">
        <v>10707</v>
      </c>
      <c r="E71" s="165">
        <v>6098</v>
      </c>
      <c r="F71" s="165">
        <v>7109</v>
      </c>
      <c r="G71" s="165">
        <v>13196</v>
      </c>
      <c r="H71" s="165">
        <v>9235</v>
      </c>
      <c r="I71" s="165">
        <v>17895</v>
      </c>
      <c r="J71" s="165">
        <v>13832</v>
      </c>
      <c r="K71" s="165">
        <v>19290</v>
      </c>
      <c r="L71" s="165">
        <v>11423</v>
      </c>
      <c r="M71" s="165">
        <v>14200</v>
      </c>
      <c r="N71" s="165">
        <f t="shared" si="0"/>
        <v>147122</v>
      </c>
      <c r="O71" s="165">
        <v>19008</v>
      </c>
      <c r="P71" s="165">
        <v>10750</v>
      </c>
      <c r="Q71" s="165">
        <v>13703</v>
      </c>
      <c r="R71" s="165">
        <v>15279</v>
      </c>
      <c r="S71" s="165">
        <v>19907</v>
      </c>
      <c r="T71" s="165">
        <v>6642</v>
      </c>
      <c r="U71" s="165">
        <v>16959</v>
      </c>
      <c r="V71" s="165">
        <v>13644</v>
      </c>
      <c r="W71" s="165">
        <v>6364</v>
      </c>
      <c r="X71" s="165">
        <v>13983</v>
      </c>
      <c r="Y71" s="165">
        <v>6239</v>
      </c>
      <c r="Z71" s="164">
        <v>19466</v>
      </c>
      <c r="AA71" s="165">
        <f t="shared" si="1"/>
        <v>161944</v>
      </c>
    </row>
    <row r="72" spans="1:27" x14ac:dyDescent="0.2">
      <c r="A72" s="162" t="s">
        <v>383</v>
      </c>
      <c r="B72" s="165">
        <v>11921</v>
      </c>
      <c r="C72" s="165">
        <v>16833</v>
      </c>
      <c r="D72" s="165">
        <v>19976</v>
      </c>
      <c r="E72" s="165">
        <v>19717</v>
      </c>
      <c r="F72" s="165">
        <v>11020</v>
      </c>
      <c r="G72" s="165">
        <v>19437</v>
      </c>
      <c r="H72" s="165">
        <v>13612</v>
      </c>
      <c r="I72" s="165">
        <v>11189</v>
      </c>
      <c r="J72" s="165">
        <v>18823</v>
      </c>
      <c r="K72" s="165">
        <v>18885</v>
      </c>
      <c r="L72" s="165">
        <v>19991</v>
      </c>
      <c r="M72" s="165">
        <v>10394</v>
      </c>
      <c r="N72" s="165">
        <f t="shared" si="0"/>
        <v>191798</v>
      </c>
      <c r="O72" s="165">
        <v>15787</v>
      </c>
      <c r="P72" s="165">
        <v>15904</v>
      </c>
      <c r="Q72" s="165">
        <v>18134</v>
      </c>
      <c r="R72" s="165">
        <v>13208</v>
      </c>
      <c r="S72" s="165">
        <v>19736</v>
      </c>
      <c r="T72" s="165">
        <v>14560</v>
      </c>
      <c r="U72" s="165">
        <v>5749</v>
      </c>
      <c r="V72" s="165">
        <v>12067</v>
      </c>
      <c r="W72" s="165">
        <v>9176</v>
      </c>
      <c r="X72" s="165">
        <v>18463</v>
      </c>
      <c r="Y72" s="165">
        <v>8485</v>
      </c>
      <c r="Z72" s="164">
        <v>16014</v>
      </c>
      <c r="AA72" s="165">
        <f t="shared" si="1"/>
        <v>167283</v>
      </c>
    </row>
    <row r="73" spans="1:27" x14ac:dyDescent="0.2">
      <c r="A73" s="162" t="s">
        <v>384</v>
      </c>
      <c r="B73" s="165">
        <v>13758</v>
      </c>
      <c r="C73" s="165">
        <v>5088</v>
      </c>
      <c r="D73" s="165">
        <v>12650</v>
      </c>
      <c r="E73" s="165">
        <v>19419</v>
      </c>
      <c r="F73" s="165">
        <v>16526</v>
      </c>
      <c r="G73" s="165">
        <v>7613</v>
      </c>
      <c r="H73" s="165">
        <v>12209</v>
      </c>
      <c r="I73" s="165">
        <v>18016</v>
      </c>
      <c r="J73" s="165">
        <v>18126</v>
      </c>
      <c r="K73" s="165">
        <v>12603</v>
      </c>
      <c r="L73" s="165">
        <v>6850</v>
      </c>
      <c r="M73" s="165">
        <v>16720</v>
      </c>
      <c r="N73" s="165">
        <f t="shared" si="0"/>
        <v>159578</v>
      </c>
      <c r="O73" s="165">
        <v>18312</v>
      </c>
      <c r="P73" s="165">
        <v>12217</v>
      </c>
      <c r="Q73" s="165">
        <v>6883</v>
      </c>
      <c r="R73" s="165">
        <v>14036</v>
      </c>
      <c r="S73" s="165">
        <v>12120</v>
      </c>
      <c r="T73" s="165">
        <v>5505</v>
      </c>
      <c r="U73" s="165">
        <v>19274</v>
      </c>
      <c r="V73" s="165">
        <v>14883</v>
      </c>
      <c r="W73" s="165">
        <v>9118</v>
      </c>
      <c r="X73" s="165">
        <v>7722</v>
      </c>
      <c r="Y73" s="165">
        <v>12744</v>
      </c>
      <c r="Z73" s="164">
        <v>16287</v>
      </c>
      <c r="AA73" s="165">
        <f t="shared" si="1"/>
        <v>149101</v>
      </c>
    </row>
    <row r="74" spans="1:27" x14ac:dyDescent="0.2">
      <c r="A74" s="162" t="s">
        <v>385</v>
      </c>
      <c r="B74" s="165">
        <v>7332</v>
      </c>
      <c r="C74" s="165">
        <v>19321</v>
      </c>
      <c r="D74" s="165">
        <v>19877</v>
      </c>
      <c r="E74" s="165">
        <v>5237</v>
      </c>
      <c r="F74" s="165">
        <v>11892</v>
      </c>
      <c r="G74" s="165">
        <v>18361</v>
      </c>
      <c r="H74" s="165">
        <v>7751</v>
      </c>
      <c r="I74" s="165">
        <v>9648</v>
      </c>
      <c r="J74" s="165">
        <v>13303</v>
      </c>
      <c r="K74" s="165">
        <v>11606</v>
      </c>
      <c r="L74" s="165">
        <v>18880</v>
      </c>
      <c r="M74" s="165">
        <v>10808</v>
      </c>
      <c r="N74" s="165">
        <f t="shared" si="0"/>
        <v>154016</v>
      </c>
      <c r="O74" s="165">
        <v>18511</v>
      </c>
      <c r="P74" s="165">
        <v>9195</v>
      </c>
      <c r="Q74" s="165">
        <v>12704</v>
      </c>
      <c r="R74" s="165">
        <v>17067</v>
      </c>
      <c r="S74" s="165">
        <v>5843</v>
      </c>
      <c r="T74" s="165">
        <v>11739</v>
      </c>
      <c r="U74" s="165">
        <v>13650</v>
      </c>
      <c r="V74" s="165">
        <v>10847</v>
      </c>
      <c r="W74" s="165">
        <v>9619</v>
      </c>
      <c r="X74" s="165">
        <v>16251</v>
      </c>
      <c r="Y74" s="165">
        <v>14328</v>
      </c>
      <c r="Z74" s="164">
        <v>13439</v>
      </c>
      <c r="AA74" s="165">
        <f t="shared" si="1"/>
        <v>153193</v>
      </c>
    </row>
    <row r="75" spans="1:27" x14ac:dyDescent="0.2">
      <c r="A75" s="162" t="s">
        <v>386</v>
      </c>
      <c r="B75" s="165">
        <v>10010</v>
      </c>
      <c r="C75" s="165">
        <v>11549</v>
      </c>
      <c r="D75" s="165">
        <v>19620</v>
      </c>
      <c r="E75" s="165">
        <v>7882</v>
      </c>
      <c r="F75" s="165">
        <v>18822</v>
      </c>
      <c r="G75" s="165">
        <v>12853</v>
      </c>
      <c r="H75" s="165">
        <v>16747</v>
      </c>
      <c r="I75" s="165">
        <v>9183</v>
      </c>
      <c r="J75" s="165">
        <v>13213</v>
      </c>
      <c r="K75" s="165">
        <v>11741</v>
      </c>
      <c r="L75" s="165">
        <v>6757</v>
      </c>
      <c r="M75" s="165">
        <v>18425</v>
      </c>
      <c r="N75" s="165">
        <f t="shared" ref="N75:N106" si="2">SUM(B75:M75)</f>
        <v>156802</v>
      </c>
      <c r="O75" s="165">
        <v>18489</v>
      </c>
      <c r="P75" s="165">
        <v>19939</v>
      </c>
      <c r="Q75" s="165">
        <v>6735</v>
      </c>
      <c r="R75" s="165">
        <v>15048</v>
      </c>
      <c r="S75" s="165">
        <v>10191</v>
      </c>
      <c r="T75" s="165">
        <v>9110</v>
      </c>
      <c r="U75" s="165">
        <v>16910</v>
      </c>
      <c r="V75" s="165">
        <v>12777</v>
      </c>
      <c r="W75" s="165">
        <v>10232</v>
      </c>
      <c r="X75" s="165">
        <v>17049</v>
      </c>
      <c r="Y75" s="165">
        <v>16648</v>
      </c>
      <c r="Z75" s="164">
        <v>10327</v>
      </c>
      <c r="AA75" s="165">
        <f t="shared" ref="AA75:AA106" si="3">SUM(O75:Z75)</f>
        <v>163455</v>
      </c>
    </row>
    <row r="76" spans="1:27" x14ac:dyDescent="0.2">
      <c r="A76" s="162" t="s">
        <v>387</v>
      </c>
      <c r="B76" s="165">
        <v>15925</v>
      </c>
      <c r="C76" s="165">
        <v>9065</v>
      </c>
      <c r="D76" s="165">
        <v>10721</v>
      </c>
      <c r="E76" s="165">
        <v>16239</v>
      </c>
      <c r="F76" s="165">
        <v>5800</v>
      </c>
      <c r="G76" s="165">
        <v>7155</v>
      </c>
      <c r="H76" s="165">
        <v>16839</v>
      </c>
      <c r="I76" s="165">
        <v>16443</v>
      </c>
      <c r="J76" s="165">
        <v>8524</v>
      </c>
      <c r="K76" s="165">
        <v>9796</v>
      </c>
      <c r="L76" s="165">
        <v>17657</v>
      </c>
      <c r="M76" s="165">
        <v>16652</v>
      </c>
      <c r="N76" s="165">
        <f t="shared" si="2"/>
        <v>150816</v>
      </c>
      <c r="O76" s="165">
        <v>13588</v>
      </c>
      <c r="P76" s="165">
        <v>16398</v>
      </c>
      <c r="Q76" s="165">
        <v>8898</v>
      </c>
      <c r="R76" s="165">
        <v>19956</v>
      </c>
      <c r="S76" s="165">
        <v>11732</v>
      </c>
      <c r="T76" s="165">
        <v>8225</v>
      </c>
      <c r="U76" s="165">
        <v>9681</v>
      </c>
      <c r="V76" s="165">
        <v>19862</v>
      </c>
      <c r="W76" s="165">
        <v>9786</v>
      </c>
      <c r="X76" s="165">
        <v>14238</v>
      </c>
      <c r="Y76" s="165">
        <v>13119</v>
      </c>
      <c r="Z76" s="164">
        <v>8089</v>
      </c>
      <c r="AA76" s="165">
        <f t="shared" si="3"/>
        <v>153572</v>
      </c>
    </row>
    <row r="77" spans="1:27" x14ac:dyDescent="0.2">
      <c r="A77" s="162" t="s">
        <v>388</v>
      </c>
      <c r="B77" s="165">
        <v>9903</v>
      </c>
      <c r="C77" s="165">
        <v>16368</v>
      </c>
      <c r="D77" s="165">
        <v>17021</v>
      </c>
      <c r="E77" s="165">
        <v>15890</v>
      </c>
      <c r="F77" s="165">
        <v>15363</v>
      </c>
      <c r="G77" s="165">
        <v>13885</v>
      </c>
      <c r="H77" s="165">
        <v>17430</v>
      </c>
      <c r="I77" s="165">
        <v>19824</v>
      </c>
      <c r="J77" s="165">
        <v>15033</v>
      </c>
      <c r="K77" s="165">
        <v>10979</v>
      </c>
      <c r="L77" s="165">
        <v>15261</v>
      </c>
      <c r="M77" s="165">
        <v>13115</v>
      </c>
      <c r="N77" s="165">
        <f t="shared" si="2"/>
        <v>180072</v>
      </c>
      <c r="O77" s="165">
        <v>7494</v>
      </c>
      <c r="P77" s="165">
        <v>18205</v>
      </c>
      <c r="Q77" s="165">
        <v>18360</v>
      </c>
      <c r="R77" s="165">
        <v>14886</v>
      </c>
      <c r="S77" s="165">
        <v>8636</v>
      </c>
      <c r="T77" s="165">
        <v>5686</v>
      </c>
      <c r="U77" s="165">
        <v>11740</v>
      </c>
      <c r="V77" s="165">
        <v>11951</v>
      </c>
      <c r="W77" s="165">
        <v>10640</v>
      </c>
      <c r="X77" s="165">
        <v>11862</v>
      </c>
      <c r="Y77" s="165">
        <v>5463</v>
      </c>
      <c r="Z77" s="164">
        <v>11630</v>
      </c>
      <c r="AA77" s="165">
        <f t="shared" si="3"/>
        <v>136553</v>
      </c>
    </row>
    <row r="78" spans="1:27" x14ac:dyDescent="0.2">
      <c r="A78" s="162" t="s">
        <v>389</v>
      </c>
      <c r="B78" s="165">
        <v>19620</v>
      </c>
      <c r="C78" s="165">
        <v>9453</v>
      </c>
      <c r="D78" s="165">
        <v>5196</v>
      </c>
      <c r="E78" s="165">
        <v>12375</v>
      </c>
      <c r="F78" s="165">
        <v>7414</v>
      </c>
      <c r="G78" s="165">
        <v>13252</v>
      </c>
      <c r="H78" s="165">
        <v>9479</v>
      </c>
      <c r="I78" s="165">
        <v>9946</v>
      </c>
      <c r="J78" s="165">
        <v>14370</v>
      </c>
      <c r="K78" s="165">
        <v>17140</v>
      </c>
      <c r="L78" s="165">
        <v>15723</v>
      </c>
      <c r="M78" s="165">
        <v>12285</v>
      </c>
      <c r="N78" s="165">
        <f t="shared" si="2"/>
        <v>146253</v>
      </c>
      <c r="O78" s="165">
        <v>9692</v>
      </c>
      <c r="P78" s="165">
        <v>8783</v>
      </c>
      <c r="Q78" s="165">
        <v>12653</v>
      </c>
      <c r="R78" s="165">
        <v>17473</v>
      </c>
      <c r="S78" s="165">
        <v>17734</v>
      </c>
      <c r="T78" s="165">
        <v>16068</v>
      </c>
      <c r="U78" s="165">
        <v>13490</v>
      </c>
      <c r="V78" s="165">
        <v>5755</v>
      </c>
      <c r="W78" s="165">
        <v>13086</v>
      </c>
      <c r="X78" s="165">
        <v>14290</v>
      </c>
      <c r="Y78" s="165">
        <v>17158</v>
      </c>
      <c r="Z78" s="164">
        <v>13143</v>
      </c>
      <c r="AA78" s="165">
        <f t="shared" si="3"/>
        <v>159325</v>
      </c>
    </row>
    <row r="79" spans="1:27" x14ac:dyDescent="0.2">
      <c r="A79" s="162" t="s">
        <v>390</v>
      </c>
      <c r="B79" s="165">
        <v>8654</v>
      </c>
      <c r="C79" s="165">
        <v>16817</v>
      </c>
      <c r="D79" s="165">
        <v>18795</v>
      </c>
      <c r="E79" s="165">
        <v>14653</v>
      </c>
      <c r="F79" s="165">
        <v>6947</v>
      </c>
      <c r="G79" s="165">
        <v>11025</v>
      </c>
      <c r="H79" s="165">
        <v>18645</v>
      </c>
      <c r="I79" s="165">
        <v>7409</v>
      </c>
      <c r="J79" s="165">
        <v>19164</v>
      </c>
      <c r="K79" s="165">
        <v>7940</v>
      </c>
      <c r="L79" s="165">
        <v>6721</v>
      </c>
      <c r="M79" s="165">
        <v>7041</v>
      </c>
      <c r="N79" s="165">
        <f t="shared" si="2"/>
        <v>143811</v>
      </c>
      <c r="O79" s="165">
        <v>12417</v>
      </c>
      <c r="P79" s="165">
        <v>5534</v>
      </c>
      <c r="Q79" s="165">
        <v>11353</v>
      </c>
      <c r="R79" s="165">
        <v>9140</v>
      </c>
      <c r="S79" s="165">
        <v>13449</v>
      </c>
      <c r="T79" s="165">
        <v>15150</v>
      </c>
      <c r="U79" s="165">
        <v>17832</v>
      </c>
      <c r="V79" s="165">
        <v>14407</v>
      </c>
      <c r="W79" s="165">
        <v>16370</v>
      </c>
      <c r="X79" s="165">
        <v>14736</v>
      </c>
      <c r="Y79" s="165">
        <v>7819</v>
      </c>
      <c r="Z79" s="164">
        <v>8860</v>
      </c>
      <c r="AA79" s="165">
        <f t="shared" si="3"/>
        <v>147067</v>
      </c>
    </row>
    <row r="80" spans="1:27" x14ac:dyDescent="0.2">
      <c r="A80" s="162" t="s">
        <v>391</v>
      </c>
      <c r="B80" s="165">
        <v>7389</v>
      </c>
      <c r="C80" s="165">
        <v>11732</v>
      </c>
      <c r="D80" s="165">
        <v>5798</v>
      </c>
      <c r="E80" s="165">
        <v>11429</v>
      </c>
      <c r="F80" s="165">
        <v>7315</v>
      </c>
      <c r="G80" s="165">
        <v>5925</v>
      </c>
      <c r="H80" s="165">
        <v>16795</v>
      </c>
      <c r="I80" s="165">
        <v>13167</v>
      </c>
      <c r="J80" s="165">
        <v>18864</v>
      </c>
      <c r="K80" s="165">
        <v>15206</v>
      </c>
      <c r="L80" s="165">
        <v>11474</v>
      </c>
      <c r="M80" s="165">
        <v>18458</v>
      </c>
      <c r="N80" s="165">
        <f t="shared" si="2"/>
        <v>143552</v>
      </c>
      <c r="O80" s="165">
        <v>9312</v>
      </c>
      <c r="P80" s="165">
        <v>7957</v>
      </c>
      <c r="Q80" s="165">
        <v>19603</v>
      </c>
      <c r="R80" s="165">
        <v>13533</v>
      </c>
      <c r="S80" s="165">
        <v>18710</v>
      </c>
      <c r="T80" s="165">
        <v>14309</v>
      </c>
      <c r="U80" s="165">
        <v>11625</v>
      </c>
      <c r="V80" s="165">
        <v>5976</v>
      </c>
      <c r="W80" s="165">
        <v>9842</v>
      </c>
      <c r="X80" s="165">
        <v>7384</v>
      </c>
      <c r="Y80" s="165">
        <v>8706</v>
      </c>
      <c r="Z80" s="164">
        <v>8987</v>
      </c>
      <c r="AA80" s="165">
        <f t="shared" si="3"/>
        <v>135944</v>
      </c>
    </row>
    <row r="81" spans="1:27" x14ac:dyDescent="0.2">
      <c r="A81" s="162" t="s">
        <v>392</v>
      </c>
      <c r="B81" s="165">
        <v>16846</v>
      </c>
      <c r="C81" s="165">
        <v>5005</v>
      </c>
      <c r="D81" s="165">
        <v>7859</v>
      </c>
      <c r="E81" s="165">
        <v>12692</v>
      </c>
      <c r="F81" s="165">
        <v>18011</v>
      </c>
      <c r="G81" s="165">
        <v>13539</v>
      </c>
      <c r="H81" s="165">
        <v>19802</v>
      </c>
      <c r="I81" s="165">
        <v>11484</v>
      </c>
      <c r="J81" s="165">
        <v>8417</v>
      </c>
      <c r="K81" s="165">
        <v>19824</v>
      </c>
      <c r="L81" s="165">
        <v>19539</v>
      </c>
      <c r="M81" s="165">
        <v>6328</v>
      </c>
      <c r="N81" s="165">
        <f t="shared" si="2"/>
        <v>159346</v>
      </c>
      <c r="O81" s="165">
        <v>11423</v>
      </c>
      <c r="P81" s="165">
        <v>18752</v>
      </c>
      <c r="Q81" s="165">
        <v>19478</v>
      </c>
      <c r="R81" s="165">
        <v>16150</v>
      </c>
      <c r="S81" s="165">
        <v>7454</v>
      </c>
      <c r="T81" s="165">
        <v>13128</v>
      </c>
      <c r="U81" s="165">
        <v>11910</v>
      </c>
      <c r="V81" s="165">
        <v>15158</v>
      </c>
      <c r="W81" s="165">
        <v>15932</v>
      </c>
      <c r="X81" s="165">
        <v>16432</v>
      </c>
      <c r="Y81" s="165">
        <v>8862</v>
      </c>
      <c r="Z81" s="164">
        <v>7081</v>
      </c>
      <c r="AA81" s="165">
        <f t="shared" si="3"/>
        <v>161760</v>
      </c>
    </row>
    <row r="82" spans="1:27" x14ac:dyDescent="0.2">
      <c r="A82" s="162" t="s">
        <v>393</v>
      </c>
      <c r="B82" s="165">
        <v>14481</v>
      </c>
      <c r="C82" s="165">
        <v>5083</v>
      </c>
      <c r="D82" s="165">
        <v>17570</v>
      </c>
      <c r="E82" s="165">
        <v>6654</v>
      </c>
      <c r="F82" s="165">
        <v>8750</v>
      </c>
      <c r="G82" s="165">
        <v>13266</v>
      </c>
      <c r="H82" s="165">
        <v>7928</v>
      </c>
      <c r="I82" s="165">
        <v>13356</v>
      </c>
      <c r="J82" s="165">
        <v>5240</v>
      </c>
      <c r="K82" s="165">
        <v>6744</v>
      </c>
      <c r="L82" s="165">
        <v>15936</v>
      </c>
      <c r="M82" s="165">
        <v>17855</v>
      </c>
      <c r="N82" s="165">
        <f t="shared" si="2"/>
        <v>132863</v>
      </c>
      <c r="O82" s="165">
        <v>15001</v>
      </c>
      <c r="P82" s="165">
        <v>13111</v>
      </c>
      <c r="Q82" s="165">
        <v>18433</v>
      </c>
      <c r="R82" s="165">
        <v>17363</v>
      </c>
      <c r="S82" s="165">
        <v>7155</v>
      </c>
      <c r="T82" s="165">
        <v>18026</v>
      </c>
      <c r="U82" s="165">
        <v>8953</v>
      </c>
      <c r="V82" s="165">
        <v>7437</v>
      </c>
      <c r="W82" s="165">
        <v>10929</v>
      </c>
      <c r="X82" s="165">
        <v>19932</v>
      </c>
      <c r="Y82" s="165">
        <v>16610</v>
      </c>
      <c r="Z82" s="164">
        <v>14806</v>
      </c>
      <c r="AA82" s="165">
        <f t="shared" si="3"/>
        <v>167756</v>
      </c>
    </row>
    <row r="83" spans="1:27" x14ac:dyDescent="0.2">
      <c r="A83" s="162" t="s">
        <v>394</v>
      </c>
      <c r="B83" s="165">
        <v>18307</v>
      </c>
      <c r="C83" s="165">
        <v>7321</v>
      </c>
      <c r="D83" s="165">
        <v>18328</v>
      </c>
      <c r="E83" s="165">
        <v>7173</v>
      </c>
      <c r="F83" s="165">
        <v>9026</v>
      </c>
      <c r="G83" s="165">
        <v>14118</v>
      </c>
      <c r="H83" s="165">
        <v>12941</v>
      </c>
      <c r="I83" s="165">
        <v>10520</v>
      </c>
      <c r="J83" s="165">
        <v>16859</v>
      </c>
      <c r="K83" s="165">
        <v>14464</v>
      </c>
      <c r="L83" s="165">
        <v>17457</v>
      </c>
      <c r="M83" s="165">
        <v>11168</v>
      </c>
      <c r="N83" s="165">
        <f t="shared" si="2"/>
        <v>157682</v>
      </c>
      <c r="O83" s="165">
        <v>7702</v>
      </c>
      <c r="P83" s="165">
        <v>19514</v>
      </c>
      <c r="Q83" s="165">
        <v>18840</v>
      </c>
      <c r="R83" s="165">
        <v>16376</v>
      </c>
      <c r="S83" s="165">
        <v>13784</v>
      </c>
      <c r="T83" s="165">
        <v>10254</v>
      </c>
      <c r="U83" s="165">
        <v>9566</v>
      </c>
      <c r="V83" s="165">
        <v>12711</v>
      </c>
      <c r="W83" s="165">
        <v>5486</v>
      </c>
      <c r="X83" s="165">
        <v>15956</v>
      </c>
      <c r="Y83" s="165">
        <v>19224</v>
      </c>
      <c r="Z83" s="164">
        <v>13247</v>
      </c>
      <c r="AA83" s="165">
        <f t="shared" si="3"/>
        <v>162660</v>
      </c>
    </row>
    <row r="84" spans="1:27" x14ac:dyDescent="0.2">
      <c r="A84" s="162" t="s">
        <v>395</v>
      </c>
      <c r="B84" s="165">
        <v>14510</v>
      </c>
      <c r="C84" s="165">
        <v>6634</v>
      </c>
      <c r="D84" s="165">
        <v>17497</v>
      </c>
      <c r="E84" s="165">
        <v>19738</v>
      </c>
      <c r="F84" s="165">
        <v>17145</v>
      </c>
      <c r="G84" s="165">
        <v>7235</v>
      </c>
      <c r="H84" s="165">
        <v>18241</v>
      </c>
      <c r="I84" s="165">
        <v>16008</v>
      </c>
      <c r="J84" s="165">
        <v>13761</v>
      </c>
      <c r="K84" s="165">
        <v>6360</v>
      </c>
      <c r="L84" s="165">
        <v>8289</v>
      </c>
      <c r="M84" s="165">
        <v>11116</v>
      </c>
      <c r="N84" s="165">
        <f t="shared" si="2"/>
        <v>156534</v>
      </c>
      <c r="O84" s="165">
        <v>15438</v>
      </c>
      <c r="P84" s="165">
        <v>11172</v>
      </c>
      <c r="Q84" s="165">
        <v>16602</v>
      </c>
      <c r="R84" s="165">
        <v>19716</v>
      </c>
      <c r="S84" s="165">
        <v>9193</v>
      </c>
      <c r="T84" s="165">
        <v>17837</v>
      </c>
      <c r="U84" s="165">
        <v>16989</v>
      </c>
      <c r="V84" s="165">
        <v>11434</v>
      </c>
      <c r="W84" s="165">
        <v>14006</v>
      </c>
      <c r="X84" s="165">
        <v>6473</v>
      </c>
      <c r="Y84" s="165">
        <v>9854</v>
      </c>
      <c r="Z84" s="164">
        <v>6364</v>
      </c>
      <c r="AA84" s="165">
        <f t="shared" si="3"/>
        <v>155078</v>
      </c>
    </row>
    <row r="85" spans="1:27" x14ac:dyDescent="0.2">
      <c r="A85" s="162" t="s">
        <v>396</v>
      </c>
      <c r="B85" s="165">
        <v>17141</v>
      </c>
      <c r="C85" s="165">
        <v>14099</v>
      </c>
      <c r="D85" s="165">
        <v>5766</v>
      </c>
      <c r="E85" s="165">
        <v>18870</v>
      </c>
      <c r="F85" s="165">
        <v>18021</v>
      </c>
      <c r="G85" s="165">
        <v>13081</v>
      </c>
      <c r="H85" s="165">
        <v>10036</v>
      </c>
      <c r="I85" s="165">
        <v>19092</v>
      </c>
      <c r="J85" s="165">
        <v>17587</v>
      </c>
      <c r="K85" s="165">
        <v>6315</v>
      </c>
      <c r="L85" s="165">
        <v>15423</v>
      </c>
      <c r="M85" s="165">
        <v>13472</v>
      </c>
      <c r="N85" s="165">
        <f t="shared" si="2"/>
        <v>168903</v>
      </c>
      <c r="O85" s="165">
        <v>5756</v>
      </c>
      <c r="P85" s="165">
        <v>12851</v>
      </c>
      <c r="Q85" s="165">
        <v>19827</v>
      </c>
      <c r="R85" s="165">
        <v>5498</v>
      </c>
      <c r="S85" s="165">
        <v>9587</v>
      </c>
      <c r="T85" s="165">
        <v>14312</v>
      </c>
      <c r="U85" s="165">
        <v>12777</v>
      </c>
      <c r="V85" s="165">
        <v>13889</v>
      </c>
      <c r="W85" s="165">
        <v>8165</v>
      </c>
      <c r="X85" s="165">
        <v>6235</v>
      </c>
      <c r="Y85" s="165">
        <v>15771</v>
      </c>
      <c r="Z85" s="164">
        <v>18481</v>
      </c>
      <c r="AA85" s="165">
        <f t="shared" si="3"/>
        <v>143149</v>
      </c>
    </row>
    <row r="86" spans="1:27" x14ac:dyDescent="0.2">
      <c r="A86" s="162" t="s">
        <v>397</v>
      </c>
      <c r="B86" s="165">
        <v>9872</v>
      </c>
      <c r="C86" s="165">
        <v>5940</v>
      </c>
      <c r="D86" s="165">
        <v>7820</v>
      </c>
      <c r="E86" s="165">
        <v>15689</v>
      </c>
      <c r="F86" s="165">
        <v>5909</v>
      </c>
      <c r="G86" s="165">
        <v>7185</v>
      </c>
      <c r="H86" s="165">
        <v>6638</v>
      </c>
      <c r="I86" s="165">
        <v>13663</v>
      </c>
      <c r="J86" s="165">
        <v>12763</v>
      </c>
      <c r="K86" s="165">
        <v>12408</v>
      </c>
      <c r="L86" s="165">
        <v>12779</v>
      </c>
      <c r="M86" s="165">
        <v>7839</v>
      </c>
      <c r="N86" s="165">
        <f t="shared" si="2"/>
        <v>118505</v>
      </c>
      <c r="O86" s="165">
        <v>15972</v>
      </c>
      <c r="P86" s="165">
        <v>12706</v>
      </c>
      <c r="Q86" s="165">
        <v>7188</v>
      </c>
      <c r="R86" s="165">
        <v>7575</v>
      </c>
      <c r="S86" s="165">
        <v>11222</v>
      </c>
      <c r="T86" s="165">
        <v>18314</v>
      </c>
      <c r="U86" s="165">
        <v>19377</v>
      </c>
      <c r="V86" s="165">
        <v>13269</v>
      </c>
      <c r="W86" s="165">
        <v>19316</v>
      </c>
      <c r="X86" s="165">
        <v>15244</v>
      </c>
      <c r="Y86" s="165">
        <v>18345</v>
      </c>
      <c r="Z86" s="164">
        <v>10907</v>
      </c>
      <c r="AA86" s="165">
        <f t="shared" si="3"/>
        <v>169435</v>
      </c>
    </row>
    <row r="87" spans="1:27" x14ac:dyDescent="0.2">
      <c r="A87" s="162" t="s">
        <v>398</v>
      </c>
      <c r="B87" s="165">
        <v>12578</v>
      </c>
      <c r="C87" s="165">
        <v>9937</v>
      </c>
      <c r="D87" s="165">
        <v>14220</v>
      </c>
      <c r="E87" s="165">
        <v>11212</v>
      </c>
      <c r="F87" s="165">
        <v>8098</v>
      </c>
      <c r="G87" s="165">
        <v>9013</v>
      </c>
      <c r="H87" s="165">
        <v>13821</v>
      </c>
      <c r="I87" s="165">
        <v>7748</v>
      </c>
      <c r="J87" s="165">
        <v>7885</v>
      </c>
      <c r="K87" s="165">
        <v>8028</v>
      </c>
      <c r="L87" s="165">
        <v>12644</v>
      </c>
      <c r="M87" s="165">
        <v>14609</v>
      </c>
      <c r="N87" s="165">
        <f t="shared" si="2"/>
        <v>129793</v>
      </c>
      <c r="O87" s="165">
        <v>16030</v>
      </c>
      <c r="P87" s="165">
        <v>7755</v>
      </c>
      <c r="Q87" s="165">
        <v>9662</v>
      </c>
      <c r="R87" s="165">
        <v>9095</v>
      </c>
      <c r="S87" s="165">
        <v>10453</v>
      </c>
      <c r="T87" s="165">
        <v>19118</v>
      </c>
      <c r="U87" s="165">
        <v>12946</v>
      </c>
      <c r="V87" s="165">
        <v>15226</v>
      </c>
      <c r="W87" s="165">
        <v>17973</v>
      </c>
      <c r="X87" s="165">
        <v>6897</v>
      </c>
      <c r="Y87" s="165">
        <v>5376</v>
      </c>
      <c r="Z87" s="164">
        <v>6819</v>
      </c>
      <c r="AA87" s="165">
        <f t="shared" si="3"/>
        <v>137350</v>
      </c>
    </row>
    <row r="88" spans="1:27" x14ac:dyDescent="0.2">
      <c r="A88" s="162" t="s">
        <v>399</v>
      </c>
      <c r="B88" s="165">
        <v>6489</v>
      </c>
      <c r="C88" s="165">
        <v>13979</v>
      </c>
      <c r="D88" s="165">
        <v>9402</v>
      </c>
      <c r="E88" s="165">
        <v>19602</v>
      </c>
      <c r="F88" s="165">
        <v>18109</v>
      </c>
      <c r="G88" s="165">
        <v>12123</v>
      </c>
      <c r="H88" s="165">
        <v>8466</v>
      </c>
      <c r="I88" s="165">
        <v>15103</v>
      </c>
      <c r="J88" s="165">
        <v>6232</v>
      </c>
      <c r="K88" s="165">
        <v>6810</v>
      </c>
      <c r="L88" s="165">
        <v>16266</v>
      </c>
      <c r="M88" s="165">
        <v>17398</v>
      </c>
      <c r="N88" s="165">
        <f t="shared" si="2"/>
        <v>149979</v>
      </c>
      <c r="O88" s="165">
        <v>17398</v>
      </c>
      <c r="P88" s="165">
        <v>10665</v>
      </c>
      <c r="Q88" s="165">
        <v>7296</v>
      </c>
      <c r="R88" s="165">
        <v>14578</v>
      </c>
      <c r="S88" s="165">
        <v>6995</v>
      </c>
      <c r="T88" s="165">
        <v>8401</v>
      </c>
      <c r="U88" s="165">
        <v>11028</v>
      </c>
      <c r="V88" s="165">
        <v>13819</v>
      </c>
      <c r="W88" s="165">
        <v>6814</v>
      </c>
      <c r="X88" s="165">
        <v>5720</v>
      </c>
      <c r="Y88" s="165">
        <v>17669</v>
      </c>
      <c r="Z88" s="164">
        <v>15209</v>
      </c>
      <c r="AA88" s="165">
        <f t="shared" si="3"/>
        <v>135592</v>
      </c>
    </row>
    <row r="89" spans="1:27" x14ac:dyDescent="0.2">
      <c r="A89" s="162" t="s">
        <v>400</v>
      </c>
      <c r="B89" s="165">
        <v>16424</v>
      </c>
      <c r="C89" s="165">
        <v>6955</v>
      </c>
      <c r="D89" s="165">
        <v>14543</v>
      </c>
      <c r="E89" s="165">
        <v>14337</v>
      </c>
      <c r="F89" s="165">
        <v>16105</v>
      </c>
      <c r="G89" s="165">
        <v>14342</v>
      </c>
      <c r="H89" s="165">
        <v>18739</v>
      </c>
      <c r="I89" s="165">
        <v>6063</v>
      </c>
      <c r="J89" s="165">
        <v>10780</v>
      </c>
      <c r="K89" s="165">
        <v>10163</v>
      </c>
      <c r="L89" s="165">
        <v>9138</v>
      </c>
      <c r="M89" s="165">
        <v>13358</v>
      </c>
      <c r="N89" s="165">
        <f t="shared" si="2"/>
        <v>150947</v>
      </c>
      <c r="O89" s="165">
        <v>9400</v>
      </c>
      <c r="P89" s="165">
        <v>12298</v>
      </c>
      <c r="Q89" s="165">
        <v>12163</v>
      </c>
      <c r="R89" s="165">
        <v>18345</v>
      </c>
      <c r="S89" s="165">
        <v>11517</v>
      </c>
      <c r="T89" s="165">
        <v>13488</v>
      </c>
      <c r="U89" s="165">
        <v>12920</v>
      </c>
      <c r="V89" s="165">
        <v>12507</v>
      </c>
      <c r="W89" s="165">
        <v>13006</v>
      </c>
      <c r="X89" s="165">
        <v>8039</v>
      </c>
      <c r="Y89" s="165">
        <v>18795</v>
      </c>
      <c r="Z89" s="164">
        <v>7705</v>
      </c>
      <c r="AA89" s="165">
        <f t="shared" si="3"/>
        <v>150183</v>
      </c>
    </row>
    <row r="90" spans="1:27" x14ac:dyDescent="0.2">
      <c r="A90" s="162" t="s">
        <v>401</v>
      </c>
      <c r="B90" s="165">
        <v>9848</v>
      </c>
      <c r="C90" s="165">
        <v>16459</v>
      </c>
      <c r="D90" s="165">
        <v>19316</v>
      </c>
      <c r="E90" s="165">
        <v>13507</v>
      </c>
      <c r="F90" s="165">
        <v>13795</v>
      </c>
      <c r="G90" s="165">
        <v>11252</v>
      </c>
      <c r="H90" s="165">
        <v>9417</v>
      </c>
      <c r="I90" s="165">
        <v>5108</v>
      </c>
      <c r="J90" s="165">
        <v>8252</v>
      </c>
      <c r="K90" s="165">
        <v>5300</v>
      </c>
      <c r="L90" s="165">
        <v>19013</v>
      </c>
      <c r="M90" s="165">
        <v>5800</v>
      </c>
      <c r="N90" s="165">
        <f t="shared" si="2"/>
        <v>137067</v>
      </c>
      <c r="O90" s="165">
        <v>6697</v>
      </c>
      <c r="P90" s="165">
        <v>10059</v>
      </c>
      <c r="Q90" s="165">
        <v>19233</v>
      </c>
      <c r="R90" s="165">
        <v>8477</v>
      </c>
      <c r="S90" s="165">
        <v>19731</v>
      </c>
      <c r="T90" s="165">
        <v>7110</v>
      </c>
      <c r="U90" s="165">
        <v>18990</v>
      </c>
      <c r="V90" s="165">
        <v>8440</v>
      </c>
      <c r="W90" s="165">
        <v>5597</v>
      </c>
      <c r="X90" s="165">
        <v>16278</v>
      </c>
      <c r="Y90" s="165">
        <v>15304</v>
      </c>
      <c r="Z90" s="164">
        <v>6705</v>
      </c>
      <c r="AA90" s="165">
        <f t="shared" si="3"/>
        <v>142621</v>
      </c>
    </row>
    <row r="91" spans="1:27" x14ac:dyDescent="0.2">
      <c r="A91" s="162" t="s">
        <v>402</v>
      </c>
      <c r="B91" s="165">
        <v>18475</v>
      </c>
      <c r="C91" s="165">
        <v>12051</v>
      </c>
      <c r="D91" s="165">
        <v>18060</v>
      </c>
      <c r="E91" s="165">
        <v>14296</v>
      </c>
      <c r="F91" s="165">
        <v>13967</v>
      </c>
      <c r="G91" s="165">
        <v>19466</v>
      </c>
      <c r="H91" s="165">
        <v>6162</v>
      </c>
      <c r="I91" s="165">
        <v>14082</v>
      </c>
      <c r="J91" s="165">
        <v>18464</v>
      </c>
      <c r="K91" s="165">
        <v>17147</v>
      </c>
      <c r="L91" s="165">
        <v>6958</v>
      </c>
      <c r="M91" s="165">
        <v>16836</v>
      </c>
      <c r="N91" s="165">
        <f t="shared" si="2"/>
        <v>175964</v>
      </c>
      <c r="O91" s="165">
        <v>5760</v>
      </c>
      <c r="P91" s="165">
        <v>19374</v>
      </c>
      <c r="Q91" s="165">
        <v>6278</v>
      </c>
      <c r="R91" s="165">
        <v>17623</v>
      </c>
      <c r="S91" s="165">
        <v>13901</v>
      </c>
      <c r="T91" s="165">
        <v>15135</v>
      </c>
      <c r="U91" s="165">
        <v>8782</v>
      </c>
      <c r="V91" s="165">
        <v>12706</v>
      </c>
      <c r="W91" s="165">
        <v>8957</v>
      </c>
      <c r="X91" s="165">
        <v>14855</v>
      </c>
      <c r="Y91" s="165">
        <v>8029</v>
      </c>
      <c r="Z91" s="164">
        <v>19427</v>
      </c>
      <c r="AA91" s="165">
        <f t="shared" si="3"/>
        <v>150827</v>
      </c>
    </row>
    <row r="92" spans="1:27" x14ac:dyDescent="0.2">
      <c r="A92" s="162" t="s">
        <v>403</v>
      </c>
      <c r="B92" s="165">
        <v>10390</v>
      </c>
      <c r="C92" s="165">
        <v>14308</v>
      </c>
      <c r="D92" s="165">
        <v>8881</v>
      </c>
      <c r="E92" s="165">
        <v>6221</v>
      </c>
      <c r="F92" s="165">
        <v>19918</v>
      </c>
      <c r="G92" s="165">
        <v>10334</v>
      </c>
      <c r="H92" s="165">
        <v>14662</v>
      </c>
      <c r="I92" s="165">
        <v>18920</v>
      </c>
      <c r="J92" s="165">
        <v>15850</v>
      </c>
      <c r="K92" s="165">
        <v>19399</v>
      </c>
      <c r="L92" s="165">
        <v>14236</v>
      </c>
      <c r="M92" s="165">
        <v>17067</v>
      </c>
      <c r="N92" s="165">
        <f t="shared" si="2"/>
        <v>170186</v>
      </c>
      <c r="O92" s="165">
        <v>14531</v>
      </c>
      <c r="P92" s="165">
        <v>7226</v>
      </c>
      <c r="Q92" s="165">
        <v>9701</v>
      </c>
      <c r="R92" s="165">
        <v>9985</v>
      </c>
      <c r="S92" s="165">
        <v>10141</v>
      </c>
      <c r="T92" s="165">
        <v>17794</v>
      </c>
      <c r="U92" s="165">
        <v>8769</v>
      </c>
      <c r="V92" s="165">
        <v>6634</v>
      </c>
      <c r="W92" s="165">
        <v>6843</v>
      </c>
      <c r="X92" s="165">
        <v>15059</v>
      </c>
      <c r="Y92" s="165">
        <v>17164</v>
      </c>
      <c r="Z92" s="164">
        <v>12677</v>
      </c>
      <c r="AA92" s="165">
        <f t="shared" si="3"/>
        <v>136524</v>
      </c>
    </row>
    <row r="93" spans="1:27" x14ac:dyDescent="0.2">
      <c r="A93" s="162" t="s">
        <v>404</v>
      </c>
      <c r="B93" s="165">
        <v>15229</v>
      </c>
      <c r="C93" s="165">
        <v>12765</v>
      </c>
      <c r="D93" s="165">
        <v>12154</v>
      </c>
      <c r="E93" s="165">
        <v>16194</v>
      </c>
      <c r="F93" s="165">
        <v>9592</v>
      </c>
      <c r="G93" s="165">
        <v>6157</v>
      </c>
      <c r="H93" s="165">
        <v>7348</v>
      </c>
      <c r="I93" s="165">
        <v>17773</v>
      </c>
      <c r="J93" s="165">
        <v>8822</v>
      </c>
      <c r="K93" s="165">
        <v>18748</v>
      </c>
      <c r="L93" s="165">
        <v>13016</v>
      </c>
      <c r="M93" s="165">
        <v>7454</v>
      </c>
      <c r="N93" s="165">
        <f t="shared" si="2"/>
        <v>145252</v>
      </c>
      <c r="O93" s="165">
        <v>17573</v>
      </c>
      <c r="P93" s="165">
        <v>17240</v>
      </c>
      <c r="Q93" s="165">
        <v>11329</v>
      </c>
      <c r="R93" s="165">
        <v>8637</v>
      </c>
      <c r="S93" s="165">
        <v>18534</v>
      </c>
      <c r="T93" s="165">
        <v>13188</v>
      </c>
      <c r="U93" s="165">
        <v>19439</v>
      </c>
      <c r="V93" s="165">
        <v>8159</v>
      </c>
      <c r="W93" s="165">
        <v>8802</v>
      </c>
      <c r="X93" s="165">
        <v>17418</v>
      </c>
      <c r="Y93" s="165">
        <v>15406</v>
      </c>
      <c r="Z93" s="164">
        <v>19304</v>
      </c>
      <c r="AA93" s="165">
        <f t="shared" si="3"/>
        <v>175029</v>
      </c>
    </row>
    <row r="94" spans="1:27" x14ac:dyDescent="0.2">
      <c r="A94" s="162" t="s">
        <v>405</v>
      </c>
      <c r="B94" s="165">
        <v>19647</v>
      </c>
      <c r="C94" s="165">
        <v>11015</v>
      </c>
      <c r="D94" s="165">
        <v>8940</v>
      </c>
      <c r="E94" s="165">
        <v>17069</v>
      </c>
      <c r="F94" s="165">
        <v>6086</v>
      </c>
      <c r="G94" s="165">
        <v>6343</v>
      </c>
      <c r="H94" s="165">
        <v>19060</v>
      </c>
      <c r="I94" s="165">
        <v>17338</v>
      </c>
      <c r="J94" s="165">
        <v>6145</v>
      </c>
      <c r="K94" s="165">
        <v>6375</v>
      </c>
      <c r="L94" s="165">
        <v>19446</v>
      </c>
      <c r="M94" s="165">
        <v>17602</v>
      </c>
      <c r="N94" s="165">
        <f t="shared" si="2"/>
        <v>155066</v>
      </c>
      <c r="O94" s="165">
        <v>16083</v>
      </c>
      <c r="P94" s="165">
        <v>18323</v>
      </c>
      <c r="Q94" s="165">
        <v>10755</v>
      </c>
      <c r="R94" s="165">
        <v>18117</v>
      </c>
      <c r="S94" s="165">
        <v>5211</v>
      </c>
      <c r="T94" s="165">
        <v>5712</v>
      </c>
      <c r="U94" s="165">
        <v>5130</v>
      </c>
      <c r="V94" s="165">
        <v>9396</v>
      </c>
      <c r="W94" s="165">
        <v>12650</v>
      </c>
      <c r="X94" s="165">
        <v>12157</v>
      </c>
      <c r="Y94" s="165">
        <v>14611</v>
      </c>
      <c r="Z94" s="164">
        <v>7655</v>
      </c>
      <c r="AA94" s="165">
        <f t="shared" si="3"/>
        <v>135800</v>
      </c>
    </row>
    <row r="95" spans="1:27" x14ac:dyDescent="0.2">
      <c r="A95" s="162" t="s">
        <v>406</v>
      </c>
      <c r="B95" s="165">
        <v>12955</v>
      </c>
      <c r="C95" s="165">
        <v>15294</v>
      </c>
      <c r="D95" s="165">
        <v>8505</v>
      </c>
      <c r="E95" s="165">
        <v>18561</v>
      </c>
      <c r="F95" s="165">
        <v>8474</v>
      </c>
      <c r="G95" s="165">
        <v>19170</v>
      </c>
      <c r="H95" s="165">
        <v>18426</v>
      </c>
      <c r="I95" s="165">
        <v>6575</v>
      </c>
      <c r="J95" s="165">
        <v>12168</v>
      </c>
      <c r="K95" s="165">
        <v>7629</v>
      </c>
      <c r="L95" s="165">
        <v>8004</v>
      </c>
      <c r="M95" s="165">
        <v>19570</v>
      </c>
      <c r="N95" s="165">
        <f t="shared" si="2"/>
        <v>155331</v>
      </c>
      <c r="O95" s="165">
        <v>10992</v>
      </c>
      <c r="P95" s="165">
        <v>16355</v>
      </c>
      <c r="Q95" s="165">
        <v>7354</v>
      </c>
      <c r="R95" s="165">
        <v>11259</v>
      </c>
      <c r="S95" s="165">
        <v>5197</v>
      </c>
      <c r="T95" s="165">
        <v>11684</v>
      </c>
      <c r="U95" s="165">
        <v>5856</v>
      </c>
      <c r="V95" s="165">
        <v>16461</v>
      </c>
      <c r="W95" s="165">
        <v>16795</v>
      </c>
      <c r="X95" s="165">
        <v>7171</v>
      </c>
      <c r="Y95" s="165">
        <v>16512</v>
      </c>
      <c r="Z95" s="164">
        <v>11789</v>
      </c>
      <c r="AA95" s="165">
        <f t="shared" si="3"/>
        <v>137425</v>
      </c>
    </row>
    <row r="96" spans="1:27" x14ac:dyDescent="0.2">
      <c r="A96" s="162" t="s">
        <v>407</v>
      </c>
      <c r="B96" s="165">
        <v>19959</v>
      </c>
      <c r="C96" s="165">
        <v>16617</v>
      </c>
      <c r="D96" s="165">
        <v>9123</v>
      </c>
      <c r="E96" s="165">
        <v>8102</v>
      </c>
      <c r="F96" s="165">
        <v>14000</v>
      </c>
      <c r="G96" s="165">
        <v>10558</v>
      </c>
      <c r="H96" s="165">
        <v>13166</v>
      </c>
      <c r="I96" s="165">
        <v>12697</v>
      </c>
      <c r="J96" s="165">
        <v>13067</v>
      </c>
      <c r="K96" s="165">
        <v>19601</v>
      </c>
      <c r="L96" s="165">
        <v>17067</v>
      </c>
      <c r="M96" s="165">
        <v>6646</v>
      </c>
      <c r="N96" s="165">
        <f t="shared" si="2"/>
        <v>160603</v>
      </c>
      <c r="O96" s="165">
        <v>10234</v>
      </c>
      <c r="P96" s="165">
        <v>15740</v>
      </c>
      <c r="Q96" s="165">
        <v>11372</v>
      </c>
      <c r="R96" s="165">
        <v>15938</v>
      </c>
      <c r="S96" s="165">
        <v>16826</v>
      </c>
      <c r="T96" s="165">
        <v>12867</v>
      </c>
      <c r="U96" s="165">
        <v>16934</v>
      </c>
      <c r="V96" s="165">
        <v>5600</v>
      </c>
      <c r="W96" s="165">
        <v>18071</v>
      </c>
      <c r="X96" s="165">
        <v>12983</v>
      </c>
      <c r="Y96" s="165">
        <v>12932</v>
      </c>
      <c r="Z96" s="164">
        <v>11840</v>
      </c>
      <c r="AA96" s="165">
        <f t="shared" si="3"/>
        <v>161337</v>
      </c>
    </row>
    <row r="97" spans="1:27" x14ac:dyDescent="0.2">
      <c r="A97" s="162" t="s">
        <v>408</v>
      </c>
      <c r="B97" s="165">
        <v>9031</v>
      </c>
      <c r="C97" s="165">
        <v>5597</v>
      </c>
      <c r="D97" s="165">
        <v>7786</v>
      </c>
      <c r="E97" s="165">
        <v>15868</v>
      </c>
      <c r="F97" s="165">
        <v>14179</v>
      </c>
      <c r="G97" s="165">
        <v>15424</v>
      </c>
      <c r="H97" s="165">
        <v>17069</v>
      </c>
      <c r="I97" s="165">
        <v>18955</v>
      </c>
      <c r="J97" s="165">
        <v>7483</v>
      </c>
      <c r="K97" s="165">
        <v>10309</v>
      </c>
      <c r="L97" s="165">
        <v>19113</v>
      </c>
      <c r="M97" s="165">
        <v>16019</v>
      </c>
      <c r="N97" s="165">
        <f t="shared" si="2"/>
        <v>156833</v>
      </c>
      <c r="O97" s="165">
        <v>14533</v>
      </c>
      <c r="P97" s="165">
        <v>8325</v>
      </c>
      <c r="Q97" s="165">
        <v>14543</v>
      </c>
      <c r="R97" s="165">
        <v>17671</v>
      </c>
      <c r="S97" s="165">
        <v>11223</v>
      </c>
      <c r="T97" s="165">
        <v>13606</v>
      </c>
      <c r="U97" s="165">
        <v>17979</v>
      </c>
      <c r="V97" s="165">
        <v>17037</v>
      </c>
      <c r="W97" s="165">
        <v>11446</v>
      </c>
      <c r="X97" s="165">
        <v>16368</v>
      </c>
      <c r="Y97" s="165">
        <v>19304</v>
      </c>
      <c r="Z97" s="164">
        <v>8291</v>
      </c>
      <c r="AA97" s="165">
        <f t="shared" si="3"/>
        <v>170326</v>
      </c>
    </row>
    <row r="98" spans="1:27" x14ac:dyDescent="0.2">
      <c r="A98" s="162" t="s">
        <v>409</v>
      </c>
      <c r="B98" s="165">
        <v>16526</v>
      </c>
      <c r="C98" s="165">
        <v>11268</v>
      </c>
      <c r="D98" s="165">
        <v>16670</v>
      </c>
      <c r="E98" s="165">
        <v>17212</v>
      </c>
      <c r="F98" s="165">
        <v>9541</v>
      </c>
      <c r="G98" s="165">
        <v>5472</v>
      </c>
      <c r="H98" s="165">
        <v>10314</v>
      </c>
      <c r="I98" s="165">
        <v>16541</v>
      </c>
      <c r="J98" s="165">
        <v>12705</v>
      </c>
      <c r="K98" s="165">
        <v>10060</v>
      </c>
      <c r="L98" s="165">
        <v>8202</v>
      </c>
      <c r="M98" s="165">
        <v>15645</v>
      </c>
      <c r="N98" s="165">
        <f t="shared" si="2"/>
        <v>150156</v>
      </c>
      <c r="O98" s="165">
        <v>11080</v>
      </c>
      <c r="P98" s="165">
        <v>19532</v>
      </c>
      <c r="Q98" s="165">
        <v>9707</v>
      </c>
      <c r="R98" s="165">
        <v>12459</v>
      </c>
      <c r="S98" s="165">
        <v>13856</v>
      </c>
      <c r="T98" s="165">
        <v>9675</v>
      </c>
      <c r="U98" s="165">
        <v>7415</v>
      </c>
      <c r="V98" s="165">
        <v>13639</v>
      </c>
      <c r="W98" s="165">
        <v>19969</v>
      </c>
      <c r="X98" s="165">
        <v>9842</v>
      </c>
      <c r="Y98" s="165">
        <v>18949</v>
      </c>
      <c r="Z98" s="164">
        <v>9430</v>
      </c>
      <c r="AA98" s="165">
        <f t="shared" si="3"/>
        <v>155553</v>
      </c>
    </row>
    <row r="99" spans="1:27" x14ac:dyDescent="0.2">
      <c r="A99" s="162" t="s">
        <v>410</v>
      </c>
      <c r="B99" s="165">
        <v>11135</v>
      </c>
      <c r="C99" s="165">
        <v>5466</v>
      </c>
      <c r="D99" s="165">
        <v>8156</v>
      </c>
      <c r="E99" s="165">
        <v>5041</v>
      </c>
      <c r="F99" s="165">
        <v>7662</v>
      </c>
      <c r="G99" s="165">
        <v>11362</v>
      </c>
      <c r="H99" s="165">
        <v>5455</v>
      </c>
      <c r="I99" s="165">
        <v>11538</v>
      </c>
      <c r="J99" s="165">
        <v>9027</v>
      </c>
      <c r="K99" s="165">
        <v>12263</v>
      </c>
      <c r="L99" s="165">
        <v>18589</v>
      </c>
      <c r="M99" s="165">
        <v>10401</v>
      </c>
      <c r="N99" s="165">
        <f t="shared" si="2"/>
        <v>116095</v>
      </c>
      <c r="O99" s="165">
        <v>8562</v>
      </c>
      <c r="P99" s="165">
        <v>10255</v>
      </c>
      <c r="Q99" s="165">
        <v>13981</v>
      </c>
      <c r="R99" s="165">
        <v>17067</v>
      </c>
      <c r="S99" s="165">
        <v>19535</v>
      </c>
      <c r="T99" s="165">
        <v>16236</v>
      </c>
      <c r="U99" s="165">
        <v>13788</v>
      </c>
      <c r="V99" s="165">
        <v>6521</v>
      </c>
      <c r="W99" s="165">
        <v>12488</v>
      </c>
      <c r="X99" s="165">
        <v>7755</v>
      </c>
      <c r="Y99" s="165">
        <v>5962</v>
      </c>
      <c r="Z99" s="164">
        <v>16778</v>
      </c>
      <c r="AA99" s="165">
        <f t="shared" si="3"/>
        <v>148928</v>
      </c>
    </row>
    <row r="100" spans="1:27" x14ac:dyDescent="0.2">
      <c r="A100" s="162" t="s">
        <v>411</v>
      </c>
      <c r="B100" s="165">
        <v>16231</v>
      </c>
      <c r="C100" s="165">
        <v>12209</v>
      </c>
      <c r="D100" s="165">
        <v>10018</v>
      </c>
      <c r="E100" s="165">
        <v>9109</v>
      </c>
      <c r="F100" s="165">
        <v>18851</v>
      </c>
      <c r="G100" s="165">
        <v>10462</v>
      </c>
      <c r="H100" s="165">
        <v>14408</v>
      </c>
      <c r="I100" s="165">
        <v>18091</v>
      </c>
      <c r="J100" s="165">
        <v>17093</v>
      </c>
      <c r="K100" s="165">
        <v>16081</v>
      </c>
      <c r="L100" s="165">
        <v>19983</v>
      </c>
      <c r="M100" s="165">
        <v>8560</v>
      </c>
      <c r="N100" s="165">
        <f t="shared" si="2"/>
        <v>171096</v>
      </c>
      <c r="O100" s="165">
        <v>19602</v>
      </c>
      <c r="P100" s="165">
        <v>11463</v>
      </c>
      <c r="Q100" s="165">
        <v>18890</v>
      </c>
      <c r="R100" s="165">
        <v>15836</v>
      </c>
      <c r="S100" s="165">
        <v>16088</v>
      </c>
      <c r="T100" s="165">
        <v>8016</v>
      </c>
      <c r="U100" s="165">
        <v>10067</v>
      </c>
      <c r="V100" s="165">
        <v>14153</v>
      </c>
      <c r="W100" s="165">
        <v>11708</v>
      </c>
      <c r="X100" s="165">
        <v>17768</v>
      </c>
      <c r="Y100" s="165">
        <v>15003</v>
      </c>
      <c r="Z100" s="164">
        <v>17865</v>
      </c>
      <c r="AA100" s="165">
        <f t="shared" si="3"/>
        <v>176459</v>
      </c>
    </row>
    <row r="101" spans="1:27" x14ac:dyDescent="0.2">
      <c r="A101" s="162" t="s">
        <v>412</v>
      </c>
      <c r="B101" s="165">
        <v>6489</v>
      </c>
      <c r="C101" s="165">
        <v>13979</v>
      </c>
      <c r="D101" s="165">
        <v>9402</v>
      </c>
      <c r="E101" s="165">
        <v>19602</v>
      </c>
      <c r="F101" s="165">
        <v>18109</v>
      </c>
      <c r="G101" s="165">
        <v>12123</v>
      </c>
      <c r="H101" s="165">
        <v>8466</v>
      </c>
      <c r="I101" s="165">
        <v>15103</v>
      </c>
      <c r="J101" s="165">
        <v>6232</v>
      </c>
      <c r="K101" s="165">
        <v>6810</v>
      </c>
      <c r="L101" s="165">
        <v>16266</v>
      </c>
      <c r="M101" s="165">
        <v>17398</v>
      </c>
      <c r="N101" s="165">
        <f t="shared" si="2"/>
        <v>149979</v>
      </c>
      <c r="O101" s="165">
        <v>17398</v>
      </c>
      <c r="P101" s="165">
        <v>10665</v>
      </c>
      <c r="Q101" s="165">
        <v>7296</v>
      </c>
      <c r="R101" s="165">
        <v>14578</v>
      </c>
      <c r="S101" s="165">
        <v>6995</v>
      </c>
      <c r="T101" s="165">
        <v>8401</v>
      </c>
      <c r="U101" s="165">
        <v>11028</v>
      </c>
      <c r="V101" s="165">
        <v>13819</v>
      </c>
      <c r="W101" s="165">
        <v>6814</v>
      </c>
      <c r="X101" s="165">
        <v>5720</v>
      </c>
      <c r="Y101" s="165">
        <v>17669</v>
      </c>
      <c r="Z101" s="164">
        <v>15209</v>
      </c>
      <c r="AA101" s="165">
        <f t="shared" si="3"/>
        <v>135592</v>
      </c>
    </row>
    <row r="102" spans="1:27" x14ac:dyDescent="0.2">
      <c r="A102" s="162" t="s">
        <v>413</v>
      </c>
      <c r="B102" s="165">
        <v>16424</v>
      </c>
      <c r="C102" s="165">
        <v>6955</v>
      </c>
      <c r="D102" s="165">
        <v>14543</v>
      </c>
      <c r="E102" s="165">
        <v>14337</v>
      </c>
      <c r="F102" s="165">
        <v>16105</v>
      </c>
      <c r="G102" s="165">
        <v>14342</v>
      </c>
      <c r="H102" s="165">
        <v>18739</v>
      </c>
      <c r="I102" s="165">
        <v>6063</v>
      </c>
      <c r="J102" s="165">
        <v>10780</v>
      </c>
      <c r="K102" s="165">
        <v>10163</v>
      </c>
      <c r="L102" s="165">
        <v>9138</v>
      </c>
      <c r="M102" s="165">
        <v>13358</v>
      </c>
      <c r="N102" s="165">
        <f t="shared" si="2"/>
        <v>150947</v>
      </c>
      <c r="O102" s="165">
        <v>9400</v>
      </c>
      <c r="P102" s="165">
        <v>12298</v>
      </c>
      <c r="Q102" s="165">
        <v>12163</v>
      </c>
      <c r="R102" s="165">
        <v>18345</v>
      </c>
      <c r="S102" s="165">
        <v>11517</v>
      </c>
      <c r="T102" s="165">
        <v>13488</v>
      </c>
      <c r="U102" s="165">
        <v>12920</v>
      </c>
      <c r="V102" s="165">
        <v>12507</v>
      </c>
      <c r="W102" s="165">
        <v>13006</v>
      </c>
      <c r="X102" s="165">
        <v>8039</v>
      </c>
      <c r="Y102" s="165">
        <v>18795</v>
      </c>
      <c r="Z102" s="164">
        <v>7705</v>
      </c>
      <c r="AA102" s="165">
        <f t="shared" si="3"/>
        <v>150183</v>
      </c>
    </row>
    <row r="103" spans="1:27" x14ac:dyDescent="0.2">
      <c r="A103" s="162" t="s">
        <v>414</v>
      </c>
      <c r="B103" s="165">
        <v>9848</v>
      </c>
      <c r="C103" s="165">
        <v>16459</v>
      </c>
      <c r="D103" s="165">
        <v>19316</v>
      </c>
      <c r="E103" s="165">
        <v>13507</v>
      </c>
      <c r="F103" s="165">
        <v>13795</v>
      </c>
      <c r="G103" s="165">
        <v>11252</v>
      </c>
      <c r="H103" s="165">
        <v>9417</v>
      </c>
      <c r="I103" s="165">
        <v>5108</v>
      </c>
      <c r="J103" s="165">
        <v>8252</v>
      </c>
      <c r="K103" s="165">
        <v>5300</v>
      </c>
      <c r="L103" s="165">
        <v>19013</v>
      </c>
      <c r="M103" s="165">
        <v>5800</v>
      </c>
      <c r="N103" s="165">
        <f t="shared" si="2"/>
        <v>137067</v>
      </c>
      <c r="O103" s="165">
        <v>6697</v>
      </c>
      <c r="P103" s="165">
        <v>10059</v>
      </c>
      <c r="Q103" s="165">
        <v>19233</v>
      </c>
      <c r="R103" s="165">
        <v>8477</v>
      </c>
      <c r="S103" s="165">
        <v>19731</v>
      </c>
      <c r="T103" s="165">
        <v>7110</v>
      </c>
      <c r="U103" s="165">
        <v>18990</v>
      </c>
      <c r="V103" s="165">
        <v>8440</v>
      </c>
      <c r="W103" s="165">
        <v>5597</v>
      </c>
      <c r="X103" s="165">
        <v>16278</v>
      </c>
      <c r="Y103" s="165">
        <v>15304</v>
      </c>
      <c r="Z103" s="164">
        <v>6705</v>
      </c>
      <c r="AA103" s="165">
        <f t="shared" si="3"/>
        <v>142621</v>
      </c>
    </row>
    <row r="104" spans="1:27" x14ac:dyDescent="0.2">
      <c r="A104" s="162" t="s">
        <v>415</v>
      </c>
      <c r="B104" s="165">
        <v>18475</v>
      </c>
      <c r="C104" s="165">
        <v>12051</v>
      </c>
      <c r="D104" s="165">
        <v>18060</v>
      </c>
      <c r="E104" s="165">
        <v>14296</v>
      </c>
      <c r="F104" s="165">
        <v>13967</v>
      </c>
      <c r="G104" s="165">
        <v>19466</v>
      </c>
      <c r="H104" s="165">
        <v>6162</v>
      </c>
      <c r="I104" s="165">
        <v>14082</v>
      </c>
      <c r="J104" s="165">
        <v>18464</v>
      </c>
      <c r="K104" s="165">
        <v>17147</v>
      </c>
      <c r="L104" s="165">
        <v>6958</v>
      </c>
      <c r="M104" s="165">
        <v>16836</v>
      </c>
      <c r="N104" s="165">
        <f t="shared" si="2"/>
        <v>175964</v>
      </c>
      <c r="O104" s="165">
        <v>5760</v>
      </c>
      <c r="P104" s="165">
        <v>19374</v>
      </c>
      <c r="Q104" s="165">
        <v>6278</v>
      </c>
      <c r="R104" s="165">
        <v>17623</v>
      </c>
      <c r="S104" s="165">
        <v>13901</v>
      </c>
      <c r="T104" s="165">
        <v>15135</v>
      </c>
      <c r="U104" s="165">
        <v>8782</v>
      </c>
      <c r="V104" s="165">
        <v>12706</v>
      </c>
      <c r="W104" s="165">
        <v>8957</v>
      </c>
      <c r="X104" s="165">
        <v>14855</v>
      </c>
      <c r="Y104" s="165">
        <v>8029</v>
      </c>
      <c r="Z104" s="164">
        <v>19427</v>
      </c>
      <c r="AA104" s="165">
        <f t="shared" si="3"/>
        <v>150827</v>
      </c>
    </row>
    <row r="105" spans="1:27" x14ac:dyDescent="0.2">
      <c r="A105" s="162" t="s">
        <v>416</v>
      </c>
      <c r="B105" s="165">
        <v>10390</v>
      </c>
      <c r="C105" s="165">
        <v>14308</v>
      </c>
      <c r="D105" s="165">
        <v>8881</v>
      </c>
      <c r="E105" s="165">
        <v>6221</v>
      </c>
      <c r="F105" s="165">
        <v>19918</v>
      </c>
      <c r="G105" s="165">
        <v>10334</v>
      </c>
      <c r="H105" s="165">
        <v>14662</v>
      </c>
      <c r="I105" s="165">
        <v>18920</v>
      </c>
      <c r="J105" s="165">
        <v>15850</v>
      </c>
      <c r="K105" s="165">
        <v>19399</v>
      </c>
      <c r="L105" s="165">
        <v>14236</v>
      </c>
      <c r="M105" s="165">
        <v>17067</v>
      </c>
      <c r="N105" s="165">
        <f t="shared" si="2"/>
        <v>170186</v>
      </c>
      <c r="O105" s="165">
        <v>14531</v>
      </c>
      <c r="P105" s="165">
        <v>7226</v>
      </c>
      <c r="Q105" s="165">
        <v>9701</v>
      </c>
      <c r="R105" s="165">
        <v>9985</v>
      </c>
      <c r="S105" s="165">
        <v>10141</v>
      </c>
      <c r="T105" s="165">
        <v>17794</v>
      </c>
      <c r="U105" s="165">
        <v>8769</v>
      </c>
      <c r="V105" s="165">
        <v>6634</v>
      </c>
      <c r="W105" s="165">
        <v>6843</v>
      </c>
      <c r="X105" s="165">
        <v>15059</v>
      </c>
      <c r="Y105" s="165">
        <v>17164</v>
      </c>
      <c r="Z105" s="164">
        <v>12677</v>
      </c>
      <c r="AA105" s="165">
        <f t="shared" si="3"/>
        <v>136524</v>
      </c>
    </row>
    <row r="106" spans="1:27" ht="13.5" thickBot="1" x14ac:dyDescent="0.25">
      <c r="A106" s="162" t="s">
        <v>417</v>
      </c>
      <c r="B106" s="165">
        <v>15229</v>
      </c>
      <c r="C106" s="165">
        <v>12765</v>
      </c>
      <c r="D106" s="165">
        <v>12154</v>
      </c>
      <c r="E106" s="165">
        <v>16194</v>
      </c>
      <c r="F106" s="165">
        <v>9592</v>
      </c>
      <c r="G106" s="165">
        <v>6157</v>
      </c>
      <c r="H106" s="165">
        <v>7348</v>
      </c>
      <c r="I106" s="165">
        <v>17773</v>
      </c>
      <c r="J106" s="165">
        <v>8822</v>
      </c>
      <c r="K106" s="165">
        <v>18748</v>
      </c>
      <c r="L106" s="165">
        <v>13016</v>
      </c>
      <c r="M106" s="165">
        <v>7454</v>
      </c>
      <c r="N106" s="165">
        <f t="shared" si="2"/>
        <v>145252</v>
      </c>
      <c r="O106" s="165">
        <v>17573</v>
      </c>
      <c r="P106" s="165">
        <v>17240</v>
      </c>
      <c r="Q106" s="165">
        <v>11329</v>
      </c>
      <c r="R106" s="165">
        <v>8637</v>
      </c>
      <c r="S106" s="165">
        <v>18534</v>
      </c>
      <c r="T106" s="165">
        <v>13188</v>
      </c>
      <c r="U106" s="165">
        <v>19439</v>
      </c>
      <c r="V106" s="165">
        <v>8159</v>
      </c>
      <c r="W106" s="165">
        <v>8802</v>
      </c>
      <c r="X106" s="165">
        <v>17418</v>
      </c>
      <c r="Y106" s="165">
        <v>15406</v>
      </c>
      <c r="Z106" s="164">
        <v>19304</v>
      </c>
      <c r="AA106" s="165">
        <f t="shared" si="3"/>
        <v>175029</v>
      </c>
    </row>
    <row r="107" spans="1:27" ht="14.25" thickTop="1" thickBot="1" x14ac:dyDescent="0.25">
      <c r="A107" s="166" t="s">
        <v>128</v>
      </c>
      <c r="B107" s="167">
        <f>SUM(B9:B106)</f>
        <v>1263712</v>
      </c>
      <c r="C107" s="167">
        <f>SUM(C9:C106)</f>
        <v>1177099</v>
      </c>
      <c r="D107" s="167">
        <f t="shared" ref="D107:Z107" si="4">SUM(D9:D106)</f>
        <v>1223270</v>
      </c>
      <c r="E107" s="167">
        <f t="shared" si="4"/>
        <v>1261790</v>
      </c>
      <c r="F107" s="167">
        <f t="shared" si="4"/>
        <v>1260654</v>
      </c>
      <c r="G107" s="167">
        <f t="shared" si="4"/>
        <v>1256694</v>
      </c>
      <c r="H107" s="167">
        <f t="shared" si="4"/>
        <v>1221610</v>
      </c>
      <c r="I107" s="167">
        <f t="shared" si="4"/>
        <v>1307728</v>
      </c>
      <c r="J107" s="167">
        <f t="shared" si="4"/>
        <v>1233765</v>
      </c>
      <c r="K107" s="167">
        <f t="shared" si="4"/>
        <v>1214834</v>
      </c>
      <c r="L107" s="167">
        <f t="shared" si="4"/>
        <v>1297935</v>
      </c>
      <c r="M107" s="167">
        <f t="shared" si="4"/>
        <v>1186988</v>
      </c>
      <c r="N107" s="167">
        <f>SUM(N9:N106)</f>
        <v>14906079</v>
      </c>
      <c r="O107" s="167">
        <f t="shared" si="4"/>
        <v>1220055</v>
      </c>
      <c r="P107" s="167">
        <f t="shared" si="4"/>
        <v>1203597</v>
      </c>
      <c r="Q107" s="167">
        <f t="shared" si="4"/>
        <v>1247580</v>
      </c>
      <c r="R107" s="167">
        <f t="shared" si="4"/>
        <v>1309289</v>
      </c>
      <c r="S107" s="167">
        <f t="shared" si="4"/>
        <v>1192353</v>
      </c>
      <c r="T107" s="167">
        <f t="shared" si="4"/>
        <v>1252602</v>
      </c>
      <c r="U107" s="167">
        <f t="shared" si="4"/>
        <v>1227271</v>
      </c>
      <c r="V107" s="167">
        <f t="shared" si="4"/>
        <v>1190447</v>
      </c>
      <c r="W107" s="167">
        <f t="shared" si="4"/>
        <v>1189744</v>
      </c>
      <c r="X107" s="167">
        <f t="shared" si="4"/>
        <v>1238460</v>
      </c>
      <c r="Y107" s="167">
        <f t="shared" si="4"/>
        <v>1254450</v>
      </c>
      <c r="Z107" s="167">
        <f t="shared" si="4"/>
        <v>1249350</v>
      </c>
      <c r="AA107" s="167">
        <f>SUM(AA9:AA106)</f>
        <v>14775198</v>
      </c>
    </row>
  </sheetData>
  <mergeCells count="9">
    <mergeCell ref="AA7:AA8"/>
    <mergeCell ref="B2:M2"/>
    <mergeCell ref="O2:Z2"/>
    <mergeCell ref="B4:M4"/>
    <mergeCell ref="O4:Z4"/>
    <mergeCell ref="A7:A8"/>
    <mergeCell ref="B7:M7"/>
    <mergeCell ref="O7:Z7"/>
    <mergeCell ref="N7:N8"/>
  </mergeCells>
  <pageMargins left="0.70866141732283472" right="0.70866141732283472" top="0.74803149606299213" bottom="0.74803149606299213" header="0.31496062992125984" footer="0.31496062992125984"/>
  <pageSetup paperSize="5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9"/>
  <sheetViews>
    <sheetView topLeftCell="C16" zoomScale="70" zoomScaleNormal="70" workbookViewId="0">
      <selection activeCell="G23" sqref="G23"/>
    </sheetView>
  </sheetViews>
  <sheetFormatPr baseColWidth="10" defaultRowHeight="15" x14ac:dyDescent="0.25"/>
  <cols>
    <col min="1" max="1" width="45.7109375" bestFit="1" customWidth="1"/>
    <col min="2" max="2" width="16.85546875" customWidth="1"/>
    <col min="3" max="4" width="16.7109375" customWidth="1"/>
    <col min="5" max="5" width="13.28515625" bestFit="1" customWidth="1"/>
    <col min="6" max="6" width="18.7109375" bestFit="1" customWidth="1"/>
    <col min="7" max="7" width="16" customWidth="1"/>
    <col min="9" max="9" width="13.85546875" bestFit="1" customWidth="1"/>
    <col min="10" max="10" width="14.85546875" bestFit="1" customWidth="1"/>
    <col min="11" max="11" width="13.28515625" bestFit="1" customWidth="1"/>
    <col min="12" max="12" width="12.7109375" customWidth="1"/>
  </cols>
  <sheetData>
    <row r="2" spans="1:7" ht="15.75" x14ac:dyDescent="0.25">
      <c r="A2" s="181" t="s">
        <v>126</v>
      </c>
      <c r="B2" s="181"/>
      <c r="C2" s="181"/>
      <c r="D2" s="181"/>
      <c r="E2" s="181"/>
      <c r="F2" s="181"/>
      <c r="G2" s="181"/>
    </row>
    <row r="3" spans="1:7" x14ac:dyDescent="0.25">
      <c r="A3" s="182" t="s">
        <v>117</v>
      </c>
      <c r="B3" s="183"/>
      <c r="C3" s="183"/>
      <c r="D3" s="183"/>
      <c r="E3" s="183"/>
      <c r="F3" s="183"/>
      <c r="G3" s="183"/>
    </row>
    <row r="4" spans="1:7" x14ac:dyDescent="0.25">
      <c r="A4" s="112"/>
      <c r="B4" s="112"/>
      <c r="C4" s="112"/>
      <c r="D4" s="112"/>
      <c r="E4" s="112"/>
      <c r="F4" s="112"/>
      <c r="G4" s="112"/>
    </row>
    <row r="5" spans="1:7" ht="15.75" x14ac:dyDescent="0.25">
      <c r="A5" s="90"/>
      <c r="B5" s="112"/>
      <c r="C5" s="112"/>
      <c r="D5" s="112"/>
      <c r="E5" s="112"/>
      <c r="F5" s="112"/>
      <c r="G5" s="112"/>
    </row>
    <row r="6" spans="1:7" ht="15.75" x14ac:dyDescent="0.25">
      <c r="A6" s="178" t="s">
        <v>162</v>
      </c>
      <c r="B6" s="178"/>
      <c r="C6" s="178"/>
      <c r="D6" s="178"/>
      <c r="E6" s="178"/>
      <c r="F6" s="178"/>
      <c r="G6" s="178"/>
    </row>
    <row r="7" spans="1:7" x14ac:dyDescent="0.25">
      <c r="A7" s="112"/>
      <c r="B7" s="112"/>
      <c r="C7" s="112"/>
      <c r="D7" s="112"/>
      <c r="E7" s="112"/>
      <c r="F7" s="112"/>
      <c r="G7" s="112"/>
    </row>
    <row r="8" spans="1:7" x14ac:dyDescent="0.25">
      <c r="A8" s="133" t="s">
        <v>118</v>
      </c>
      <c r="B8" s="133" t="s">
        <v>119</v>
      </c>
      <c r="C8" s="133" t="s">
        <v>120</v>
      </c>
      <c r="D8" s="133" t="s">
        <v>121</v>
      </c>
      <c r="E8" s="133" t="s">
        <v>122</v>
      </c>
      <c r="F8" s="133" t="s">
        <v>123</v>
      </c>
      <c r="G8" s="133" t="s">
        <v>124</v>
      </c>
    </row>
    <row r="9" spans="1:7" x14ac:dyDescent="0.25">
      <c r="A9" t="s">
        <v>163</v>
      </c>
      <c r="B9" s="91">
        <v>40544</v>
      </c>
      <c r="C9" s="92">
        <v>275</v>
      </c>
      <c r="D9" s="92">
        <v>220.9</v>
      </c>
      <c r="E9" s="92">
        <f>C9/D9</f>
        <v>1.2449071978270709</v>
      </c>
      <c r="F9" s="93">
        <v>4174627.96</v>
      </c>
      <c r="G9" s="93">
        <f>F9*E9</f>
        <v>5197024.3956541419</v>
      </c>
    </row>
    <row r="10" spans="1:7" x14ac:dyDescent="0.25">
      <c r="A10" t="s">
        <v>163</v>
      </c>
      <c r="B10" s="91">
        <v>40544</v>
      </c>
      <c r="C10" s="92">
        <v>275</v>
      </c>
      <c r="D10" s="92">
        <v>220.9</v>
      </c>
      <c r="E10" s="92">
        <f>C10/D10</f>
        <v>1.2449071978270709</v>
      </c>
      <c r="F10" s="93">
        <v>2299514.11</v>
      </c>
      <c r="G10" s="93">
        <f>F10*E10</f>
        <v>2862681.6670439108</v>
      </c>
    </row>
    <row r="11" spans="1:7" x14ac:dyDescent="0.25">
      <c r="A11" t="s">
        <v>163</v>
      </c>
      <c r="B11" s="91">
        <v>40575</v>
      </c>
      <c r="C11" s="92">
        <v>275</v>
      </c>
      <c r="D11" s="92">
        <v>225.8</v>
      </c>
      <c r="E11" s="92">
        <f t="shared" ref="E11:E16" si="0">C11/D11</f>
        <v>1.2178919397697077</v>
      </c>
      <c r="F11" s="93">
        <v>1345991.79</v>
      </c>
      <c r="G11" s="93">
        <f t="shared" ref="G11:G16" si="1">F11*E11</f>
        <v>1639272.5520372011</v>
      </c>
    </row>
    <row r="12" spans="1:7" x14ac:dyDescent="0.25">
      <c r="A12" t="s">
        <v>163</v>
      </c>
      <c r="B12" s="91">
        <v>40603</v>
      </c>
      <c r="C12" s="92">
        <v>275</v>
      </c>
      <c r="D12" s="92">
        <v>229.3</v>
      </c>
      <c r="E12" s="92">
        <f t="shared" si="0"/>
        <v>1.1993022241604885</v>
      </c>
      <c r="F12" s="93">
        <v>1002963.52</v>
      </c>
      <c r="G12" s="93">
        <f t="shared" si="1"/>
        <v>1202856.3802878326</v>
      </c>
    </row>
    <row r="13" spans="1:7" x14ac:dyDescent="0.25">
      <c r="A13" t="s">
        <v>163</v>
      </c>
      <c r="B13" s="91">
        <v>40634</v>
      </c>
      <c r="C13" s="92">
        <v>275</v>
      </c>
      <c r="D13" s="92">
        <v>232.3</v>
      </c>
      <c r="E13" s="92">
        <f t="shared" si="0"/>
        <v>1.1838140335772707</v>
      </c>
      <c r="F13" s="93">
        <f>552207.03-35919.66</f>
        <v>516287.37</v>
      </c>
      <c r="G13" s="93">
        <f t="shared" si="1"/>
        <v>611188.23396470072</v>
      </c>
    </row>
    <row r="14" spans="1:7" x14ac:dyDescent="0.25">
      <c r="A14" t="s">
        <v>163</v>
      </c>
      <c r="B14" s="91">
        <v>40664</v>
      </c>
      <c r="C14" s="92">
        <v>275</v>
      </c>
      <c r="D14" s="92">
        <v>239.1</v>
      </c>
      <c r="E14" s="92">
        <f t="shared" si="0"/>
        <v>1.1501463822668341</v>
      </c>
      <c r="F14" s="93">
        <v>-4079908.47</v>
      </c>
      <c r="G14" s="93">
        <f t="shared" si="1"/>
        <v>-4692491.9667503145</v>
      </c>
    </row>
    <row r="15" spans="1:7" x14ac:dyDescent="0.25">
      <c r="A15" t="s">
        <v>163</v>
      </c>
      <c r="B15" s="91">
        <v>40695</v>
      </c>
      <c r="C15" s="92">
        <v>275</v>
      </c>
      <c r="D15" s="92">
        <v>244.4</v>
      </c>
      <c r="E15" s="92">
        <f t="shared" si="0"/>
        <v>1.1252045826513912</v>
      </c>
      <c r="F15" s="93">
        <v>-4701763.3600000003</v>
      </c>
      <c r="G15" s="93">
        <f t="shared" si="1"/>
        <v>-5290445.679214403</v>
      </c>
    </row>
    <row r="16" spans="1:7" x14ac:dyDescent="0.25">
      <c r="A16" t="s">
        <v>163</v>
      </c>
      <c r="B16" s="91">
        <v>40878</v>
      </c>
      <c r="C16" s="92">
        <v>275</v>
      </c>
      <c r="D16" s="92">
        <v>275</v>
      </c>
      <c r="E16" s="92">
        <f t="shared" si="0"/>
        <v>1</v>
      </c>
      <c r="F16" s="99">
        <v>324860.92</v>
      </c>
      <c r="G16" s="99">
        <f t="shared" si="1"/>
        <v>324860.92</v>
      </c>
    </row>
    <row r="17" spans="1:9" x14ac:dyDescent="0.25">
      <c r="A17" t="s">
        <v>261</v>
      </c>
      <c r="B17" s="91">
        <v>40544</v>
      </c>
      <c r="C17" s="92">
        <v>275</v>
      </c>
      <c r="D17" s="92">
        <v>220.9</v>
      </c>
      <c r="E17" s="92">
        <f>C17/D17</f>
        <v>1.2449071978270709</v>
      </c>
      <c r="F17" s="99">
        <v>1312867.1000000001</v>
      </c>
      <c r="G17" s="99">
        <f>F17*E17</f>
        <v>1634397.702580353</v>
      </c>
    </row>
    <row r="18" spans="1:9" x14ac:dyDescent="0.25">
      <c r="A18" t="s">
        <v>261</v>
      </c>
      <c r="B18" s="91">
        <v>40575</v>
      </c>
      <c r="C18" s="92">
        <v>275</v>
      </c>
      <c r="D18" s="92">
        <v>225.8</v>
      </c>
      <c r="E18" s="92">
        <f>C18/D18</f>
        <v>1.2178919397697077</v>
      </c>
      <c r="F18" s="99">
        <v>4741.29</v>
      </c>
      <c r="G18" s="99">
        <f>F18*E18</f>
        <v>5774.3788751107168</v>
      </c>
    </row>
    <row r="19" spans="1:9" x14ac:dyDescent="0.25">
      <c r="A19" t="s">
        <v>261</v>
      </c>
      <c r="B19" s="91">
        <v>40603</v>
      </c>
      <c r="C19" s="92">
        <v>275</v>
      </c>
      <c r="D19" s="92">
        <v>229.3</v>
      </c>
      <c r="E19" s="92">
        <f>C19/D19</f>
        <v>1.1993022241604885</v>
      </c>
      <c r="F19" s="99">
        <v>163859.38</v>
      </c>
      <c r="G19" s="99">
        <f>F19*E19</f>
        <v>196516.91888355868</v>
      </c>
    </row>
    <row r="20" spans="1:9" x14ac:dyDescent="0.25">
      <c r="A20" t="s">
        <v>261</v>
      </c>
      <c r="B20" s="91">
        <v>40634</v>
      </c>
      <c r="C20" s="92">
        <v>275</v>
      </c>
      <c r="D20" s="92">
        <v>232.3</v>
      </c>
      <c r="E20" s="92">
        <f>C20/D20</f>
        <v>1.1838140335772707</v>
      </c>
      <c r="F20" s="99">
        <v>59904</v>
      </c>
      <c r="G20" s="99">
        <f>F20*E20</f>
        <v>70915.195867412825</v>
      </c>
    </row>
    <row r="21" spans="1:9" ht="15.75" thickBot="1" x14ac:dyDescent="0.3">
      <c r="A21" t="s">
        <v>261</v>
      </c>
      <c r="B21" s="91">
        <v>40664</v>
      </c>
      <c r="C21" s="92">
        <v>275</v>
      </c>
      <c r="D21" s="92">
        <v>239.1</v>
      </c>
      <c r="E21" s="92">
        <f>C21/D21</f>
        <v>1.1501463822668341</v>
      </c>
      <c r="F21" s="94">
        <v>-1019935.52</v>
      </c>
      <c r="G21" s="94">
        <f>F21*E21</f>
        <v>-1173075.1484734423</v>
      </c>
    </row>
    <row r="22" spans="1:9" ht="15.75" thickTop="1" x14ac:dyDescent="0.25">
      <c r="A22" s="133" t="s">
        <v>128</v>
      </c>
      <c r="B22" s="133"/>
      <c r="C22" s="133"/>
      <c r="D22" s="133"/>
      <c r="E22" s="133"/>
      <c r="F22" s="95">
        <f>SUM(F9:F21)</f>
        <v>1404010.0899999989</v>
      </c>
      <c r="G22" s="95">
        <f>SUM(G9:G21)</f>
        <v>2589475.5507560624</v>
      </c>
    </row>
    <row r="23" spans="1:9" x14ac:dyDescent="0.25">
      <c r="A23" s="110"/>
      <c r="B23" s="110"/>
      <c r="C23" s="110"/>
      <c r="D23" s="110"/>
      <c r="E23" s="110"/>
      <c r="F23" s="95"/>
      <c r="G23" s="95"/>
    </row>
    <row r="24" spans="1:9" ht="15.75" x14ac:dyDescent="0.25">
      <c r="A24" s="90"/>
      <c r="B24" s="52"/>
      <c r="C24" s="52"/>
      <c r="D24" s="52"/>
      <c r="E24" s="52"/>
      <c r="F24" s="95"/>
      <c r="G24" s="95"/>
      <c r="I24" s="108"/>
    </row>
    <row r="25" spans="1:9" ht="15.75" x14ac:dyDescent="0.25">
      <c r="A25" s="178" t="s">
        <v>66</v>
      </c>
      <c r="B25" s="178"/>
      <c r="C25" s="178"/>
      <c r="D25" s="178"/>
      <c r="E25" s="178"/>
      <c r="F25" s="178"/>
      <c r="G25" s="178"/>
    </row>
    <row r="26" spans="1:9" x14ac:dyDescent="0.25">
      <c r="A26" s="112"/>
      <c r="B26" s="112"/>
      <c r="C26" s="112"/>
      <c r="D26" s="112"/>
      <c r="E26" s="112"/>
      <c r="F26" s="112"/>
      <c r="G26" s="112"/>
    </row>
    <row r="27" spans="1:9" x14ac:dyDescent="0.25">
      <c r="A27" s="110" t="s">
        <v>118</v>
      </c>
      <c r="B27" s="110" t="s">
        <v>119</v>
      </c>
      <c r="C27" s="110" t="s">
        <v>120</v>
      </c>
      <c r="D27" s="110" t="s">
        <v>121</v>
      </c>
      <c r="E27" s="110" t="s">
        <v>122</v>
      </c>
      <c r="F27" s="110" t="s">
        <v>123</v>
      </c>
      <c r="G27" s="110" t="s">
        <v>124</v>
      </c>
      <c r="I27" s="108"/>
    </row>
    <row r="28" spans="1:9" x14ac:dyDescent="0.25">
      <c r="A28" t="s">
        <v>127</v>
      </c>
      <c r="B28" s="98" t="s">
        <v>144</v>
      </c>
      <c r="C28" s="92">
        <v>275</v>
      </c>
      <c r="D28" s="92">
        <v>194.32499999999999</v>
      </c>
      <c r="E28" s="92">
        <f>C28/D28</f>
        <v>1.4151550238003345</v>
      </c>
      <c r="F28" s="93">
        <f>'BG Hist Dic10'!C16</f>
        <v>7072643.8099999996</v>
      </c>
      <c r="G28" s="93">
        <f>F28*E28</f>
        <v>10008887.419271838</v>
      </c>
      <c r="I28" s="108"/>
    </row>
    <row r="29" spans="1:9" ht="15.75" thickBot="1" x14ac:dyDescent="0.3">
      <c r="A29" t="s">
        <v>127</v>
      </c>
      <c r="B29" s="98" t="s">
        <v>144</v>
      </c>
      <c r="C29" s="92">
        <v>275</v>
      </c>
      <c r="D29" s="92">
        <v>194.32499999999999</v>
      </c>
      <c r="E29" s="92">
        <f>C29/D29</f>
        <v>1.4151550238003345</v>
      </c>
      <c r="F29" s="94">
        <f>-REME!B27</f>
        <v>-6604185.1199999992</v>
      </c>
      <c r="G29" s="94">
        <f>F29*E29</f>
        <v>-9345945.7506754138</v>
      </c>
    </row>
    <row r="30" spans="1:9" ht="15.75" thickTop="1" x14ac:dyDescent="0.25">
      <c r="A30" s="179" t="s">
        <v>128</v>
      </c>
      <c r="B30" s="179"/>
      <c r="C30" s="179"/>
      <c r="D30" s="179"/>
      <c r="E30" s="179"/>
      <c r="F30" s="95">
        <f>SUM(F28:F29)</f>
        <v>468458.69000000041</v>
      </c>
      <c r="G30" s="95">
        <f>SUM(G28:G29)</f>
        <v>662941.66859642416</v>
      </c>
      <c r="I30" s="108">
        <f>'Calculos 2010'!G38-G30</f>
        <v>9345945.7506754138</v>
      </c>
    </row>
    <row r="31" spans="1:9" x14ac:dyDescent="0.25">
      <c r="A31" s="110"/>
      <c r="B31" s="110"/>
      <c r="C31" s="110"/>
      <c r="D31" s="110"/>
      <c r="E31" s="110"/>
      <c r="F31" s="95"/>
      <c r="G31" s="95"/>
    </row>
    <row r="32" spans="1:9" x14ac:dyDescent="0.25">
      <c r="A32" s="110"/>
      <c r="B32" s="110"/>
      <c r="C32" s="110"/>
      <c r="D32" s="110"/>
      <c r="E32" s="110"/>
      <c r="F32" s="95"/>
      <c r="G32" s="95"/>
    </row>
    <row r="33" spans="1:7" ht="15.75" x14ac:dyDescent="0.25">
      <c r="A33" s="178" t="s">
        <v>160</v>
      </c>
      <c r="B33" s="178"/>
      <c r="C33" s="178"/>
      <c r="D33" s="178"/>
      <c r="E33" s="178"/>
      <c r="F33" s="178"/>
      <c r="G33" s="178"/>
    </row>
    <row r="34" spans="1:7" x14ac:dyDescent="0.25">
      <c r="A34" s="112"/>
      <c r="B34" s="112"/>
      <c r="C34" s="112"/>
      <c r="D34" s="112"/>
      <c r="E34" s="112"/>
      <c r="F34" s="112"/>
      <c r="G34" s="112"/>
    </row>
    <row r="35" spans="1:7" x14ac:dyDescent="0.25">
      <c r="A35" s="110" t="s">
        <v>118</v>
      </c>
      <c r="B35" s="110" t="s">
        <v>119</v>
      </c>
      <c r="C35" s="110" t="s">
        <v>120</v>
      </c>
      <c r="D35" s="110" t="s">
        <v>121</v>
      </c>
      <c r="E35" s="110" t="s">
        <v>122</v>
      </c>
      <c r="F35" s="110" t="s">
        <v>123</v>
      </c>
      <c r="G35" s="110" t="s">
        <v>124</v>
      </c>
    </row>
    <row r="36" spans="1:7" ht="15.75" thickBot="1" x14ac:dyDescent="0.3">
      <c r="A36" t="s">
        <v>161</v>
      </c>
      <c r="B36" s="91">
        <v>39783</v>
      </c>
      <c r="C36" s="92">
        <v>275</v>
      </c>
      <c r="D36" s="92">
        <v>131.9</v>
      </c>
      <c r="E36" s="92">
        <f>C36/D36</f>
        <v>2.0849128127369219</v>
      </c>
      <c r="F36" s="94">
        <f>'BG Hist Dic10'!D21</f>
        <v>245076.35</v>
      </c>
      <c r="G36" s="94">
        <f>F36*E36</f>
        <v>510962.82221379835</v>
      </c>
    </row>
    <row r="37" spans="1:7" ht="15.75" thickTop="1" x14ac:dyDescent="0.25">
      <c r="A37" s="179" t="s">
        <v>128</v>
      </c>
      <c r="B37" s="179"/>
      <c r="C37" s="179"/>
      <c r="D37" s="179"/>
      <c r="E37" s="179"/>
      <c r="F37" s="95">
        <f>SUM(F36:F36)</f>
        <v>245076.35</v>
      </c>
      <c r="G37" s="95">
        <f>SUM(G36:G36)</f>
        <v>510962.82221379835</v>
      </c>
    </row>
    <row r="38" spans="1:7" x14ac:dyDescent="0.25">
      <c r="A38" s="110"/>
      <c r="B38" s="110"/>
      <c r="C38" s="110"/>
      <c r="D38" s="110"/>
      <c r="E38" s="110"/>
      <c r="F38" s="95"/>
      <c r="G38" s="95"/>
    </row>
    <row r="39" spans="1:7" x14ac:dyDescent="0.25">
      <c r="A39" s="110"/>
      <c r="B39" s="110"/>
      <c r="C39" s="110"/>
      <c r="D39" s="110"/>
      <c r="E39" s="110"/>
      <c r="F39" s="95"/>
      <c r="G39" s="95"/>
    </row>
    <row r="40" spans="1:7" ht="15.75" x14ac:dyDescent="0.25">
      <c r="A40" s="178" t="s">
        <v>129</v>
      </c>
      <c r="B40" s="178"/>
      <c r="C40" s="178"/>
      <c r="D40" s="178"/>
      <c r="E40" s="178"/>
      <c r="F40" s="178"/>
      <c r="G40" s="178"/>
    </row>
    <row r="41" spans="1:7" x14ac:dyDescent="0.25">
      <c r="A41" s="112"/>
      <c r="B41" s="112"/>
      <c r="C41" s="112"/>
      <c r="D41" s="112"/>
      <c r="E41" s="112"/>
      <c r="F41" s="112"/>
      <c r="G41" s="112"/>
    </row>
    <row r="42" spans="1:7" x14ac:dyDescent="0.25">
      <c r="A42" s="110" t="s">
        <v>118</v>
      </c>
      <c r="B42" s="110" t="s">
        <v>119</v>
      </c>
      <c r="C42" s="110" t="s">
        <v>120</v>
      </c>
      <c r="D42" s="110" t="s">
        <v>121</v>
      </c>
      <c r="E42" s="110" t="s">
        <v>122</v>
      </c>
      <c r="F42" s="110" t="s">
        <v>123</v>
      </c>
      <c r="G42" s="110" t="s">
        <v>124</v>
      </c>
    </row>
    <row r="43" spans="1:7" x14ac:dyDescent="0.25">
      <c r="A43" t="s">
        <v>130</v>
      </c>
      <c r="B43" s="91">
        <v>39601</v>
      </c>
      <c r="C43" s="92">
        <v>275</v>
      </c>
      <c r="D43" s="92">
        <v>116.3</v>
      </c>
      <c r="E43" s="92">
        <f>C43/D43</f>
        <v>2.36457437661221</v>
      </c>
      <c r="F43" s="93">
        <v>80000</v>
      </c>
      <c r="G43" s="93">
        <f>F43*E43</f>
        <v>189165.95012897681</v>
      </c>
    </row>
    <row r="44" spans="1:7" ht="15.75" thickBot="1" x14ac:dyDescent="0.3">
      <c r="A44" t="s">
        <v>130</v>
      </c>
      <c r="B44" s="91">
        <v>40831</v>
      </c>
      <c r="C44" s="92">
        <v>1</v>
      </c>
      <c r="D44" s="92">
        <v>1</v>
      </c>
      <c r="E44" s="92">
        <f>C44/D44</f>
        <v>1</v>
      </c>
      <c r="F44" s="94">
        <v>0</v>
      </c>
      <c r="G44" s="94">
        <f>F44*E44</f>
        <v>0</v>
      </c>
    </row>
    <row r="45" spans="1:7" ht="15.75" thickTop="1" x14ac:dyDescent="0.25">
      <c r="A45" s="179" t="s">
        <v>128</v>
      </c>
      <c r="B45" s="179"/>
      <c r="C45" s="179"/>
      <c r="D45" s="179"/>
      <c r="E45" s="179"/>
      <c r="F45" s="95">
        <f>SUM(F43:F44)</f>
        <v>80000</v>
      </c>
      <c r="G45" s="95">
        <f>SUM(G43:G44)</f>
        <v>189165.95012897681</v>
      </c>
    </row>
    <row r="46" spans="1:7" x14ac:dyDescent="0.25">
      <c r="A46" s="110"/>
      <c r="B46" s="110"/>
      <c r="C46" s="110"/>
      <c r="D46" s="110"/>
      <c r="E46" s="110"/>
      <c r="F46" s="95"/>
      <c r="G46" s="95"/>
    </row>
    <row r="47" spans="1:7" x14ac:dyDescent="0.25">
      <c r="A47" s="110"/>
      <c r="B47" s="110"/>
      <c r="C47" s="110"/>
      <c r="D47" s="110"/>
      <c r="E47" s="110"/>
      <c r="F47" s="95"/>
      <c r="G47" s="95"/>
    </row>
    <row r="48" spans="1:7" ht="15.75" x14ac:dyDescent="0.25">
      <c r="A48" s="178" t="s">
        <v>166</v>
      </c>
      <c r="B48" s="178"/>
      <c r="C48" s="178"/>
      <c r="D48" s="178"/>
      <c r="E48" s="178"/>
      <c r="F48" s="178"/>
      <c r="G48" s="178"/>
    </row>
    <row r="49" spans="1:11" x14ac:dyDescent="0.25">
      <c r="A49" s="112"/>
      <c r="B49" s="112"/>
      <c r="C49" s="112"/>
      <c r="D49" s="112"/>
      <c r="E49" s="112"/>
      <c r="F49" s="112"/>
      <c r="G49" s="112"/>
    </row>
    <row r="50" spans="1:11" x14ac:dyDescent="0.25">
      <c r="A50" s="110" t="s">
        <v>118</v>
      </c>
      <c r="B50" s="110" t="s">
        <v>119</v>
      </c>
      <c r="C50" s="110" t="s">
        <v>120</v>
      </c>
      <c r="D50" s="110" t="s">
        <v>121</v>
      </c>
      <c r="E50" s="110" t="s">
        <v>122</v>
      </c>
      <c r="F50" s="110" t="s">
        <v>123</v>
      </c>
      <c r="G50" s="110" t="s">
        <v>124</v>
      </c>
    </row>
    <row r="51" spans="1:11" x14ac:dyDescent="0.25">
      <c r="A51" t="s">
        <v>164</v>
      </c>
      <c r="B51" s="91">
        <v>39782</v>
      </c>
      <c r="C51" s="92">
        <v>275</v>
      </c>
      <c r="D51" s="92">
        <v>128.5</v>
      </c>
      <c r="E51" s="92">
        <f>C51/D51</f>
        <v>2.1400778210116731</v>
      </c>
      <c r="F51" s="93">
        <v>250000</v>
      </c>
      <c r="G51" s="93">
        <f>F51*E51</f>
        <v>535019.4552529183</v>
      </c>
    </row>
    <row r="52" spans="1:11" ht="15.75" thickBot="1" x14ac:dyDescent="0.3">
      <c r="A52" t="s">
        <v>164</v>
      </c>
      <c r="B52" s="91">
        <v>40337</v>
      </c>
      <c r="C52" s="92">
        <v>275</v>
      </c>
      <c r="D52" s="92">
        <v>195.4</v>
      </c>
      <c r="E52" s="92">
        <f>C52/D52</f>
        <v>1.4073694984646878</v>
      </c>
      <c r="F52" s="94">
        <v>0</v>
      </c>
      <c r="G52" s="94">
        <f>F52*E52</f>
        <v>0</v>
      </c>
    </row>
    <row r="53" spans="1:11" ht="15.75" thickTop="1" x14ac:dyDescent="0.25">
      <c r="A53" s="179" t="s">
        <v>128</v>
      </c>
      <c r="B53" s="179"/>
      <c r="C53" s="179"/>
      <c r="D53" s="179"/>
      <c r="E53" s="179"/>
      <c r="F53" s="95">
        <f>SUM(F51:F52)</f>
        <v>250000</v>
      </c>
      <c r="G53" s="95">
        <f>SUM(G51:G52)</f>
        <v>535019.4552529183</v>
      </c>
    </row>
    <row r="54" spans="1:11" x14ac:dyDescent="0.25">
      <c r="A54" s="110"/>
      <c r="B54" s="110"/>
      <c r="C54" s="110"/>
      <c r="D54" s="110"/>
      <c r="E54" s="110"/>
      <c r="F54" s="95"/>
      <c r="G54" s="95"/>
      <c r="I54" s="108">
        <f>'Calculos 2010'!F63+'Calculos 2010'!F82+'Calculos 2010'!F103+'Calculos 2010'!F128+'Calculos 2010'!F188</f>
        <v>3368152.1100000003</v>
      </c>
      <c r="J54" s="108">
        <f>'Calculos 2010'!G63+'Calculos 2010'!G82+'Calculos 2010'!G103+'Calculos 2010'!G128+'Calculos 2010'!G188</f>
        <v>7776133.2572313081</v>
      </c>
      <c r="K54" s="108">
        <f>J55-J54</f>
        <v>120050.47017271817</v>
      </c>
    </row>
    <row r="55" spans="1:11" ht="15.75" x14ac:dyDescent="0.25">
      <c r="A55" s="90"/>
      <c r="B55" s="52"/>
      <c r="C55" s="52"/>
      <c r="D55" s="52"/>
      <c r="E55" s="52"/>
      <c r="F55" s="96"/>
      <c r="G55" s="93"/>
      <c r="I55" s="108">
        <f>F53+F72+F93+F118+F178</f>
        <v>3469125.0500000003</v>
      </c>
      <c r="J55" s="108">
        <f>G53+G72+G93+G118+G178</f>
        <v>7896183.7274040263</v>
      </c>
    </row>
    <row r="56" spans="1:11" ht="15.75" x14ac:dyDescent="0.25">
      <c r="A56" s="178" t="s">
        <v>131</v>
      </c>
      <c r="B56" s="178"/>
      <c r="C56" s="178"/>
      <c r="D56" s="178"/>
      <c r="E56" s="178"/>
      <c r="F56" s="178"/>
      <c r="G56" s="178"/>
      <c r="I56" s="108">
        <f>I55-I54</f>
        <v>100972.93999999994</v>
      </c>
      <c r="J56" s="108">
        <f>J55-J54</f>
        <v>120050.47017271817</v>
      </c>
    </row>
    <row r="57" spans="1:11" x14ac:dyDescent="0.25">
      <c r="A57" s="112"/>
      <c r="B57" s="112"/>
      <c r="C57" s="112"/>
      <c r="D57" s="112"/>
      <c r="E57" s="112"/>
      <c r="F57" s="112"/>
      <c r="G57" s="112"/>
    </row>
    <row r="58" spans="1:11" x14ac:dyDescent="0.25">
      <c r="A58" s="133" t="s">
        <v>118</v>
      </c>
      <c r="B58" s="133" t="s">
        <v>119</v>
      </c>
      <c r="C58" s="133" t="s">
        <v>120</v>
      </c>
      <c r="D58" s="133" t="s">
        <v>121</v>
      </c>
      <c r="E58" s="133" t="s">
        <v>122</v>
      </c>
      <c r="F58" s="133" t="s">
        <v>123</v>
      </c>
      <c r="G58" s="133" t="s">
        <v>124</v>
      </c>
      <c r="I58" s="108">
        <f>F238+F257+F278+F303</f>
        <v>1816045.8790580023</v>
      </c>
      <c r="J58" s="108">
        <f>G238+G257+G278+G303</f>
        <v>4974290.9914358221</v>
      </c>
    </row>
    <row r="59" spans="1:11" x14ac:dyDescent="0.25">
      <c r="A59" t="s">
        <v>207</v>
      </c>
      <c r="B59" s="91">
        <v>39113</v>
      </c>
      <c r="C59" s="92">
        <v>275</v>
      </c>
      <c r="D59" s="92">
        <v>83.294548649999996</v>
      </c>
      <c r="E59" s="92">
        <f>C59/D59</f>
        <v>3.3015365886132333</v>
      </c>
      <c r="F59" s="93">
        <v>140.35</v>
      </c>
      <c r="G59" s="93">
        <f>F59*E59</f>
        <v>463.37066021186729</v>
      </c>
      <c r="I59" s="108">
        <f>'Calculos 2010'!F248+'Calculos 2010'!F267+'Calculos 2010'!F288+'Calculos 2010'!F313</f>
        <v>1285407.1990580023</v>
      </c>
      <c r="J59" s="108">
        <f>'Calculos 2010'!G248+'Calculos 2010'!G267+'Calculos 2010'!G288+'Calculos 2010'!G313</f>
        <v>3520830.3514433163</v>
      </c>
    </row>
    <row r="60" spans="1:11" x14ac:dyDescent="0.25">
      <c r="A60" t="s">
        <v>208</v>
      </c>
      <c r="B60" s="91">
        <v>39114</v>
      </c>
      <c r="C60" s="92">
        <v>275</v>
      </c>
      <c r="D60" s="92">
        <v>84.436516810000001</v>
      </c>
      <c r="E60" s="92">
        <f t="shared" ref="E60:E66" si="2">C60/D60</f>
        <v>3.256884703318685</v>
      </c>
      <c r="F60" s="93">
        <v>964.92</v>
      </c>
      <c r="G60" s="93">
        <f t="shared" ref="G60:G69" si="3">F60*E60</f>
        <v>3142.6331879262652</v>
      </c>
      <c r="I60" s="108">
        <f>I58-I59</f>
        <v>530638.67999999993</v>
      </c>
      <c r="J60" s="108">
        <f>J58-J59</f>
        <v>1453460.6399925058</v>
      </c>
    </row>
    <row r="61" spans="1:11" x14ac:dyDescent="0.25">
      <c r="A61" t="s">
        <v>208</v>
      </c>
      <c r="B61" s="91">
        <v>39173</v>
      </c>
      <c r="C61" s="92">
        <v>275</v>
      </c>
      <c r="D61" s="92">
        <v>84.994287389999997</v>
      </c>
      <c r="E61" s="92">
        <f t="shared" si="2"/>
        <v>3.2355115672439312</v>
      </c>
      <c r="F61" s="93">
        <v>1500</v>
      </c>
      <c r="G61" s="93">
        <f t="shared" si="3"/>
        <v>4853.2673508658963</v>
      </c>
    </row>
    <row r="62" spans="1:11" x14ac:dyDescent="0.25">
      <c r="A62" t="s">
        <v>209</v>
      </c>
      <c r="B62" s="91">
        <v>39203</v>
      </c>
      <c r="C62" s="92">
        <v>275</v>
      </c>
      <c r="D62" s="92">
        <v>86.468087789999998</v>
      </c>
      <c r="E62" s="92">
        <f t="shared" si="2"/>
        <v>3.1803640745228048</v>
      </c>
      <c r="F62" s="93">
        <v>1657.66</v>
      </c>
      <c r="G62" s="93">
        <f t="shared" si="3"/>
        <v>5271.9623117734727</v>
      </c>
    </row>
    <row r="63" spans="1:11" x14ac:dyDescent="0.25">
      <c r="A63" t="s">
        <v>210</v>
      </c>
      <c r="B63" s="91">
        <v>39513</v>
      </c>
      <c r="C63" s="92">
        <v>275</v>
      </c>
      <c r="D63" s="92">
        <v>108.2</v>
      </c>
      <c r="E63" s="92">
        <f t="shared" si="2"/>
        <v>2.5415896487985212</v>
      </c>
      <c r="F63" s="93">
        <v>1889.95</v>
      </c>
      <c r="G63" s="93">
        <f t="shared" si="3"/>
        <v>4803.4773567467655</v>
      </c>
    </row>
    <row r="64" spans="1:11" x14ac:dyDescent="0.25">
      <c r="A64" t="s">
        <v>211</v>
      </c>
      <c r="B64" s="91">
        <v>39514</v>
      </c>
      <c r="C64" s="92">
        <v>275</v>
      </c>
      <c r="D64" s="92">
        <v>108.2</v>
      </c>
      <c r="E64" s="92">
        <f t="shared" si="2"/>
        <v>2.5415896487985212</v>
      </c>
      <c r="F64" s="93">
        <v>3467.87</v>
      </c>
      <c r="G64" s="93">
        <f t="shared" si="3"/>
        <v>8813.9024953789267</v>
      </c>
    </row>
    <row r="65" spans="1:7" x14ac:dyDescent="0.25">
      <c r="A65" t="s">
        <v>212</v>
      </c>
      <c r="B65" s="91">
        <v>39533</v>
      </c>
      <c r="C65" s="92">
        <v>275</v>
      </c>
      <c r="D65" s="92">
        <v>108.2</v>
      </c>
      <c r="E65" s="92">
        <f t="shared" si="2"/>
        <v>2.5415896487985212</v>
      </c>
      <c r="F65" s="93">
        <v>11926.62</v>
      </c>
      <c r="G65" s="93">
        <f t="shared" si="3"/>
        <v>30312.573937153422</v>
      </c>
    </row>
    <row r="66" spans="1:7" x14ac:dyDescent="0.25">
      <c r="A66" t="s">
        <v>213</v>
      </c>
      <c r="B66" s="91">
        <v>39562</v>
      </c>
      <c r="C66" s="92">
        <v>275</v>
      </c>
      <c r="D66" s="92">
        <v>109.9</v>
      </c>
      <c r="E66" s="92">
        <f t="shared" si="2"/>
        <v>2.5022747952684257</v>
      </c>
      <c r="F66" s="93">
        <v>1477.06</v>
      </c>
      <c r="G66" s="93">
        <f t="shared" si="3"/>
        <v>3696.0100090991805</v>
      </c>
    </row>
    <row r="67" spans="1:7" x14ac:dyDescent="0.25">
      <c r="A67" t="s">
        <v>214</v>
      </c>
      <c r="B67" s="91">
        <v>39687</v>
      </c>
      <c r="C67" s="92">
        <v>275</v>
      </c>
      <c r="D67" s="92">
        <v>120.2</v>
      </c>
      <c r="E67" s="92">
        <f>C67/D67</f>
        <v>2.287853577371048</v>
      </c>
      <c r="F67" s="93">
        <v>2944.23</v>
      </c>
      <c r="G67" s="93">
        <f t="shared" si="3"/>
        <v>6735.9671381031603</v>
      </c>
    </row>
    <row r="68" spans="1:7" x14ac:dyDescent="0.25">
      <c r="A68" t="s">
        <v>214</v>
      </c>
      <c r="B68" s="91">
        <v>39687</v>
      </c>
      <c r="C68" s="92">
        <v>275</v>
      </c>
      <c r="D68" s="92">
        <v>120.2</v>
      </c>
      <c r="E68" s="92">
        <f>C68/D68</f>
        <v>2.287853577371048</v>
      </c>
      <c r="F68" s="93">
        <v>2072.66</v>
      </c>
      <c r="G68" s="93">
        <f t="shared" si="3"/>
        <v>4741.942595673876</v>
      </c>
    </row>
    <row r="69" spans="1:7" x14ac:dyDescent="0.25">
      <c r="A69" t="s">
        <v>215</v>
      </c>
      <c r="B69" s="91">
        <v>39757</v>
      </c>
      <c r="C69" s="92">
        <v>275</v>
      </c>
      <c r="D69" s="92">
        <v>128.5</v>
      </c>
      <c r="E69" s="92">
        <f>C69/D69</f>
        <v>2.1400778210116731</v>
      </c>
      <c r="F69" s="93">
        <v>1100.92</v>
      </c>
      <c r="G69" s="93">
        <f t="shared" si="3"/>
        <v>2356.0544747081713</v>
      </c>
    </row>
    <row r="70" spans="1:7" x14ac:dyDescent="0.25">
      <c r="A70" t="s">
        <v>215</v>
      </c>
      <c r="B70" s="91">
        <v>39757</v>
      </c>
      <c r="C70" s="92">
        <v>275</v>
      </c>
      <c r="D70" s="92">
        <v>128.5</v>
      </c>
      <c r="E70" s="92">
        <f>C70/D70</f>
        <v>2.1400778210116731</v>
      </c>
      <c r="F70" s="93">
        <v>1100.92</v>
      </c>
      <c r="G70" s="93">
        <f>F70*E70</f>
        <v>2356.0544747081713</v>
      </c>
    </row>
    <row r="71" spans="1:7" ht="15.75" thickBot="1" x14ac:dyDescent="0.3">
      <c r="A71" t="s">
        <v>216</v>
      </c>
      <c r="B71" s="91">
        <v>39931</v>
      </c>
      <c r="C71" s="92">
        <v>275</v>
      </c>
      <c r="D71" s="92">
        <v>142.19999999999999</v>
      </c>
      <c r="E71" s="92">
        <f>C71/D71</f>
        <v>1.9338959212376936</v>
      </c>
      <c r="F71" s="94">
        <v>4999</v>
      </c>
      <c r="G71" s="94">
        <f>F71*E71</f>
        <v>9667.5457102672299</v>
      </c>
    </row>
    <row r="72" spans="1:7" ht="15.75" thickTop="1" x14ac:dyDescent="0.25">
      <c r="A72" s="133" t="s">
        <v>128</v>
      </c>
      <c r="B72" s="133"/>
      <c r="C72" s="133"/>
      <c r="D72" s="133"/>
      <c r="E72" s="133"/>
      <c r="F72" s="95">
        <f>SUM(F59:F71)</f>
        <v>35242.160000000003</v>
      </c>
      <c r="G72" s="95">
        <f>SUM(G59:G71)</f>
        <v>87214.761702616408</v>
      </c>
    </row>
    <row r="73" spans="1:7" x14ac:dyDescent="0.25">
      <c r="A73" s="110"/>
      <c r="B73" s="110"/>
      <c r="C73" s="110"/>
      <c r="D73" s="110"/>
      <c r="E73" s="110"/>
      <c r="F73" s="95"/>
      <c r="G73" s="95"/>
    </row>
    <row r="74" spans="1:7" x14ac:dyDescent="0.25">
      <c r="A74" s="110"/>
      <c r="B74" s="110"/>
      <c r="C74" s="110"/>
      <c r="D74" s="110"/>
      <c r="E74" s="110"/>
      <c r="F74" s="95"/>
      <c r="G74" s="95"/>
    </row>
    <row r="75" spans="1:7" ht="15.75" x14ac:dyDescent="0.25">
      <c r="A75" s="178" t="s">
        <v>132</v>
      </c>
      <c r="B75" s="178"/>
      <c r="C75" s="178"/>
      <c r="D75" s="178"/>
      <c r="E75" s="178"/>
      <c r="F75" s="178"/>
      <c r="G75" s="178"/>
    </row>
    <row r="76" spans="1:7" x14ac:dyDescent="0.25">
      <c r="A76" s="112"/>
      <c r="B76" s="112"/>
      <c r="C76" s="112"/>
      <c r="D76" s="112"/>
      <c r="E76" s="112"/>
      <c r="F76" s="112"/>
      <c r="G76" s="112"/>
    </row>
    <row r="77" spans="1:7" x14ac:dyDescent="0.25">
      <c r="A77" s="133" t="s">
        <v>118</v>
      </c>
      <c r="B77" s="133" t="s">
        <v>119</v>
      </c>
      <c r="C77" s="133" t="s">
        <v>120</v>
      </c>
      <c r="D77" s="133" t="s">
        <v>121</v>
      </c>
      <c r="E77" s="133" t="s">
        <v>122</v>
      </c>
      <c r="F77" s="133" t="s">
        <v>123</v>
      </c>
      <c r="G77" s="133" t="s">
        <v>124</v>
      </c>
    </row>
    <row r="78" spans="1:7" x14ac:dyDescent="0.25">
      <c r="A78" t="s">
        <v>217</v>
      </c>
      <c r="B78" s="91">
        <v>38990</v>
      </c>
      <c r="C78" s="92">
        <v>275</v>
      </c>
      <c r="D78" s="92">
        <v>78.566846979999994</v>
      </c>
      <c r="E78" s="92">
        <f>C78/D78</f>
        <v>3.5002041009740927</v>
      </c>
      <c r="F78" s="93">
        <v>10032.07</v>
      </c>
      <c r="G78" s="93">
        <f>F78*E78</f>
        <v>35114.292555259162</v>
      </c>
    </row>
    <row r="79" spans="1:7" x14ac:dyDescent="0.25">
      <c r="A79" t="s">
        <v>217</v>
      </c>
      <c r="B79" s="91">
        <v>39051</v>
      </c>
      <c r="C79" s="92">
        <v>275</v>
      </c>
      <c r="D79" s="92">
        <v>80.187476090000004</v>
      </c>
      <c r="E79" s="92">
        <f t="shared" ref="E79:E92" si="4">C79/D79</f>
        <v>3.4294632205576381</v>
      </c>
      <c r="F79" s="93">
        <v>96.49</v>
      </c>
      <c r="G79" s="93">
        <f t="shared" ref="G79:G91" si="5">F79*E79</f>
        <v>330.90890615160646</v>
      </c>
    </row>
    <row r="80" spans="1:7" x14ac:dyDescent="0.25">
      <c r="A80" t="s">
        <v>217</v>
      </c>
      <c r="B80" s="91">
        <v>39082</v>
      </c>
      <c r="C80" s="92">
        <v>275</v>
      </c>
      <c r="D80" s="92">
        <v>81.661321659999999</v>
      </c>
      <c r="E80" s="92">
        <f t="shared" si="4"/>
        <v>3.367567342896713</v>
      </c>
      <c r="F80" s="93">
        <v>32300</v>
      </c>
      <c r="G80" s="93">
        <f t="shared" si="5"/>
        <v>108772.42517556383</v>
      </c>
    </row>
    <row r="81" spans="1:7" x14ac:dyDescent="0.25">
      <c r="A81" t="s">
        <v>218</v>
      </c>
      <c r="B81" s="91">
        <v>38990</v>
      </c>
      <c r="C81" s="92">
        <v>275</v>
      </c>
      <c r="D81" s="92">
        <v>78.566846979999994</v>
      </c>
      <c r="E81" s="92">
        <f t="shared" si="4"/>
        <v>3.5002041009740927</v>
      </c>
      <c r="F81" s="93">
        <v>10866.1</v>
      </c>
      <c r="G81" s="93">
        <f t="shared" si="5"/>
        <v>38033.567781594589</v>
      </c>
    </row>
    <row r="82" spans="1:7" x14ac:dyDescent="0.25">
      <c r="A82" t="s">
        <v>218</v>
      </c>
      <c r="B82" s="91">
        <v>39082</v>
      </c>
      <c r="C82" s="92">
        <v>275</v>
      </c>
      <c r="D82" s="92">
        <v>81.661321659999999</v>
      </c>
      <c r="E82" s="92">
        <f t="shared" si="4"/>
        <v>3.367567342896713</v>
      </c>
      <c r="F82" s="93">
        <v>47888</v>
      </c>
      <c r="G82" s="93">
        <f t="shared" si="5"/>
        <v>161266.06491663778</v>
      </c>
    </row>
    <row r="83" spans="1:7" x14ac:dyDescent="0.25">
      <c r="A83" t="s">
        <v>219</v>
      </c>
      <c r="B83" s="91">
        <v>39203</v>
      </c>
      <c r="C83" s="92">
        <v>275</v>
      </c>
      <c r="D83" s="92">
        <v>86.468087789999998</v>
      </c>
      <c r="E83" s="92">
        <f t="shared" si="4"/>
        <v>3.1803640745228048</v>
      </c>
      <c r="F83" s="93">
        <v>675.68</v>
      </c>
      <c r="G83" s="93">
        <f t="shared" si="5"/>
        <v>2148.9083978735684</v>
      </c>
    </row>
    <row r="84" spans="1:7" x14ac:dyDescent="0.25">
      <c r="A84" t="s">
        <v>220</v>
      </c>
      <c r="B84" s="91">
        <v>39533</v>
      </c>
      <c r="C84" s="92">
        <v>275</v>
      </c>
      <c r="D84" s="92">
        <v>108.2</v>
      </c>
      <c r="E84" s="92">
        <f t="shared" si="4"/>
        <v>2.5415896487985212</v>
      </c>
      <c r="F84" s="93">
        <v>1009.18</v>
      </c>
      <c r="G84" s="93">
        <f t="shared" si="5"/>
        <v>2564.9214417744915</v>
      </c>
    </row>
    <row r="85" spans="1:7" x14ac:dyDescent="0.25">
      <c r="A85" t="s">
        <v>220</v>
      </c>
      <c r="B85" s="91">
        <v>39533</v>
      </c>
      <c r="C85" s="92">
        <v>275</v>
      </c>
      <c r="D85" s="92">
        <v>108.2</v>
      </c>
      <c r="E85" s="92">
        <f t="shared" si="4"/>
        <v>2.5415896487985212</v>
      </c>
      <c r="F85" s="93">
        <v>1009.18</v>
      </c>
      <c r="G85" s="93">
        <f t="shared" si="5"/>
        <v>2564.9214417744915</v>
      </c>
    </row>
    <row r="86" spans="1:7" x14ac:dyDescent="0.25">
      <c r="A86" t="s">
        <v>220</v>
      </c>
      <c r="B86" s="91">
        <v>39533</v>
      </c>
      <c r="C86" s="92">
        <v>275</v>
      </c>
      <c r="D86" s="92">
        <v>108.2</v>
      </c>
      <c r="E86" s="92">
        <f t="shared" si="4"/>
        <v>2.5415896487985212</v>
      </c>
      <c r="F86" s="93">
        <v>1422.02</v>
      </c>
      <c r="G86" s="93">
        <f t="shared" si="5"/>
        <v>3614.1913123844729</v>
      </c>
    </row>
    <row r="87" spans="1:7" x14ac:dyDescent="0.25">
      <c r="A87" t="s">
        <v>221</v>
      </c>
      <c r="B87" s="91">
        <v>39533</v>
      </c>
      <c r="C87" s="92">
        <v>275</v>
      </c>
      <c r="D87" s="92">
        <v>108.2</v>
      </c>
      <c r="E87" s="92">
        <f t="shared" si="4"/>
        <v>2.5415896487985212</v>
      </c>
      <c r="F87" s="93">
        <v>182.56</v>
      </c>
      <c r="G87" s="93">
        <f t="shared" si="5"/>
        <v>463.99260628465805</v>
      </c>
    </row>
    <row r="88" spans="1:7" x14ac:dyDescent="0.25">
      <c r="A88" t="s">
        <v>222</v>
      </c>
      <c r="B88" s="91">
        <v>39660</v>
      </c>
      <c r="C88" s="92">
        <v>275</v>
      </c>
      <c r="D88" s="92">
        <v>118.2</v>
      </c>
      <c r="E88" s="92">
        <f t="shared" si="4"/>
        <v>2.3265651438240269</v>
      </c>
      <c r="F88" s="93">
        <v>596.33000000000004</v>
      </c>
      <c r="G88" s="93">
        <f t="shared" si="5"/>
        <v>1387.400592216582</v>
      </c>
    </row>
    <row r="89" spans="1:7" x14ac:dyDescent="0.25">
      <c r="A89" t="s">
        <v>223</v>
      </c>
      <c r="B89" s="91">
        <v>39771</v>
      </c>
      <c r="C89" s="92">
        <v>275</v>
      </c>
      <c r="D89" s="92">
        <v>128.5</v>
      </c>
      <c r="E89" s="92">
        <f t="shared" si="4"/>
        <v>2.1400778210116731</v>
      </c>
      <c r="F89" s="93">
        <v>4035</v>
      </c>
      <c r="G89" s="93">
        <f t="shared" si="5"/>
        <v>8635.2140077821005</v>
      </c>
    </row>
    <row r="90" spans="1:7" x14ac:dyDescent="0.25">
      <c r="A90" t="s">
        <v>224</v>
      </c>
      <c r="B90" s="91">
        <v>39840</v>
      </c>
      <c r="C90" s="92">
        <v>275</v>
      </c>
      <c r="D90" s="92">
        <v>135.1</v>
      </c>
      <c r="E90" s="92">
        <f t="shared" si="4"/>
        <v>2.0355292376017764</v>
      </c>
      <c r="F90" s="93">
        <v>577.98</v>
      </c>
      <c r="G90" s="93">
        <f t="shared" si="5"/>
        <v>1176.4951887490747</v>
      </c>
    </row>
    <row r="91" spans="1:7" x14ac:dyDescent="0.25">
      <c r="A91" t="s">
        <v>224</v>
      </c>
      <c r="B91" s="91">
        <v>39840</v>
      </c>
      <c r="C91" s="92">
        <v>275</v>
      </c>
      <c r="D91" s="92">
        <v>135.1</v>
      </c>
      <c r="E91" s="92">
        <f t="shared" si="4"/>
        <v>2.0355292376017764</v>
      </c>
      <c r="F91" s="93">
        <v>577.98</v>
      </c>
      <c r="G91" s="93">
        <f t="shared" si="5"/>
        <v>1176.4951887490747</v>
      </c>
    </row>
    <row r="92" spans="1:7" ht="15.75" thickBot="1" x14ac:dyDescent="0.3">
      <c r="A92" t="s">
        <v>225</v>
      </c>
      <c r="B92" s="91">
        <v>39938</v>
      </c>
      <c r="C92" s="92">
        <v>275</v>
      </c>
      <c r="D92" s="92">
        <v>145.19999999999999</v>
      </c>
      <c r="E92" s="92">
        <f t="shared" si="4"/>
        <v>1.893939393939394</v>
      </c>
      <c r="F92" s="94">
        <v>4694.37</v>
      </c>
      <c r="G92" s="94">
        <f>F92*E92</f>
        <v>8890.8522727272721</v>
      </c>
    </row>
    <row r="93" spans="1:7" ht="15.75" thickTop="1" x14ac:dyDescent="0.25">
      <c r="A93" s="133" t="s">
        <v>133</v>
      </c>
      <c r="B93" s="133"/>
      <c r="C93" s="133"/>
      <c r="D93" s="133"/>
      <c r="E93" s="133"/>
      <c r="F93" s="95">
        <f>SUM(F78:F92)</f>
        <v>115962.93999999997</v>
      </c>
      <c r="G93" s="95">
        <f>SUM(G78:G92)</f>
        <v>376140.6517855227</v>
      </c>
    </row>
    <row r="94" spans="1:7" x14ac:dyDescent="0.25">
      <c r="A94" s="110"/>
      <c r="B94" s="110"/>
      <c r="C94" s="110"/>
      <c r="D94" s="110"/>
      <c r="E94" s="110"/>
      <c r="F94" s="95"/>
      <c r="G94" s="95"/>
    </row>
    <row r="95" spans="1:7" x14ac:dyDescent="0.25">
      <c r="A95" s="110"/>
      <c r="B95" s="110"/>
      <c r="C95" s="110"/>
      <c r="D95" s="110"/>
      <c r="E95" s="110"/>
      <c r="F95" s="95"/>
      <c r="G95" s="95"/>
    </row>
    <row r="96" spans="1:7" ht="15.75" x14ac:dyDescent="0.25">
      <c r="A96" s="178" t="s">
        <v>134</v>
      </c>
      <c r="B96" s="178"/>
      <c r="C96" s="178"/>
      <c r="D96" s="178"/>
      <c r="E96" s="178"/>
      <c r="F96" s="178"/>
      <c r="G96" s="178"/>
    </row>
    <row r="97" spans="1:7" x14ac:dyDescent="0.25">
      <c r="A97" s="112"/>
      <c r="B97" s="112"/>
      <c r="C97" s="112"/>
      <c r="D97" s="112"/>
      <c r="E97" s="112"/>
      <c r="F97" s="112"/>
      <c r="G97" s="112"/>
    </row>
    <row r="98" spans="1:7" x14ac:dyDescent="0.25">
      <c r="A98" s="133" t="s">
        <v>118</v>
      </c>
      <c r="B98" s="133" t="s">
        <v>119</v>
      </c>
      <c r="C98" s="133" t="s">
        <v>120</v>
      </c>
      <c r="D98" s="133" t="s">
        <v>121</v>
      </c>
      <c r="E98" s="133" t="s">
        <v>122</v>
      </c>
      <c r="F98" s="133" t="s">
        <v>123</v>
      </c>
      <c r="G98" s="133" t="s">
        <v>124</v>
      </c>
    </row>
    <row r="99" spans="1:7" x14ac:dyDescent="0.25">
      <c r="A99" t="s">
        <v>226</v>
      </c>
      <c r="B99" s="91">
        <v>39051</v>
      </c>
      <c r="C99" s="92">
        <v>275</v>
      </c>
      <c r="D99" s="92">
        <v>80.187476090000004</v>
      </c>
      <c r="E99" s="92">
        <f>C99/D99</f>
        <v>3.4294632205576381</v>
      </c>
      <c r="F99" s="93">
        <v>122807.02</v>
      </c>
      <c r="G99" s="93">
        <f>F99*E99</f>
        <v>421162.15831628628</v>
      </c>
    </row>
    <row r="100" spans="1:7" x14ac:dyDescent="0.25">
      <c r="A100" t="s">
        <v>227</v>
      </c>
      <c r="B100" s="91">
        <v>39142</v>
      </c>
      <c r="C100" s="92">
        <v>275</v>
      </c>
      <c r="D100" s="92">
        <v>83.812530649999999</v>
      </c>
      <c r="E100" s="92">
        <f t="shared" ref="E100:E115" si="6">C100/D100</f>
        <v>3.2811322825747418</v>
      </c>
      <c r="F100" s="93">
        <v>42547.519999999997</v>
      </c>
      <c r="G100" s="93">
        <f t="shared" ref="G100:G116" si="7">F100*E100</f>
        <v>139604.04141549446</v>
      </c>
    </row>
    <row r="101" spans="1:7" x14ac:dyDescent="0.25">
      <c r="A101" t="s">
        <v>228</v>
      </c>
      <c r="B101" s="91">
        <v>39142</v>
      </c>
      <c r="C101" s="92">
        <v>275</v>
      </c>
      <c r="D101" s="92">
        <v>83.812530649999999</v>
      </c>
      <c r="E101" s="92">
        <f t="shared" si="6"/>
        <v>3.2811322825747418</v>
      </c>
      <c r="F101" s="93">
        <v>2000</v>
      </c>
      <c r="G101" s="93">
        <f t="shared" si="7"/>
        <v>6562.2645651494831</v>
      </c>
    </row>
    <row r="102" spans="1:7" x14ac:dyDescent="0.25">
      <c r="A102" t="s">
        <v>229</v>
      </c>
      <c r="B102" s="91">
        <v>39326</v>
      </c>
      <c r="C102" s="92">
        <v>275</v>
      </c>
      <c r="D102" s="92">
        <v>90.557581049999996</v>
      </c>
      <c r="E102" s="92">
        <f t="shared" si="6"/>
        <v>3.036741891859533</v>
      </c>
      <c r="F102" s="93">
        <v>80000</v>
      </c>
      <c r="G102" s="93">
        <f t="shared" si="7"/>
        <v>242939.35134876263</v>
      </c>
    </row>
    <row r="103" spans="1:7" x14ac:dyDescent="0.25">
      <c r="A103" t="s">
        <v>230</v>
      </c>
      <c r="B103" s="91">
        <v>39355</v>
      </c>
      <c r="C103" s="92">
        <v>275</v>
      </c>
      <c r="D103" s="92">
        <v>90.557581049999996</v>
      </c>
      <c r="E103" s="92">
        <f t="shared" si="6"/>
        <v>3.036741891859533</v>
      </c>
      <c r="F103" s="93">
        <v>80000</v>
      </c>
      <c r="G103" s="93">
        <f t="shared" si="7"/>
        <v>242939.35134876263</v>
      </c>
    </row>
    <row r="104" spans="1:7" x14ac:dyDescent="0.25">
      <c r="A104" t="s">
        <v>230</v>
      </c>
      <c r="B104" s="91">
        <v>39355</v>
      </c>
      <c r="C104" s="92">
        <v>275</v>
      </c>
      <c r="D104" s="92">
        <v>90.557581049999996</v>
      </c>
      <c r="E104" s="92">
        <f t="shared" si="6"/>
        <v>3.036741891859533</v>
      </c>
      <c r="F104" s="93">
        <v>47000</v>
      </c>
      <c r="G104" s="93">
        <f t="shared" si="7"/>
        <v>142726.86891739804</v>
      </c>
    </row>
    <row r="105" spans="1:7" x14ac:dyDescent="0.25">
      <c r="A105" t="s">
        <v>230</v>
      </c>
      <c r="B105" s="91">
        <v>39386</v>
      </c>
      <c r="C105" s="92">
        <v>275</v>
      </c>
      <c r="D105" s="92">
        <v>92.775336339999996</v>
      </c>
      <c r="E105" s="92">
        <f t="shared" si="6"/>
        <v>2.964149857589188</v>
      </c>
      <c r="F105" s="93">
        <v>24000</v>
      </c>
      <c r="G105" s="93">
        <f t="shared" si="7"/>
        <v>71139.596582140512</v>
      </c>
    </row>
    <row r="106" spans="1:7" x14ac:dyDescent="0.25">
      <c r="A106" t="s">
        <v>230</v>
      </c>
      <c r="B106" s="91">
        <v>39416</v>
      </c>
      <c r="C106" s="92">
        <v>275</v>
      </c>
      <c r="D106" s="92">
        <v>96.812918629999999</v>
      </c>
      <c r="E106" s="92">
        <f t="shared" si="6"/>
        <v>2.8405300025195617</v>
      </c>
      <c r="F106" s="93">
        <v>24000</v>
      </c>
      <c r="G106" s="93">
        <f t="shared" si="7"/>
        <v>68172.720060469481</v>
      </c>
    </row>
    <row r="107" spans="1:7" x14ac:dyDescent="0.25">
      <c r="A107" t="s">
        <v>231</v>
      </c>
      <c r="B107" s="91">
        <v>39455</v>
      </c>
      <c r="C107" s="92">
        <v>275</v>
      </c>
      <c r="D107" s="92">
        <v>103.4</v>
      </c>
      <c r="E107" s="92">
        <f t="shared" si="6"/>
        <v>2.6595744680851063</v>
      </c>
      <c r="F107" s="93">
        <v>63072</v>
      </c>
      <c r="G107" s="93">
        <f t="shared" si="7"/>
        <v>167744.68085106384</v>
      </c>
    </row>
    <row r="108" spans="1:7" x14ac:dyDescent="0.25">
      <c r="A108" t="s">
        <v>232</v>
      </c>
      <c r="B108" s="91">
        <v>39599</v>
      </c>
      <c r="C108" s="92">
        <v>275</v>
      </c>
      <c r="D108" s="92">
        <v>113.7</v>
      </c>
      <c r="E108" s="92">
        <f t="shared" si="6"/>
        <v>2.4186455584872473</v>
      </c>
      <c r="F108" s="93">
        <v>50458.720000000001</v>
      </c>
      <c r="G108" s="93">
        <f t="shared" si="7"/>
        <v>122041.75901495163</v>
      </c>
    </row>
    <row r="109" spans="1:7" x14ac:dyDescent="0.25">
      <c r="A109" t="s">
        <v>232</v>
      </c>
      <c r="B109" s="91">
        <v>39599</v>
      </c>
      <c r="C109" s="92">
        <v>275</v>
      </c>
      <c r="D109" s="92">
        <v>113.7</v>
      </c>
      <c r="E109" s="92">
        <f t="shared" si="6"/>
        <v>2.4186455584872473</v>
      </c>
      <c r="F109" s="93">
        <v>77981.649999999994</v>
      </c>
      <c r="G109" s="93">
        <f t="shared" si="7"/>
        <v>188609.97141600703</v>
      </c>
    </row>
    <row r="110" spans="1:7" x14ac:dyDescent="0.25">
      <c r="A110" t="s">
        <v>232</v>
      </c>
      <c r="B110" s="91">
        <v>39599</v>
      </c>
      <c r="C110" s="92">
        <v>275</v>
      </c>
      <c r="D110" s="92">
        <v>113.7</v>
      </c>
      <c r="E110" s="92">
        <f t="shared" si="6"/>
        <v>2.4186455584872473</v>
      </c>
      <c r="F110" s="93">
        <v>56500</v>
      </c>
      <c r="G110" s="93">
        <f t="shared" si="7"/>
        <v>136653.47405452948</v>
      </c>
    </row>
    <row r="111" spans="1:7" x14ac:dyDescent="0.25">
      <c r="A111" t="s">
        <v>233</v>
      </c>
      <c r="B111" s="91">
        <v>39599</v>
      </c>
      <c r="C111" s="92">
        <v>275</v>
      </c>
      <c r="D111" s="92">
        <v>113.7</v>
      </c>
      <c r="E111" s="92">
        <f t="shared" si="6"/>
        <v>2.4186455584872473</v>
      </c>
      <c r="F111" s="93">
        <v>65000</v>
      </c>
      <c r="G111" s="93">
        <f t="shared" si="7"/>
        <v>157211.96130167108</v>
      </c>
    </row>
    <row r="112" spans="1:7" x14ac:dyDescent="0.25">
      <c r="A112" t="s">
        <v>234</v>
      </c>
      <c r="B112" s="91">
        <v>40255</v>
      </c>
      <c r="C112" s="92">
        <v>275</v>
      </c>
      <c r="D112" s="92">
        <v>178.2</v>
      </c>
      <c r="E112" s="92">
        <f t="shared" si="6"/>
        <v>1.5432098765432101</v>
      </c>
      <c r="F112" s="93">
        <v>192501.16</v>
      </c>
      <c r="G112" s="93">
        <f t="shared" si="7"/>
        <v>297069.69135802472</v>
      </c>
    </row>
    <row r="113" spans="1:7" x14ac:dyDescent="0.25">
      <c r="A113" t="s">
        <v>235</v>
      </c>
      <c r="B113" s="91">
        <v>40429</v>
      </c>
      <c r="C113" s="92">
        <v>275</v>
      </c>
      <c r="D113" s="92">
        <v>204</v>
      </c>
      <c r="E113" s="92">
        <f t="shared" si="6"/>
        <v>1.3480392156862746</v>
      </c>
      <c r="F113" s="93">
        <v>150000</v>
      </c>
      <c r="G113" s="93">
        <f t="shared" si="7"/>
        <v>202205.8823529412</v>
      </c>
    </row>
    <row r="114" spans="1:7" x14ac:dyDescent="0.25">
      <c r="A114" t="s">
        <v>236</v>
      </c>
      <c r="B114" s="91">
        <v>40479</v>
      </c>
      <c r="C114" s="92">
        <v>275</v>
      </c>
      <c r="D114" s="92">
        <v>207</v>
      </c>
      <c r="E114" s="92">
        <f t="shared" si="6"/>
        <v>1.3285024154589371</v>
      </c>
      <c r="F114" s="93">
        <v>180000</v>
      </c>
      <c r="G114" s="93">
        <f t="shared" si="7"/>
        <v>239130.43478260867</v>
      </c>
    </row>
    <row r="115" spans="1:7" x14ac:dyDescent="0.25">
      <c r="A115" t="s">
        <v>237</v>
      </c>
      <c r="B115" s="91">
        <v>40500</v>
      </c>
      <c r="C115" s="92">
        <v>275</v>
      </c>
      <c r="D115" s="92">
        <v>209.7</v>
      </c>
      <c r="E115" s="92">
        <f t="shared" si="6"/>
        <v>1.3113972341440154</v>
      </c>
      <c r="F115" s="93">
        <v>250000</v>
      </c>
      <c r="G115" s="93">
        <f t="shared" si="7"/>
        <v>327849.30853600387</v>
      </c>
    </row>
    <row r="116" spans="1:7" x14ac:dyDescent="0.25">
      <c r="A116" t="s">
        <v>237</v>
      </c>
      <c r="B116" s="91">
        <v>40500</v>
      </c>
      <c r="C116" s="92">
        <v>275</v>
      </c>
      <c r="D116" s="92">
        <v>209.7</v>
      </c>
      <c r="E116" s="92">
        <f>C116/D116</f>
        <v>1.3113972341440154</v>
      </c>
      <c r="F116" s="93">
        <v>250000</v>
      </c>
      <c r="G116" s="93">
        <f t="shared" si="7"/>
        <v>327849.30853600387</v>
      </c>
    </row>
    <row r="117" spans="1:7" ht="15.75" thickBot="1" x14ac:dyDescent="0.3">
      <c r="A117" t="s">
        <v>238</v>
      </c>
      <c r="B117" s="91">
        <v>40626</v>
      </c>
      <c r="C117" s="92">
        <v>275</v>
      </c>
      <c r="D117" s="92">
        <v>229.3</v>
      </c>
      <c r="E117" s="92">
        <f>C117/D117</f>
        <v>1.1993022241604885</v>
      </c>
      <c r="F117" s="94">
        <v>90000</v>
      </c>
      <c r="G117" s="94">
        <f>F117*E117</f>
        <v>107937.20017444396</v>
      </c>
    </row>
    <row r="118" spans="1:7" ht="15.75" thickTop="1" x14ac:dyDescent="0.25">
      <c r="A118" s="133" t="s">
        <v>133</v>
      </c>
      <c r="B118" s="133"/>
      <c r="C118" s="133"/>
      <c r="D118" s="133"/>
      <c r="E118" s="133"/>
      <c r="F118" s="95">
        <f>SUM(F99:F117)</f>
        <v>1847868.07</v>
      </c>
      <c r="G118" s="95">
        <f>SUM(G99:G117)</f>
        <v>3609550.0249327128</v>
      </c>
    </row>
    <row r="119" spans="1:7" x14ac:dyDescent="0.25">
      <c r="A119" s="110"/>
      <c r="B119" s="110"/>
      <c r="C119" s="110"/>
      <c r="D119" s="110"/>
      <c r="E119" s="110"/>
      <c r="F119" s="95"/>
      <c r="G119" s="95"/>
    </row>
    <row r="120" spans="1:7" x14ac:dyDescent="0.25">
      <c r="A120" s="110"/>
      <c r="B120" s="110"/>
      <c r="C120" s="110"/>
      <c r="D120" s="110"/>
      <c r="E120" s="110"/>
      <c r="F120" s="95"/>
      <c r="G120" s="95"/>
    </row>
    <row r="121" spans="1:7" ht="15.75" x14ac:dyDescent="0.25">
      <c r="A121" s="178" t="s">
        <v>165</v>
      </c>
      <c r="B121" s="178"/>
      <c r="C121" s="178"/>
      <c r="D121" s="178"/>
      <c r="E121" s="178"/>
      <c r="F121" s="178"/>
      <c r="G121" s="178"/>
    </row>
    <row r="122" spans="1:7" x14ac:dyDescent="0.25">
      <c r="A122" s="112"/>
      <c r="B122" s="112"/>
      <c r="C122" s="112"/>
      <c r="D122" s="112"/>
      <c r="E122" s="112"/>
      <c r="F122" s="112"/>
      <c r="G122" s="112"/>
    </row>
    <row r="123" spans="1:7" x14ac:dyDescent="0.25">
      <c r="A123" s="133" t="s">
        <v>118</v>
      </c>
      <c r="B123" s="133" t="s">
        <v>119</v>
      </c>
      <c r="C123" s="133" t="s">
        <v>120</v>
      </c>
      <c r="D123" s="133" t="s">
        <v>121</v>
      </c>
      <c r="E123" s="133" t="s">
        <v>122</v>
      </c>
      <c r="F123" s="133" t="s">
        <v>123</v>
      </c>
      <c r="G123" s="133" t="s">
        <v>124</v>
      </c>
    </row>
    <row r="124" spans="1:7" x14ac:dyDescent="0.25">
      <c r="A124" t="s">
        <v>167</v>
      </c>
      <c r="B124" s="91">
        <v>39203</v>
      </c>
      <c r="C124" s="92">
        <v>275</v>
      </c>
      <c r="D124" s="92">
        <v>90.557581049999996</v>
      </c>
      <c r="E124" s="92">
        <f>C124/D124</f>
        <v>3.036741891859533</v>
      </c>
      <c r="F124" s="93">
        <v>7000</v>
      </c>
      <c r="G124" s="93">
        <f>F124*E124</f>
        <v>21257.193243016733</v>
      </c>
    </row>
    <row r="125" spans="1:7" x14ac:dyDescent="0.25">
      <c r="A125" t="s">
        <v>168</v>
      </c>
      <c r="B125" s="91">
        <v>39203</v>
      </c>
      <c r="C125" s="92">
        <v>275</v>
      </c>
      <c r="D125" s="92">
        <v>90.557581049999996</v>
      </c>
      <c r="E125" s="92">
        <f t="shared" ref="E125:E177" si="8">C125/D125</f>
        <v>3.036741891859533</v>
      </c>
      <c r="F125" s="93">
        <v>1000</v>
      </c>
      <c r="G125" s="93">
        <f t="shared" ref="G125:G177" si="9">F125*E125</f>
        <v>3036.7418918595331</v>
      </c>
    </row>
    <row r="126" spans="1:7" x14ac:dyDescent="0.25">
      <c r="A126" t="s">
        <v>169</v>
      </c>
      <c r="B126" s="91">
        <v>39203</v>
      </c>
      <c r="C126" s="92">
        <v>275</v>
      </c>
      <c r="D126" s="92">
        <v>90.557581049999996</v>
      </c>
      <c r="E126" s="92">
        <f t="shared" si="8"/>
        <v>3.036741891859533</v>
      </c>
      <c r="F126" s="93">
        <v>660</v>
      </c>
      <c r="G126" s="93">
        <f t="shared" si="9"/>
        <v>2004.2496486272919</v>
      </c>
    </row>
    <row r="127" spans="1:7" x14ac:dyDescent="0.25">
      <c r="A127" t="s">
        <v>170</v>
      </c>
      <c r="B127" s="91">
        <v>39203</v>
      </c>
      <c r="C127" s="92">
        <v>275</v>
      </c>
      <c r="D127" s="92">
        <v>90.557581049999996</v>
      </c>
      <c r="E127" s="92">
        <f t="shared" si="8"/>
        <v>3.036741891859533</v>
      </c>
      <c r="F127" s="93">
        <v>11094</v>
      </c>
      <c r="G127" s="93">
        <f t="shared" si="9"/>
        <v>33689.614548289661</v>
      </c>
    </row>
    <row r="128" spans="1:7" x14ac:dyDescent="0.25">
      <c r="A128" t="s">
        <v>171</v>
      </c>
      <c r="B128" s="91">
        <v>39082</v>
      </c>
      <c r="C128" s="92">
        <v>275</v>
      </c>
      <c r="D128" s="92">
        <v>81.661321659999999</v>
      </c>
      <c r="E128" s="92">
        <f t="shared" si="8"/>
        <v>3.367567342896713</v>
      </c>
      <c r="F128" s="93">
        <v>25000</v>
      </c>
      <c r="G128" s="93">
        <f t="shared" si="9"/>
        <v>84189.183572417824</v>
      </c>
    </row>
    <row r="129" spans="1:7" x14ac:dyDescent="0.25">
      <c r="A129" t="s">
        <v>172</v>
      </c>
      <c r="B129" s="91">
        <v>39082</v>
      </c>
      <c r="C129" s="92">
        <v>275</v>
      </c>
      <c r="D129" s="92">
        <v>81.661321659999999</v>
      </c>
      <c r="E129" s="92">
        <f t="shared" si="8"/>
        <v>3.367567342896713</v>
      </c>
      <c r="F129" s="93">
        <v>60000</v>
      </c>
      <c r="G129" s="93">
        <f t="shared" si="9"/>
        <v>202054.04057380278</v>
      </c>
    </row>
    <row r="130" spans="1:7" x14ac:dyDescent="0.25">
      <c r="A130" t="s">
        <v>173</v>
      </c>
      <c r="B130" s="91">
        <v>39082</v>
      </c>
      <c r="C130" s="92">
        <v>275</v>
      </c>
      <c r="D130" s="92">
        <v>81.661321659999999</v>
      </c>
      <c r="E130" s="92">
        <f t="shared" si="8"/>
        <v>3.367567342896713</v>
      </c>
      <c r="F130" s="93">
        <v>8000</v>
      </c>
      <c r="G130" s="93">
        <f t="shared" si="9"/>
        <v>26940.538743173704</v>
      </c>
    </row>
    <row r="131" spans="1:7" x14ac:dyDescent="0.25">
      <c r="A131" t="s">
        <v>173</v>
      </c>
      <c r="B131" s="91">
        <v>39082</v>
      </c>
      <c r="C131" s="92">
        <v>275</v>
      </c>
      <c r="D131" s="92">
        <v>81.661321659999999</v>
      </c>
      <c r="E131" s="92">
        <f t="shared" si="8"/>
        <v>3.367567342896713</v>
      </c>
      <c r="F131" s="93">
        <v>8000</v>
      </c>
      <c r="G131" s="93">
        <f t="shared" si="9"/>
        <v>26940.538743173704</v>
      </c>
    </row>
    <row r="132" spans="1:7" x14ac:dyDescent="0.25">
      <c r="A132" t="s">
        <v>174</v>
      </c>
      <c r="B132" s="91">
        <v>39082</v>
      </c>
      <c r="C132" s="92">
        <v>275</v>
      </c>
      <c r="D132" s="92">
        <v>81.661321659999999</v>
      </c>
      <c r="E132" s="92">
        <f t="shared" si="8"/>
        <v>3.367567342896713</v>
      </c>
      <c r="F132" s="93">
        <v>6000</v>
      </c>
      <c r="G132" s="93">
        <f t="shared" si="9"/>
        <v>20205.404057380278</v>
      </c>
    </row>
    <row r="133" spans="1:7" x14ac:dyDescent="0.25">
      <c r="A133" t="s">
        <v>175</v>
      </c>
      <c r="B133" s="91">
        <v>39082</v>
      </c>
      <c r="C133" s="92">
        <v>275</v>
      </c>
      <c r="D133" s="92">
        <v>81.661321659999999</v>
      </c>
      <c r="E133" s="92">
        <f t="shared" si="8"/>
        <v>3.367567342896713</v>
      </c>
      <c r="F133" s="93">
        <v>20000</v>
      </c>
      <c r="G133" s="93">
        <f t="shared" si="9"/>
        <v>67351.346857934259</v>
      </c>
    </row>
    <row r="134" spans="1:7" x14ac:dyDescent="0.25">
      <c r="A134" t="s">
        <v>176</v>
      </c>
      <c r="B134" s="91">
        <v>39082</v>
      </c>
      <c r="C134" s="92">
        <v>275</v>
      </c>
      <c r="D134" s="92">
        <v>81.661321659999999</v>
      </c>
      <c r="E134" s="92">
        <f t="shared" si="8"/>
        <v>3.367567342896713</v>
      </c>
      <c r="F134" s="93">
        <v>15000</v>
      </c>
      <c r="G134" s="93">
        <f t="shared" si="9"/>
        <v>50513.510143450694</v>
      </c>
    </row>
    <row r="135" spans="1:7" x14ac:dyDescent="0.25">
      <c r="A135" t="s">
        <v>177</v>
      </c>
      <c r="B135" s="91">
        <v>39082</v>
      </c>
      <c r="C135" s="92">
        <v>275</v>
      </c>
      <c r="D135" s="92">
        <v>81.661321659999999</v>
      </c>
      <c r="E135" s="92">
        <f t="shared" si="8"/>
        <v>3.367567342896713</v>
      </c>
      <c r="F135" s="93">
        <v>15000</v>
      </c>
      <c r="G135" s="93">
        <f t="shared" si="9"/>
        <v>50513.510143450694</v>
      </c>
    </row>
    <row r="136" spans="1:7" x14ac:dyDescent="0.25">
      <c r="A136" t="s">
        <v>178</v>
      </c>
      <c r="B136" s="91">
        <v>39082</v>
      </c>
      <c r="C136" s="92">
        <v>275</v>
      </c>
      <c r="D136" s="92">
        <v>81.661321659999999</v>
      </c>
      <c r="E136" s="92">
        <f t="shared" si="8"/>
        <v>3.367567342896713</v>
      </c>
      <c r="F136" s="93">
        <v>50000</v>
      </c>
      <c r="G136" s="93">
        <f t="shared" si="9"/>
        <v>168378.36714483565</v>
      </c>
    </row>
    <row r="137" spans="1:7" x14ac:dyDescent="0.25">
      <c r="A137" t="s">
        <v>179</v>
      </c>
      <c r="B137" s="91">
        <v>38990</v>
      </c>
      <c r="C137" s="92">
        <v>275</v>
      </c>
      <c r="D137" s="92">
        <v>78.566846979999994</v>
      </c>
      <c r="E137" s="92">
        <f t="shared" si="8"/>
        <v>3.5002041009740927</v>
      </c>
      <c r="F137" s="93">
        <v>120000</v>
      </c>
      <c r="G137" s="93">
        <f t="shared" si="9"/>
        <v>420024.49211689114</v>
      </c>
    </row>
    <row r="138" spans="1:7" x14ac:dyDescent="0.25">
      <c r="A138" t="s">
        <v>180</v>
      </c>
      <c r="B138" s="91">
        <v>38990</v>
      </c>
      <c r="C138" s="92">
        <v>275</v>
      </c>
      <c r="D138" s="92">
        <v>78.566846979999994</v>
      </c>
      <c r="E138" s="92">
        <f t="shared" si="8"/>
        <v>3.5002041009740927</v>
      </c>
      <c r="F138" s="93">
        <v>30000</v>
      </c>
      <c r="G138" s="93">
        <f t="shared" si="9"/>
        <v>105006.12302922278</v>
      </c>
    </row>
    <row r="139" spans="1:7" x14ac:dyDescent="0.25">
      <c r="A139" t="s">
        <v>181</v>
      </c>
      <c r="B139" s="91">
        <v>38990</v>
      </c>
      <c r="C139" s="92">
        <v>275</v>
      </c>
      <c r="D139" s="92">
        <v>78.566846979999994</v>
      </c>
      <c r="E139" s="92">
        <f t="shared" si="8"/>
        <v>3.5002041009740927</v>
      </c>
      <c r="F139" s="93">
        <v>40000</v>
      </c>
      <c r="G139" s="93">
        <f t="shared" si="9"/>
        <v>140008.1640389637</v>
      </c>
    </row>
    <row r="140" spans="1:7" x14ac:dyDescent="0.25">
      <c r="A140" t="s">
        <v>182</v>
      </c>
      <c r="B140" s="91">
        <v>39142</v>
      </c>
      <c r="C140" s="92">
        <v>275</v>
      </c>
      <c r="D140" s="92">
        <v>83.812530649999999</v>
      </c>
      <c r="E140" s="92">
        <f t="shared" si="8"/>
        <v>3.2811322825747418</v>
      </c>
      <c r="F140" s="93">
        <v>14706</v>
      </c>
      <c r="G140" s="93">
        <f t="shared" si="9"/>
        <v>48252.331347544154</v>
      </c>
    </row>
    <row r="141" spans="1:7" x14ac:dyDescent="0.25">
      <c r="A141" t="s">
        <v>183</v>
      </c>
      <c r="B141" s="91">
        <v>38990</v>
      </c>
      <c r="C141" s="92">
        <v>275</v>
      </c>
      <c r="D141" s="92">
        <v>78.566846979999994</v>
      </c>
      <c r="E141" s="92">
        <f t="shared" si="8"/>
        <v>3.5002041009740927</v>
      </c>
      <c r="F141" s="93">
        <v>5481.47</v>
      </c>
      <c r="G141" s="93">
        <f t="shared" si="9"/>
        <v>19186.26377336646</v>
      </c>
    </row>
    <row r="142" spans="1:7" x14ac:dyDescent="0.25">
      <c r="A142" t="s">
        <v>183</v>
      </c>
      <c r="B142" s="91">
        <v>39082</v>
      </c>
      <c r="C142" s="92">
        <v>275</v>
      </c>
      <c r="D142" s="92">
        <v>81.661321659999999</v>
      </c>
      <c r="E142" s="92">
        <f t="shared" si="8"/>
        <v>3.367567342896713</v>
      </c>
      <c r="F142" s="93">
        <v>130100</v>
      </c>
      <c r="G142" s="93">
        <f t="shared" si="9"/>
        <v>438120.51131086238</v>
      </c>
    </row>
    <row r="143" spans="1:7" x14ac:dyDescent="0.25">
      <c r="A143" t="s">
        <v>184</v>
      </c>
      <c r="B143" s="91">
        <v>38990</v>
      </c>
      <c r="C143" s="92">
        <v>275</v>
      </c>
      <c r="D143" s="92">
        <v>78.566846979999994</v>
      </c>
      <c r="E143" s="92">
        <f t="shared" si="8"/>
        <v>3.5002041009740927</v>
      </c>
      <c r="F143" s="93">
        <v>8620.41</v>
      </c>
      <c r="G143" s="93">
        <f t="shared" si="9"/>
        <v>30173.194434078079</v>
      </c>
    </row>
    <row r="144" spans="1:7" x14ac:dyDescent="0.25">
      <c r="A144" t="s">
        <v>184</v>
      </c>
      <c r="B144" s="91">
        <v>39020</v>
      </c>
      <c r="C144" s="92">
        <v>275</v>
      </c>
      <c r="D144" s="92">
        <v>79.151384570000005</v>
      </c>
      <c r="E144" s="92">
        <f t="shared" si="8"/>
        <v>3.4743548896077128</v>
      </c>
      <c r="F144" s="93">
        <v>500</v>
      </c>
      <c r="G144" s="93">
        <f t="shared" si="9"/>
        <v>1737.1774448038564</v>
      </c>
    </row>
    <row r="145" spans="1:7" x14ac:dyDescent="0.25">
      <c r="A145" t="s">
        <v>184</v>
      </c>
      <c r="B145" s="91">
        <v>39082</v>
      </c>
      <c r="C145" s="92">
        <v>275</v>
      </c>
      <c r="D145" s="92">
        <v>81.661321659999999</v>
      </c>
      <c r="E145" s="92">
        <f t="shared" si="8"/>
        <v>3.367567342896713</v>
      </c>
      <c r="F145" s="93">
        <v>80000</v>
      </c>
      <c r="G145" s="93">
        <f t="shared" si="9"/>
        <v>269405.38743173704</v>
      </c>
    </row>
    <row r="146" spans="1:7" x14ac:dyDescent="0.25">
      <c r="A146" t="s">
        <v>185</v>
      </c>
      <c r="B146" s="91">
        <v>39082</v>
      </c>
      <c r="C146" s="92">
        <v>275</v>
      </c>
      <c r="D146" s="92">
        <v>81.661321659999999</v>
      </c>
      <c r="E146" s="92">
        <f t="shared" si="8"/>
        <v>3.367567342896713</v>
      </c>
      <c r="F146" s="93">
        <v>29935.24</v>
      </c>
      <c r="G146" s="93">
        <f t="shared" si="9"/>
        <v>100808.9366257754</v>
      </c>
    </row>
    <row r="147" spans="1:7" x14ac:dyDescent="0.25">
      <c r="A147" t="s">
        <v>186</v>
      </c>
      <c r="B147" s="91">
        <v>39611</v>
      </c>
      <c r="C147" s="92">
        <v>275</v>
      </c>
      <c r="D147" s="92">
        <v>116.3</v>
      </c>
      <c r="E147" s="92">
        <f t="shared" si="8"/>
        <v>2.36457437661221</v>
      </c>
      <c r="F147" s="93">
        <v>20800</v>
      </c>
      <c r="G147" s="93">
        <f t="shared" si="9"/>
        <v>49183.147033533969</v>
      </c>
    </row>
    <row r="148" spans="1:7" x14ac:dyDescent="0.25">
      <c r="A148" t="s">
        <v>187</v>
      </c>
      <c r="B148" s="91">
        <v>39651</v>
      </c>
      <c r="C148" s="92">
        <v>275</v>
      </c>
      <c r="D148" s="92">
        <v>118.2</v>
      </c>
      <c r="E148" s="92">
        <f t="shared" si="8"/>
        <v>2.3265651438240269</v>
      </c>
      <c r="F148" s="93">
        <v>21192.66</v>
      </c>
      <c r="G148" s="93">
        <f t="shared" si="9"/>
        <v>49306.104060913698</v>
      </c>
    </row>
    <row r="149" spans="1:7" x14ac:dyDescent="0.25">
      <c r="A149" t="s">
        <v>188</v>
      </c>
      <c r="B149" s="91">
        <v>39722</v>
      </c>
      <c r="C149" s="92">
        <v>275</v>
      </c>
      <c r="D149" s="92">
        <v>125.8</v>
      </c>
      <c r="E149" s="92">
        <f t="shared" si="8"/>
        <v>2.1860095389507155</v>
      </c>
      <c r="F149" s="93">
        <v>22935.78</v>
      </c>
      <c r="G149" s="93">
        <f t="shared" si="9"/>
        <v>50137.833863275038</v>
      </c>
    </row>
    <row r="150" spans="1:7" x14ac:dyDescent="0.25">
      <c r="A150" t="s">
        <v>189</v>
      </c>
      <c r="B150" s="91">
        <v>39798</v>
      </c>
      <c r="C150" s="92">
        <v>275</v>
      </c>
      <c r="D150" s="92">
        <v>131.9</v>
      </c>
      <c r="E150" s="92">
        <f t="shared" si="8"/>
        <v>2.0849128127369219</v>
      </c>
      <c r="F150" s="93">
        <v>13623.85</v>
      </c>
      <c r="G150" s="93">
        <f t="shared" si="9"/>
        <v>28404.539423805913</v>
      </c>
    </row>
    <row r="151" spans="1:7" x14ac:dyDescent="0.25">
      <c r="A151" t="s">
        <v>189</v>
      </c>
      <c r="B151" s="91">
        <v>39813</v>
      </c>
      <c r="C151" s="92">
        <v>275</v>
      </c>
      <c r="D151" s="92">
        <v>131.9</v>
      </c>
      <c r="E151" s="92">
        <f t="shared" si="8"/>
        <v>2.0849128127369219</v>
      </c>
      <c r="F151" s="93">
        <v>13623.85</v>
      </c>
      <c r="G151" s="93">
        <f t="shared" si="9"/>
        <v>28404.539423805913</v>
      </c>
    </row>
    <row r="152" spans="1:7" x14ac:dyDescent="0.25">
      <c r="A152" t="s">
        <v>190</v>
      </c>
      <c r="B152" s="91">
        <v>39813</v>
      </c>
      <c r="C152" s="92">
        <v>275</v>
      </c>
      <c r="D152" s="92">
        <v>131.9</v>
      </c>
      <c r="E152" s="92">
        <f t="shared" si="8"/>
        <v>2.0849128127369219</v>
      </c>
      <c r="F152" s="93">
        <v>10370.629999999999</v>
      </c>
      <c r="G152" s="93">
        <f t="shared" si="9"/>
        <v>21621.859363153901</v>
      </c>
    </row>
    <row r="153" spans="1:7" x14ac:dyDescent="0.25">
      <c r="A153" t="s">
        <v>190</v>
      </c>
      <c r="B153" s="91">
        <v>39813</v>
      </c>
      <c r="C153" s="92">
        <v>275</v>
      </c>
      <c r="D153" s="92">
        <v>131.9</v>
      </c>
      <c r="E153" s="92">
        <f t="shared" si="8"/>
        <v>2.0849128127369219</v>
      </c>
      <c r="F153" s="93">
        <v>20624.349999999999</v>
      </c>
      <c r="G153" s="93">
        <f t="shared" si="9"/>
        <v>42999.971569370733</v>
      </c>
    </row>
    <row r="154" spans="1:7" x14ac:dyDescent="0.25">
      <c r="A154" t="s">
        <v>191</v>
      </c>
      <c r="B154" s="91">
        <v>39813</v>
      </c>
      <c r="C154" s="92">
        <v>275</v>
      </c>
      <c r="D154" s="92">
        <v>131.9</v>
      </c>
      <c r="E154" s="92">
        <f t="shared" si="8"/>
        <v>2.0849128127369219</v>
      </c>
      <c r="F154" s="93">
        <v>10750</v>
      </c>
      <c r="G154" s="93">
        <f t="shared" si="9"/>
        <v>22412.812736921911</v>
      </c>
    </row>
    <row r="155" spans="1:7" x14ac:dyDescent="0.25">
      <c r="A155" t="s">
        <v>191</v>
      </c>
      <c r="B155" s="91">
        <v>39813</v>
      </c>
      <c r="C155" s="92">
        <v>275</v>
      </c>
      <c r="D155" s="92">
        <v>131.9</v>
      </c>
      <c r="E155" s="92">
        <f t="shared" si="8"/>
        <v>2.0849128127369219</v>
      </c>
      <c r="F155" s="93">
        <v>12900</v>
      </c>
      <c r="G155" s="93">
        <f t="shared" si="9"/>
        <v>26895.37528430629</v>
      </c>
    </row>
    <row r="156" spans="1:7" x14ac:dyDescent="0.25">
      <c r="A156" t="s">
        <v>191</v>
      </c>
      <c r="B156" s="91">
        <v>39813</v>
      </c>
      <c r="C156" s="92">
        <v>275</v>
      </c>
      <c r="D156" s="92">
        <v>131.9</v>
      </c>
      <c r="E156" s="92">
        <f t="shared" si="8"/>
        <v>2.0849128127369219</v>
      </c>
      <c r="F156" s="93">
        <v>27876.9</v>
      </c>
      <c r="G156" s="93">
        <f t="shared" si="9"/>
        <v>58120.905989385901</v>
      </c>
    </row>
    <row r="157" spans="1:7" x14ac:dyDescent="0.25">
      <c r="A157" t="s">
        <v>191</v>
      </c>
      <c r="B157" s="91">
        <v>39813</v>
      </c>
      <c r="C157" s="92">
        <v>275</v>
      </c>
      <c r="D157" s="92">
        <v>131.9</v>
      </c>
      <c r="E157" s="92">
        <f t="shared" si="8"/>
        <v>2.0849128127369219</v>
      </c>
      <c r="F157" s="93">
        <v>27876.9</v>
      </c>
      <c r="G157" s="93">
        <f t="shared" si="9"/>
        <v>58120.905989385901</v>
      </c>
    </row>
    <row r="158" spans="1:7" x14ac:dyDescent="0.25">
      <c r="A158" t="s">
        <v>191</v>
      </c>
      <c r="B158" s="91">
        <v>39813</v>
      </c>
      <c r="C158" s="92">
        <v>275</v>
      </c>
      <c r="D158" s="92">
        <v>131.9</v>
      </c>
      <c r="E158" s="92">
        <f t="shared" si="8"/>
        <v>2.0849128127369219</v>
      </c>
      <c r="F158" s="93">
        <v>8073.74</v>
      </c>
      <c r="G158" s="93">
        <f t="shared" si="9"/>
        <v>16833.043972706597</v>
      </c>
    </row>
    <row r="159" spans="1:7" x14ac:dyDescent="0.25">
      <c r="A159" t="s">
        <v>191</v>
      </c>
      <c r="B159" s="91">
        <v>39813</v>
      </c>
      <c r="C159" s="92">
        <v>275</v>
      </c>
      <c r="D159" s="92">
        <v>131.9</v>
      </c>
      <c r="E159" s="92">
        <f t="shared" si="8"/>
        <v>2.0849128127369219</v>
      </c>
      <c r="F159" s="93">
        <v>15827.44</v>
      </c>
      <c r="G159" s="93">
        <f t="shared" si="9"/>
        <v>32998.832448824869</v>
      </c>
    </row>
    <row r="160" spans="1:7" x14ac:dyDescent="0.25">
      <c r="A160" t="s">
        <v>192</v>
      </c>
      <c r="B160" s="91">
        <v>39813</v>
      </c>
      <c r="C160" s="92">
        <v>275</v>
      </c>
      <c r="D160" s="92">
        <v>131.9</v>
      </c>
      <c r="E160" s="92">
        <f t="shared" si="8"/>
        <v>2.0849128127369219</v>
      </c>
      <c r="F160" s="93">
        <v>895.48</v>
      </c>
      <c r="G160" s="93">
        <f t="shared" si="9"/>
        <v>1866.9977255496588</v>
      </c>
    </row>
    <row r="161" spans="1:7" x14ac:dyDescent="0.25">
      <c r="A161" t="s">
        <v>193</v>
      </c>
      <c r="B161" s="91">
        <v>39840</v>
      </c>
      <c r="C161" s="92">
        <v>275</v>
      </c>
      <c r="D161" s="92">
        <v>135.1</v>
      </c>
      <c r="E161" s="92">
        <f t="shared" si="8"/>
        <v>2.0355292376017764</v>
      </c>
      <c r="F161" s="93">
        <v>2477.06</v>
      </c>
      <c r="G161" s="93">
        <f t="shared" si="9"/>
        <v>5042.1280532938563</v>
      </c>
    </row>
    <row r="162" spans="1:7" x14ac:dyDescent="0.25">
      <c r="A162" t="s">
        <v>194</v>
      </c>
      <c r="B162" s="91">
        <v>39882</v>
      </c>
      <c r="C162" s="92">
        <v>275</v>
      </c>
      <c r="D162" s="92">
        <v>139</v>
      </c>
      <c r="E162" s="92">
        <f t="shared" si="8"/>
        <v>1.9784172661870503</v>
      </c>
      <c r="F162" s="93">
        <v>50000</v>
      </c>
      <c r="G162" s="93">
        <f t="shared" si="9"/>
        <v>98920.863309352513</v>
      </c>
    </row>
    <row r="163" spans="1:7" x14ac:dyDescent="0.25">
      <c r="A163" t="s">
        <v>195</v>
      </c>
      <c r="B163" s="91">
        <v>39882</v>
      </c>
      <c r="C163" s="92">
        <v>275</v>
      </c>
      <c r="D163" s="92">
        <v>139</v>
      </c>
      <c r="E163" s="92">
        <f t="shared" si="8"/>
        <v>1.9784172661870503</v>
      </c>
      <c r="F163" s="93">
        <v>50000</v>
      </c>
      <c r="G163" s="93">
        <f t="shared" si="9"/>
        <v>98920.863309352513</v>
      </c>
    </row>
    <row r="164" spans="1:7" x14ac:dyDescent="0.25">
      <c r="A164" t="s">
        <v>196</v>
      </c>
      <c r="B164" s="91">
        <v>40209</v>
      </c>
      <c r="C164" s="92">
        <v>275</v>
      </c>
      <c r="D164" s="92">
        <v>171.4</v>
      </c>
      <c r="E164" s="92">
        <f t="shared" si="8"/>
        <v>1.6044340723453909</v>
      </c>
      <c r="F164" s="93">
        <v>9615.3700000000008</v>
      </c>
      <c r="G164" s="93">
        <f t="shared" si="9"/>
        <v>15427.227246207704</v>
      </c>
    </row>
    <row r="165" spans="1:7" x14ac:dyDescent="0.25">
      <c r="A165" t="s">
        <v>197</v>
      </c>
      <c r="B165" s="91">
        <v>40209</v>
      </c>
      <c r="C165" s="92">
        <v>275</v>
      </c>
      <c r="D165" s="92">
        <v>171.4</v>
      </c>
      <c r="E165" s="92">
        <f t="shared" si="8"/>
        <v>1.6044340723453909</v>
      </c>
      <c r="F165" s="93">
        <v>228</v>
      </c>
      <c r="G165" s="93">
        <f t="shared" si="9"/>
        <v>365.81096849474915</v>
      </c>
    </row>
    <row r="166" spans="1:7" x14ac:dyDescent="0.25">
      <c r="A166" t="s">
        <v>198</v>
      </c>
      <c r="B166" s="91">
        <v>40487</v>
      </c>
      <c r="C166" s="92">
        <v>275</v>
      </c>
      <c r="D166" s="92">
        <v>209.7</v>
      </c>
      <c r="E166" s="92">
        <f t="shared" si="8"/>
        <v>1.3113972341440154</v>
      </c>
      <c r="F166" s="93">
        <v>105</v>
      </c>
      <c r="G166" s="93">
        <f t="shared" si="9"/>
        <v>137.69670958512162</v>
      </c>
    </row>
    <row r="167" spans="1:7" x14ac:dyDescent="0.25">
      <c r="A167" t="s">
        <v>199</v>
      </c>
      <c r="B167" s="91">
        <v>40497</v>
      </c>
      <c r="C167" s="92">
        <v>275</v>
      </c>
      <c r="D167" s="92">
        <v>209.7</v>
      </c>
      <c r="E167" s="92">
        <f t="shared" si="8"/>
        <v>1.3113972341440154</v>
      </c>
      <c r="F167" s="93">
        <v>15.18</v>
      </c>
      <c r="G167" s="93">
        <f t="shared" si="9"/>
        <v>19.907010014306152</v>
      </c>
    </row>
    <row r="168" spans="1:7" x14ac:dyDescent="0.25">
      <c r="A168" t="s">
        <v>200</v>
      </c>
      <c r="B168" s="91">
        <v>40499</v>
      </c>
      <c r="C168" s="92">
        <v>275</v>
      </c>
      <c r="D168" s="92">
        <v>209.7</v>
      </c>
      <c r="E168" s="92">
        <f t="shared" si="8"/>
        <v>1.3113972341440154</v>
      </c>
      <c r="F168" s="93">
        <v>276.77999999999997</v>
      </c>
      <c r="G168" s="93">
        <f t="shared" si="9"/>
        <v>362.96852646638058</v>
      </c>
    </row>
    <row r="169" spans="1:7" x14ac:dyDescent="0.25">
      <c r="A169" t="s">
        <v>199</v>
      </c>
      <c r="B169" s="91">
        <v>40500</v>
      </c>
      <c r="C169" s="92">
        <v>275</v>
      </c>
      <c r="D169" s="92">
        <v>209.7</v>
      </c>
      <c r="E169" s="92">
        <f t="shared" si="8"/>
        <v>1.3113972341440154</v>
      </c>
      <c r="F169" s="93">
        <v>535.71</v>
      </c>
      <c r="G169" s="93">
        <f t="shared" si="9"/>
        <v>702.52861230329052</v>
      </c>
    </row>
    <row r="170" spans="1:7" x14ac:dyDescent="0.25">
      <c r="A170" t="s">
        <v>199</v>
      </c>
      <c r="B170" s="91">
        <v>40500</v>
      </c>
      <c r="C170" s="92">
        <v>275</v>
      </c>
      <c r="D170" s="92">
        <v>209.7</v>
      </c>
      <c r="E170" s="92">
        <f t="shared" si="8"/>
        <v>1.3113972341440154</v>
      </c>
      <c r="F170" s="93">
        <v>535.71</v>
      </c>
      <c r="G170" s="93">
        <f t="shared" si="9"/>
        <v>702.52861230329052</v>
      </c>
    </row>
    <row r="171" spans="1:7" x14ac:dyDescent="0.25">
      <c r="A171" t="s">
        <v>201</v>
      </c>
      <c r="B171" s="91">
        <v>40501</v>
      </c>
      <c r="C171" s="92">
        <v>275</v>
      </c>
      <c r="D171" s="92">
        <v>209.7</v>
      </c>
      <c r="E171" s="92">
        <f t="shared" si="8"/>
        <v>1.3113972341440154</v>
      </c>
      <c r="F171" s="93">
        <v>133928.57999999999</v>
      </c>
      <c r="G171" s="93">
        <f t="shared" si="9"/>
        <v>175633.56938483549</v>
      </c>
    </row>
    <row r="172" spans="1:7" x14ac:dyDescent="0.25">
      <c r="A172" t="s">
        <v>202</v>
      </c>
      <c r="B172" s="91">
        <v>40502</v>
      </c>
      <c r="C172" s="92">
        <v>275</v>
      </c>
      <c r="D172" s="92">
        <v>209.7</v>
      </c>
      <c r="E172" s="92">
        <f t="shared" si="8"/>
        <v>1.3113972341440154</v>
      </c>
      <c r="F172" s="93">
        <v>3214.28</v>
      </c>
      <c r="G172" s="93">
        <f t="shared" si="9"/>
        <v>4215.1979017644262</v>
      </c>
    </row>
    <row r="173" spans="1:7" x14ac:dyDescent="0.25">
      <c r="A173" t="s">
        <v>203</v>
      </c>
      <c r="B173" s="91">
        <v>40507</v>
      </c>
      <c r="C173" s="92">
        <v>275</v>
      </c>
      <c r="D173" s="92">
        <v>209.7</v>
      </c>
      <c r="E173" s="92">
        <f t="shared" si="8"/>
        <v>1.3113972341440154</v>
      </c>
      <c r="F173" s="93">
        <v>44642.86</v>
      </c>
      <c r="G173" s="93">
        <f t="shared" si="9"/>
        <v>58544.523128278503</v>
      </c>
    </row>
    <row r="174" spans="1:7" x14ac:dyDescent="0.25">
      <c r="A174" t="s">
        <v>203</v>
      </c>
      <c r="B174" s="91">
        <v>40519</v>
      </c>
      <c r="C174" s="92">
        <v>275</v>
      </c>
      <c r="D174" s="92">
        <v>213.2</v>
      </c>
      <c r="E174" s="92">
        <f t="shared" si="8"/>
        <v>1.2898686679174485</v>
      </c>
      <c r="F174" s="93">
        <v>35.71</v>
      </c>
      <c r="G174" s="93">
        <f t="shared" si="9"/>
        <v>46.061210131332089</v>
      </c>
    </row>
    <row r="175" spans="1:7" x14ac:dyDescent="0.25">
      <c r="A175" t="s">
        <v>204</v>
      </c>
      <c r="B175" s="91">
        <v>40630</v>
      </c>
      <c r="C175" s="92">
        <v>275</v>
      </c>
      <c r="D175" s="92">
        <v>229.3</v>
      </c>
      <c r="E175" s="92">
        <f t="shared" si="8"/>
        <v>1.1993022241604885</v>
      </c>
      <c r="F175" s="93">
        <v>600</v>
      </c>
      <c r="G175" s="93">
        <f t="shared" si="9"/>
        <v>719.58133449629304</v>
      </c>
    </row>
    <row r="176" spans="1:7" x14ac:dyDescent="0.25">
      <c r="A176" t="s">
        <v>205</v>
      </c>
      <c r="B176" s="91">
        <v>40659</v>
      </c>
      <c r="C176" s="92">
        <v>275</v>
      </c>
      <c r="D176" s="92">
        <v>232.3</v>
      </c>
      <c r="E176" s="92">
        <f t="shared" si="8"/>
        <v>1.1838140335772707</v>
      </c>
      <c r="F176" s="93">
        <v>2989.11</v>
      </c>
      <c r="G176" s="93">
        <f t="shared" si="9"/>
        <v>3538.5503659061555</v>
      </c>
    </row>
    <row r="177" spans="1:12" ht="15.75" thickBot="1" x14ac:dyDescent="0.3">
      <c r="A177" t="s">
        <v>206</v>
      </c>
      <c r="B177" s="91">
        <v>40787</v>
      </c>
      <c r="C177" s="92">
        <v>275</v>
      </c>
      <c r="D177" s="92">
        <v>258.5</v>
      </c>
      <c r="E177" s="92">
        <f t="shared" si="8"/>
        <v>1.0638297872340425</v>
      </c>
      <c r="F177" s="139">
        <f>8571.43-1187.6</f>
        <v>7383.83</v>
      </c>
      <c r="G177" s="94">
        <f t="shared" si="9"/>
        <v>7855.1382978723404</v>
      </c>
    </row>
    <row r="178" spans="1:12" ht="15.75" thickTop="1" x14ac:dyDescent="0.25">
      <c r="A178" s="133" t="s">
        <v>133</v>
      </c>
      <c r="B178" s="133"/>
      <c r="C178" s="133"/>
      <c r="D178" s="133"/>
      <c r="E178" s="133"/>
      <c r="F178" s="95">
        <f>SUM(F124:F177)</f>
        <v>1220051.8800000004</v>
      </c>
      <c r="G178" s="95">
        <f>SUM(G124:G177)</f>
        <v>3288258.8337302567</v>
      </c>
      <c r="I178" s="108">
        <f>SUM(F175:F177)+F117</f>
        <v>100972.94</v>
      </c>
      <c r="J178" s="108">
        <v>100972.98999999929</v>
      </c>
      <c r="K178" s="108">
        <f>I178-J178</f>
        <v>-4.9999999289866537E-2</v>
      </c>
    </row>
    <row r="179" spans="1:12" x14ac:dyDescent="0.25">
      <c r="A179" s="110"/>
      <c r="B179" s="110"/>
      <c r="C179" s="110"/>
      <c r="D179" s="110"/>
      <c r="E179" s="110"/>
      <c r="F179" s="95"/>
      <c r="G179" s="95"/>
    </row>
    <row r="180" spans="1:12" x14ac:dyDescent="0.25">
      <c r="A180" s="110"/>
      <c r="B180" s="110"/>
      <c r="C180" s="110"/>
      <c r="D180" s="110"/>
      <c r="E180" s="110"/>
      <c r="F180" s="95"/>
      <c r="G180" s="95"/>
    </row>
    <row r="181" spans="1:12" ht="15.75" x14ac:dyDescent="0.25">
      <c r="A181" s="178" t="s">
        <v>135</v>
      </c>
      <c r="B181" s="178"/>
      <c r="C181" s="178"/>
      <c r="D181" s="178"/>
      <c r="E181" s="178"/>
      <c r="F181" s="178"/>
      <c r="G181" s="178"/>
    </row>
    <row r="182" spans="1:12" x14ac:dyDescent="0.25">
      <c r="A182" s="112"/>
      <c r="B182" s="112"/>
      <c r="C182" s="112"/>
      <c r="D182" s="112"/>
      <c r="E182" s="112"/>
      <c r="F182" s="112"/>
      <c r="G182" s="112"/>
    </row>
    <row r="183" spans="1:12" x14ac:dyDescent="0.25">
      <c r="A183" s="133" t="s">
        <v>118</v>
      </c>
      <c r="B183" s="133" t="s">
        <v>119</v>
      </c>
      <c r="C183" s="133" t="s">
        <v>120</v>
      </c>
      <c r="D183" s="133" t="s">
        <v>121</v>
      </c>
      <c r="E183" s="133" t="s">
        <v>122</v>
      </c>
      <c r="F183" s="133" t="s">
        <v>123</v>
      </c>
      <c r="G183" s="133" t="s">
        <v>124</v>
      </c>
    </row>
    <row r="184" spans="1:12" x14ac:dyDescent="0.25">
      <c r="A184" t="s">
        <v>167</v>
      </c>
      <c r="B184" s="91">
        <v>39203</v>
      </c>
      <c r="C184" s="92">
        <v>275</v>
      </c>
      <c r="D184" s="92">
        <v>90.557581049999996</v>
      </c>
      <c r="E184" s="92">
        <f>C184/D184</f>
        <v>3.036741891859533</v>
      </c>
      <c r="F184" s="93">
        <v>7572.4842987872962</v>
      </c>
      <c r="G184" s="93">
        <f>F184*E184</f>
        <v>22995.680295575945</v>
      </c>
      <c r="I184" s="138">
        <f>F184/$F$238</f>
        <v>7.7745691616270774E-3</v>
      </c>
      <c r="J184" s="108">
        <v>284599.50353534252</v>
      </c>
      <c r="K184">
        <f>J184*I184</f>
        <v>2212.6385236002502</v>
      </c>
      <c r="L184" s="108">
        <f t="shared" ref="L184:L215" si="10">F184+K184</f>
        <v>9785.122822387546</v>
      </c>
    </row>
    <row r="185" spans="1:12" x14ac:dyDescent="0.25">
      <c r="A185" t="s">
        <v>168</v>
      </c>
      <c r="B185" s="91">
        <v>39203</v>
      </c>
      <c r="C185" s="92">
        <v>275</v>
      </c>
      <c r="D185" s="92">
        <v>90.557581049999996</v>
      </c>
      <c r="E185" s="92">
        <f t="shared" ref="E185:E237" si="11">C185/D185</f>
        <v>3.036741891859533</v>
      </c>
      <c r="F185" s="93">
        <v>1081.7834712553281</v>
      </c>
      <c r="G185" s="93">
        <f t="shared" ref="G185:G237" si="12">F185*E185</f>
        <v>3285.097185082278</v>
      </c>
      <c r="I185" s="138">
        <f t="shared" ref="I185:I237" si="13">F185/$F$238</f>
        <v>1.1106527373752968E-3</v>
      </c>
      <c r="J185" s="108">
        <v>284599.50353534252</v>
      </c>
      <c r="K185">
        <f t="shared" ref="K185:K237" si="14">J185*I185</f>
        <v>316.09121765717862</v>
      </c>
      <c r="L185" s="108">
        <f t="shared" si="10"/>
        <v>1397.8746889125068</v>
      </c>
    </row>
    <row r="186" spans="1:12" x14ac:dyDescent="0.25">
      <c r="A186" t="s">
        <v>169</v>
      </c>
      <c r="B186" s="91">
        <v>39203</v>
      </c>
      <c r="C186" s="92">
        <v>275</v>
      </c>
      <c r="D186" s="92">
        <v>90.557581049999996</v>
      </c>
      <c r="E186" s="92">
        <f t="shared" si="11"/>
        <v>3.036741891859533</v>
      </c>
      <c r="F186" s="93">
        <v>713.9770910285165</v>
      </c>
      <c r="G186" s="93">
        <f t="shared" si="12"/>
        <v>2168.1641421543031</v>
      </c>
      <c r="I186" s="138">
        <f t="shared" si="13"/>
        <v>7.3303080666769593E-4</v>
      </c>
      <c r="J186" s="108">
        <v>284599.50353534252</v>
      </c>
      <c r="K186">
        <f t="shared" si="14"/>
        <v>208.62020365373792</v>
      </c>
      <c r="L186" s="108">
        <f t="shared" si="10"/>
        <v>922.59729468225441</v>
      </c>
    </row>
    <row r="187" spans="1:12" x14ac:dyDescent="0.25">
      <c r="A187" t="s">
        <v>170</v>
      </c>
      <c r="B187" s="91">
        <v>39203</v>
      </c>
      <c r="C187" s="92">
        <v>275</v>
      </c>
      <c r="D187" s="92">
        <v>90.557581049999996</v>
      </c>
      <c r="E187" s="92">
        <f t="shared" si="11"/>
        <v>3.036741891859533</v>
      </c>
      <c r="F187" s="93">
        <v>12001.305830106608</v>
      </c>
      <c r="G187" s="93">
        <f t="shared" si="12"/>
        <v>36444.868171302784</v>
      </c>
      <c r="I187" s="138">
        <f t="shared" si="13"/>
        <v>1.2321581468441542E-2</v>
      </c>
      <c r="J187" s="108">
        <v>284599.50353534252</v>
      </c>
      <c r="K187">
        <f t="shared" si="14"/>
        <v>3506.7159686887394</v>
      </c>
      <c r="L187" s="108">
        <f t="shared" si="10"/>
        <v>15508.021798795347</v>
      </c>
    </row>
    <row r="188" spans="1:12" x14ac:dyDescent="0.25">
      <c r="A188" t="s">
        <v>171</v>
      </c>
      <c r="B188" s="91">
        <v>39082</v>
      </c>
      <c r="C188" s="92">
        <v>275</v>
      </c>
      <c r="D188" s="92">
        <v>81.661321659999999</v>
      </c>
      <c r="E188" s="92">
        <f t="shared" si="11"/>
        <v>3.367567342896713</v>
      </c>
      <c r="F188" s="93">
        <v>27044.586781383205</v>
      </c>
      <c r="G188" s="93">
        <f t="shared" si="12"/>
        <v>91074.4672471222</v>
      </c>
      <c r="I188" s="138">
        <f t="shared" si="13"/>
        <v>2.7766318434382424E-2</v>
      </c>
      <c r="J188" s="108">
        <v>284599.50353534252</v>
      </c>
      <c r="K188">
        <f t="shared" si="14"/>
        <v>7902.2804414294669</v>
      </c>
      <c r="L188" s="108">
        <f t="shared" si="10"/>
        <v>34946.867222812674</v>
      </c>
    </row>
    <row r="189" spans="1:12" x14ac:dyDescent="0.25">
      <c r="A189" t="s">
        <v>172</v>
      </c>
      <c r="B189" s="91">
        <v>39082</v>
      </c>
      <c r="C189" s="92">
        <v>275</v>
      </c>
      <c r="D189" s="92">
        <v>81.661321659999999</v>
      </c>
      <c r="E189" s="92">
        <f t="shared" si="11"/>
        <v>3.367567342896713</v>
      </c>
      <c r="F189" s="93">
        <v>64907.008275319691</v>
      </c>
      <c r="G189" s="93">
        <f t="shared" si="12"/>
        <v>218578.72139309329</v>
      </c>
      <c r="I189" s="138">
        <f t="shared" si="13"/>
        <v>6.6639164242517826E-2</v>
      </c>
      <c r="J189" s="108">
        <v>284599.50353534252</v>
      </c>
      <c r="K189">
        <f t="shared" si="14"/>
        <v>18965.473059430722</v>
      </c>
      <c r="L189" s="108">
        <f t="shared" si="10"/>
        <v>83872.48133475041</v>
      </c>
    </row>
    <row r="190" spans="1:12" x14ac:dyDescent="0.25">
      <c r="A190" t="s">
        <v>173</v>
      </c>
      <c r="B190" s="91">
        <v>39082</v>
      </c>
      <c r="C190" s="92">
        <v>275</v>
      </c>
      <c r="D190" s="92">
        <v>81.661321659999999</v>
      </c>
      <c r="E190" s="92">
        <f t="shared" si="11"/>
        <v>3.367567342896713</v>
      </c>
      <c r="F190" s="93">
        <v>8654.2677700426248</v>
      </c>
      <c r="G190" s="93">
        <f t="shared" si="12"/>
        <v>29143.829519079103</v>
      </c>
      <c r="I190" s="138">
        <f t="shared" si="13"/>
        <v>8.8852218990023747E-3</v>
      </c>
      <c r="J190" s="108">
        <v>284599.50353534252</v>
      </c>
      <c r="K190">
        <f t="shared" si="14"/>
        <v>2528.7297412574289</v>
      </c>
      <c r="L190" s="108">
        <f t="shared" si="10"/>
        <v>11182.997511300055</v>
      </c>
    </row>
    <row r="191" spans="1:12" x14ac:dyDescent="0.25">
      <c r="A191" t="s">
        <v>173</v>
      </c>
      <c r="B191" s="91">
        <v>39082</v>
      </c>
      <c r="C191" s="92">
        <v>275</v>
      </c>
      <c r="D191" s="92">
        <v>81.661321659999999</v>
      </c>
      <c r="E191" s="92">
        <f t="shared" si="11"/>
        <v>3.367567342896713</v>
      </c>
      <c r="F191" s="93">
        <v>8654.2677700426248</v>
      </c>
      <c r="G191" s="93">
        <f t="shared" si="12"/>
        <v>29143.829519079103</v>
      </c>
      <c r="I191" s="138">
        <f t="shared" si="13"/>
        <v>8.8852218990023747E-3</v>
      </c>
      <c r="J191" s="108">
        <v>284599.50353534252</v>
      </c>
      <c r="K191">
        <f t="shared" si="14"/>
        <v>2528.7297412574289</v>
      </c>
      <c r="L191" s="108">
        <f t="shared" si="10"/>
        <v>11182.997511300055</v>
      </c>
    </row>
    <row r="192" spans="1:12" x14ac:dyDescent="0.25">
      <c r="A192" t="s">
        <v>174</v>
      </c>
      <c r="B192" s="91">
        <v>39082</v>
      </c>
      <c r="C192" s="92">
        <v>275</v>
      </c>
      <c r="D192" s="92">
        <v>81.661321659999999</v>
      </c>
      <c r="E192" s="92">
        <f t="shared" si="11"/>
        <v>3.367567342896713</v>
      </c>
      <c r="F192" s="93">
        <v>6490.7008275319695</v>
      </c>
      <c r="G192" s="93">
        <f t="shared" si="12"/>
        <v>21857.872139309329</v>
      </c>
      <c r="I192" s="138">
        <f t="shared" si="13"/>
        <v>6.6639164242517819E-3</v>
      </c>
      <c r="J192" s="108">
        <v>284599.50353534252</v>
      </c>
      <c r="K192">
        <f t="shared" si="14"/>
        <v>1896.5473059430722</v>
      </c>
      <c r="L192" s="108">
        <f t="shared" si="10"/>
        <v>8387.248133475041</v>
      </c>
    </row>
    <row r="193" spans="1:12" x14ac:dyDescent="0.25">
      <c r="A193" t="s">
        <v>175</v>
      </c>
      <c r="B193" s="91">
        <v>39082</v>
      </c>
      <c r="C193" s="92">
        <v>275</v>
      </c>
      <c r="D193" s="92">
        <v>81.661321659999999</v>
      </c>
      <c r="E193" s="92">
        <f t="shared" si="11"/>
        <v>3.367567342896713</v>
      </c>
      <c r="F193" s="93">
        <v>21635.669425106564</v>
      </c>
      <c r="G193" s="93">
        <f t="shared" si="12"/>
        <v>72859.573797697769</v>
      </c>
      <c r="I193" s="138">
        <f t="shared" si="13"/>
        <v>2.2213054747505939E-2</v>
      </c>
      <c r="J193" s="108">
        <v>284599.50353534252</v>
      </c>
      <c r="K193">
        <f t="shared" si="14"/>
        <v>6321.8243531435737</v>
      </c>
      <c r="L193" s="108">
        <f t="shared" si="10"/>
        <v>27957.493778250137</v>
      </c>
    </row>
    <row r="194" spans="1:12" x14ac:dyDescent="0.25">
      <c r="A194" t="s">
        <v>176</v>
      </c>
      <c r="B194" s="91">
        <v>39082</v>
      </c>
      <c r="C194" s="92">
        <v>275</v>
      </c>
      <c r="D194" s="92">
        <v>81.661321659999999</v>
      </c>
      <c r="E194" s="92">
        <f t="shared" si="11"/>
        <v>3.367567342896713</v>
      </c>
      <c r="F194" s="93">
        <v>16226.752068829923</v>
      </c>
      <c r="G194" s="93">
        <f t="shared" si="12"/>
        <v>54644.680348273323</v>
      </c>
      <c r="I194" s="138">
        <f t="shared" si="13"/>
        <v>1.6659791060629456E-2</v>
      </c>
      <c r="J194" s="108">
        <v>284599.50353534252</v>
      </c>
      <c r="K194">
        <f t="shared" si="14"/>
        <v>4741.3682648576805</v>
      </c>
      <c r="L194" s="108">
        <f t="shared" si="10"/>
        <v>20968.120333687602</v>
      </c>
    </row>
    <row r="195" spans="1:12" x14ac:dyDescent="0.25">
      <c r="A195" t="s">
        <v>177</v>
      </c>
      <c r="B195" s="91">
        <v>39082</v>
      </c>
      <c r="C195" s="92">
        <v>275</v>
      </c>
      <c r="D195" s="92">
        <v>81.661321659999999</v>
      </c>
      <c r="E195" s="92">
        <f t="shared" si="11"/>
        <v>3.367567342896713</v>
      </c>
      <c r="F195" s="93">
        <v>16226.752068829923</v>
      </c>
      <c r="G195" s="93">
        <f t="shared" si="12"/>
        <v>54644.680348273323</v>
      </c>
      <c r="I195" s="138">
        <f t="shared" si="13"/>
        <v>1.6659791060629456E-2</v>
      </c>
      <c r="J195" s="108">
        <v>284599.50353534252</v>
      </c>
      <c r="K195">
        <f t="shared" si="14"/>
        <v>4741.3682648576805</v>
      </c>
      <c r="L195" s="108">
        <f t="shared" si="10"/>
        <v>20968.120333687602</v>
      </c>
    </row>
    <row r="196" spans="1:12" x14ac:dyDescent="0.25">
      <c r="A196" t="s">
        <v>178</v>
      </c>
      <c r="B196" s="91">
        <v>39082</v>
      </c>
      <c r="C196" s="92">
        <v>275</v>
      </c>
      <c r="D196" s="92">
        <v>81.661321659999999</v>
      </c>
      <c r="E196" s="92">
        <f t="shared" si="11"/>
        <v>3.367567342896713</v>
      </c>
      <c r="F196" s="93">
        <v>54089.173562766409</v>
      </c>
      <c r="G196" s="93">
        <f t="shared" si="12"/>
        <v>182148.9344942444</v>
      </c>
      <c r="I196" s="138">
        <f t="shared" si="13"/>
        <v>5.5532636868764848E-2</v>
      </c>
      <c r="J196" s="108">
        <v>284599.50353534252</v>
      </c>
      <c r="K196">
        <f t="shared" si="14"/>
        <v>15804.560882858934</v>
      </c>
      <c r="L196" s="108">
        <f t="shared" si="10"/>
        <v>69893.734445625349</v>
      </c>
    </row>
    <row r="197" spans="1:12" x14ac:dyDescent="0.25">
      <c r="A197" t="s">
        <v>179</v>
      </c>
      <c r="B197" s="91">
        <v>38990</v>
      </c>
      <c r="C197" s="92">
        <v>275</v>
      </c>
      <c r="D197" s="92">
        <v>78.566846979999994</v>
      </c>
      <c r="E197" s="92">
        <f t="shared" si="11"/>
        <v>3.5002041009740927</v>
      </c>
      <c r="F197" s="93">
        <v>129814.01655063938</v>
      </c>
      <c r="G197" s="93">
        <f t="shared" si="12"/>
        <v>454375.55309446674</v>
      </c>
      <c r="I197" s="138">
        <f t="shared" si="13"/>
        <v>0.13327832848503565</v>
      </c>
      <c r="J197" s="108">
        <v>284599.50353534252</v>
      </c>
      <c r="K197">
        <f t="shared" si="14"/>
        <v>37930.946118861444</v>
      </c>
      <c r="L197" s="108">
        <f t="shared" si="10"/>
        <v>167744.96266950082</v>
      </c>
    </row>
    <row r="198" spans="1:12" x14ac:dyDescent="0.25">
      <c r="A198" t="s">
        <v>180</v>
      </c>
      <c r="B198" s="91">
        <v>38990</v>
      </c>
      <c r="C198" s="92">
        <v>275</v>
      </c>
      <c r="D198" s="92">
        <v>78.566846979999994</v>
      </c>
      <c r="E198" s="92">
        <f t="shared" si="11"/>
        <v>3.5002041009740927</v>
      </c>
      <c r="F198" s="93">
        <v>32453.504137659846</v>
      </c>
      <c r="G198" s="93">
        <f t="shared" si="12"/>
        <v>113593.88827361669</v>
      </c>
      <c r="I198" s="138">
        <f t="shared" si="13"/>
        <v>3.3319582121258913E-2</v>
      </c>
      <c r="J198" s="108">
        <v>284599.50353534252</v>
      </c>
      <c r="K198">
        <f t="shared" si="14"/>
        <v>9482.736529715361</v>
      </c>
      <c r="L198" s="108">
        <f t="shared" si="10"/>
        <v>41936.240667375205</v>
      </c>
    </row>
    <row r="199" spans="1:12" x14ac:dyDescent="0.25">
      <c r="A199" t="s">
        <v>181</v>
      </c>
      <c r="B199" s="91">
        <v>38990</v>
      </c>
      <c r="C199" s="92">
        <v>275</v>
      </c>
      <c r="D199" s="92">
        <v>78.566846979999994</v>
      </c>
      <c r="E199" s="92">
        <f t="shared" si="11"/>
        <v>3.5002041009740927</v>
      </c>
      <c r="F199" s="93">
        <v>43271.338850213127</v>
      </c>
      <c r="G199" s="93">
        <f t="shared" si="12"/>
        <v>151458.51769815557</v>
      </c>
      <c r="I199" s="138">
        <f t="shared" si="13"/>
        <v>4.4426109495011877E-2</v>
      </c>
      <c r="J199" s="108">
        <v>284599.50353534252</v>
      </c>
      <c r="K199">
        <f t="shared" si="14"/>
        <v>12643.648706287147</v>
      </c>
      <c r="L199" s="108">
        <f t="shared" si="10"/>
        <v>55914.987556500273</v>
      </c>
    </row>
    <row r="200" spans="1:12" x14ac:dyDescent="0.25">
      <c r="A200" t="s">
        <v>182</v>
      </c>
      <c r="B200" s="91">
        <v>39142</v>
      </c>
      <c r="C200" s="92">
        <v>275</v>
      </c>
      <c r="D200" s="92">
        <v>83.812530649999999</v>
      </c>
      <c r="E200" s="92">
        <f t="shared" si="11"/>
        <v>3.2811322825747418</v>
      </c>
      <c r="F200" s="93">
        <v>15908.707728280855</v>
      </c>
      <c r="G200" s="93">
        <f t="shared" si="12"/>
        <v>52198.574501308598</v>
      </c>
      <c r="I200" s="138">
        <f t="shared" si="13"/>
        <v>1.6333259155841117E-2</v>
      </c>
      <c r="J200" s="108">
        <v>284599.50353534252</v>
      </c>
      <c r="K200">
        <f t="shared" si="14"/>
        <v>4648.4374468664691</v>
      </c>
      <c r="L200" s="108">
        <f t="shared" si="10"/>
        <v>20557.145175147325</v>
      </c>
    </row>
    <row r="201" spans="1:12" x14ac:dyDescent="0.25">
      <c r="A201" t="s">
        <v>183</v>
      </c>
      <c r="B201" s="91">
        <v>38990</v>
      </c>
      <c r="C201" s="92">
        <v>275</v>
      </c>
      <c r="D201" s="92">
        <v>78.566846979999994</v>
      </c>
      <c r="E201" s="92">
        <f t="shared" si="11"/>
        <v>3.5002041009740927</v>
      </c>
      <c r="F201" s="93">
        <v>5929.7636441819441</v>
      </c>
      <c r="G201" s="93">
        <f t="shared" si="12"/>
        <v>20755.383025172723</v>
      </c>
      <c r="I201" s="138">
        <f t="shared" si="13"/>
        <v>6.0880096603405697E-3</v>
      </c>
      <c r="J201" s="108">
        <v>284599.50353534252</v>
      </c>
      <c r="K201">
        <f t="shared" si="14"/>
        <v>1732.6445268512953</v>
      </c>
      <c r="L201" s="108">
        <f t="shared" si="10"/>
        <v>7662.4081710332393</v>
      </c>
    </row>
    <row r="202" spans="1:12" x14ac:dyDescent="0.25">
      <c r="A202" t="s">
        <v>183</v>
      </c>
      <c r="B202" s="91">
        <v>39082</v>
      </c>
      <c r="C202" s="92">
        <v>275</v>
      </c>
      <c r="D202" s="92">
        <v>81.661321659999999</v>
      </c>
      <c r="E202" s="92">
        <f t="shared" si="11"/>
        <v>3.367567342896713</v>
      </c>
      <c r="F202" s="93">
        <v>140740.02961031819</v>
      </c>
      <c r="G202" s="93">
        <f t="shared" si="12"/>
        <v>473951.52755402395</v>
      </c>
      <c r="I202" s="138">
        <f t="shared" si="13"/>
        <v>0.14449592113252613</v>
      </c>
      <c r="J202" s="108">
        <v>284599.50353534252</v>
      </c>
      <c r="K202">
        <f t="shared" si="14"/>
        <v>41123.467417198946</v>
      </c>
      <c r="L202" s="108">
        <f t="shared" si="10"/>
        <v>181863.49702751712</v>
      </c>
    </row>
    <row r="203" spans="1:12" x14ac:dyDescent="0.25">
      <c r="A203" t="s">
        <v>184</v>
      </c>
      <c r="B203" s="91">
        <v>38990</v>
      </c>
      <c r="C203" s="92">
        <v>275</v>
      </c>
      <c r="D203" s="92">
        <v>78.566846979999994</v>
      </c>
      <c r="E203" s="92">
        <f t="shared" si="11"/>
        <v>3.5002041009740927</v>
      </c>
      <c r="F203" s="93">
        <v>9325.4170534441419</v>
      </c>
      <c r="G203" s="93">
        <f t="shared" si="12"/>
        <v>32640.863013758924</v>
      </c>
      <c r="I203" s="138">
        <f t="shared" si="13"/>
        <v>9.5742819637973826E-3</v>
      </c>
      <c r="J203" s="108">
        <v>284599.50353534252</v>
      </c>
      <c r="K203">
        <f t="shared" si="14"/>
        <v>2724.8358936041195</v>
      </c>
      <c r="L203" s="108">
        <f t="shared" si="10"/>
        <v>12050.252947048262</v>
      </c>
    </row>
    <row r="204" spans="1:12" x14ac:dyDescent="0.25">
      <c r="A204" t="s">
        <v>184</v>
      </c>
      <c r="B204" s="91">
        <v>39020</v>
      </c>
      <c r="C204" s="92">
        <v>275</v>
      </c>
      <c r="D204" s="92">
        <v>79.151384570000005</v>
      </c>
      <c r="E204" s="92">
        <f t="shared" si="11"/>
        <v>3.4743548896077128</v>
      </c>
      <c r="F204" s="93">
        <v>540.82656687535336</v>
      </c>
      <c r="G204" s="93">
        <f t="shared" si="12"/>
        <v>1879.0234270531366</v>
      </c>
      <c r="I204" s="138">
        <f t="shared" si="13"/>
        <v>5.5525946079427752E-4</v>
      </c>
      <c r="J204" s="108">
        <v>284599.50353534252</v>
      </c>
      <c r="K204">
        <f t="shared" si="14"/>
        <v>158.02656687535335</v>
      </c>
      <c r="L204" s="108">
        <f t="shared" si="10"/>
        <v>698.85313375070677</v>
      </c>
    </row>
    <row r="205" spans="1:12" x14ac:dyDescent="0.25">
      <c r="A205" t="s">
        <v>184</v>
      </c>
      <c r="B205" s="91">
        <v>39082</v>
      </c>
      <c r="C205" s="92">
        <v>275</v>
      </c>
      <c r="D205" s="92">
        <v>81.661321659999999</v>
      </c>
      <c r="E205" s="92">
        <f t="shared" si="11"/>
        <v>3.367567342896713</v>
      </c>
      <c r="F205" s="93">
        <v>86542.677700426255</v>
      </c>
      <c r="G205" s="93">
        <f t="shared" si="12"/>
        <v>291438.29519079108</v>
      </c>
      <c r="I205" s="138">
        <f t="shared" si="13"/>
        <v>8.8852218990023754E-2</v>
      </c>
      <c r="J205" s="108">
        <v>284599.50353534252</v>
      </c>
      <c r="K205">
        <f t="shared" si="14"/>
        <v>25287.297412574295</v>
      </c>
      <c r="L205" s="108">
        <f t="shared" si="10"/>
        <v>111829.97511300055</v>
      </c>
    </row>
    <row r="206" spans="1:12" x14ac:dyDescent="0.25">
      <c r="A206" t="s">
        <v>185</v>
      </c>
      <c r="B206" s="91">
        <v>39082</v>
      </c>
      <c r="C206" s="92">
        <v>275</v>
      </c>
      <c r="D206" s="92">
        <v>81.661321659999999</v>
      </c>
      <c r="E206" s="92">
        <f t="shared" si="11"/>
        <v>3.367567342896713</v>
      </c>
      <c r="F206" s="93">
        <v>32383.447840061352</v>
      </c>
      <c r="G206" s="93">
        <f t="shared" si="12"/>
        <v>109053.44139658971</v>
      </c>
      <c r="I206" s="138">
        <f t="shared" si="13"/>
        <v>3.3247656249986483E-2</v>
      </c>
      <c r="J206" s="108">
        <v>284599.50353534252</v>
      </c>
      <c r="K206">
        <f t="shared" si="14"/>
        <v>9462.2664624598801</v>
      </c>
      <c r="L206" s="108">
        <f t="shared" si="10"/>
        <v>41845.714302521228</v>
      </c>
    </row>
    <row r="207" spans="1:12" x14ac:dyDescent="0.25">
      <c r="A207" t="s">
        <v>186</v>
      </c>
      <c r="B207" s="91">
        <v>39611</v>
      </c>
      <c r="C207" s="92">
        <v>275</v>
      </c>
      <c r="D207" s="92">
        <v>116.3</v>
      </c>
      <c r="E207" s="92">
        <f t="shared" si="11"/>
        <v>2.36457437661221</v>
      </c>
      <c r="F207" s="93">
        <v>4897.8711923967148</v>
      </c>
      <c r="G207" s="93">
        <f t="shared" si="12"/>
        <v>11581.380721488364</v>
      </c>
      <c r="I207" s="138">
        <f t="shared" si="13"/>
        <v>5.0285793707261061E-3</v>
      </c>
      <c r="J207" s="108">
        <v>284599.50353534252</v>
      </c>
      <c r="K207">
        <f t="shared" si="14"/>
        <v>1431.1311923967148</v>
      </c>
      <c r="L207" s="108">
        <f t="shared" si="10"/>
        <v>6329.0023847934299</v>
      </c>
    </row>
    <row r="208" spans="1:12" x14ac:dyDescent="0.25">
      <c r="A208" t="s">
        <v>187</v>
      </c>
      <c r="B208" s="91">
        <v>39651</v>
      </c>
      <c r="C208" s="92">
        <v>275</v>
      </c>
      <c r="D208" s="92">
        <v>118.2</v>
      </c>
      <c r="E208" s="92">
        <f t="shared" si="11"/>
        <v>2.3265651438240269</v>
      </c>
      <c r="F208" s="93">
        <v>5821.9810386023046</v>
      </c>
      <c r="G208" s="93">
        <f t="shared" si="12"/>
        <v>13545.218152416528</v>
      </c>
      <c r="I208" s="138">
        <f t="shared" si="13"/>
        <v>5.9773506891977078E-3</v>
      </c>
      <c r="J208" s="108">
        <v>284599.50353534252</v>
      </c>
      <c r="K208">
        <f t="shared" si="14"/>
        <v>1701.1510386023051</v>
      </c>
      <c r="L208" s="108">
        <f t="shared" si="10"/>
        <v>7523.1320772046092</v>
      </c>
    </row>
    <row r="209" spans="1:12" x14ac:dyDescent="0.25">
      <c r="A209" t="s">
        <v>188</v>
      </c>
      <c r="B209" s="91">
        <v>39722</v>
      </c>
      <c r="C209" s="92">
        <v>275</v>
      </c>
      <c r="D209" s="92">
        <v>125.8</v>
      </c>
      <c r="E209" s="92">
        <f t="shared" si="11"/>
        <v>2.1860095389507155</v>
      </c>
      <c r="F209" s="93">
        <v>9001.2020381911279</v>
      </c>
      <c r="G209" s="93">
        <f t="shared" si="12"/>
        <v>19676.71351750843</v>
      </c>
      <c r="I209" s="138">
        <f t="shared" si="13"/>
        <v>9.2414147091599303E-3</v>
      </c>
      <c r="J209" s="108">
        <v>284599.50353534252</v>
      </c>
      <c r="K209">
        <f t="shared" si="14"/>
        <v>2630.102038191128</v>
      </c>
      <c r="L209" s="108">
        <f t="shared" si="10"/>
        <v>11631.304076382256</v>
      </c>
    </row>
    <row r="210" spans="1:12" x14ac:dyDescent="0.25">
      <c r="A210" t="s">
        <v>189</v>
      </c>
      <c r="B210" s="91">
        <v>39798</v>
      </c>
      <c r="C210" s="92">
        <v>275</v>
      </c>
      <c r="D210" s="92">
        <v>131.9</v>
      </c>
      <c r="E210" s="92">
        <f t="shared" si="11"/>
        <v>2.0849128127369219</v>
      </c>
      <c r="F210" s="93">
        <v>6416.000187094317</v>
      </c>
      <c r="G210" s="93">
        <f t="shared" si="12"/>
        <v>13376.80099659543</v>
      </c>
      <c r="I210" s="138">
        <f t="shared" si="13"/>
        <v>6.5872222678052149E-3</v>
      </c>
      <c r="J210" s="108">
        <v>284599.50353534252</v>
      </c>
      <c r="K210">
        <f t="shared" si="14"/>
        <v>1874.7201870943172</v>
      </c>
      <c r="L210" s="108">
        <f t="shared" si="10"/>
        <v>8290.7203741886333</v>
      </c>
    </row>
    <row r="211" spans="1:12" x14ac:dyDescent="0.25">
      <c r="A211" t="s">
        <v>189</v>
      </c>
      <c r="B211" s="91">
        <v>39813</v>
      </c>
      <c r="C211" s="92">
        <v>275</v>
      </c>
      <c r="D211" s="92">
        <v>131.9</v>
      </c>
      <c r="E211" s="92">
        <f t="shared" si="11"/>
        <v>2.0849128127369219</v>
      </c>
      <c r="F211" s="93">
        <v>6416.000187094317</v>
      </c>
      <c r="G211" s="93">
        <f t="shared" si="12"/>
        <v>13376.80099659543</v>
      </c>
      <c r="I211" s="138">
        <f t="shared" si="13"/>
        <v>6.5872222678052149E-3</v>
      </c>
      <c r="J211" s="108">
        <v>284599.50353534252</v>
      </c>
      <c r="K211">
        <f t="shared" si="14"/>
        <v>1874.7201870943172</v>
      </c>
      <c r="L211" s="108">
        <f t="shared" si="10"/>
        <v>8290.7203741886333</v>
      </c>
    </row>
    <row r="212" spans="1:12" x14ac:dyDescent="0.25">
      <c r="A212" t="s">
        <v>190</v>
      </c>
      <c r="B212" s="91">
        <v>39813</v>
      </c>
      <c r="C212" s="92">
        <v>275</v>
      </c>
      <c r="D212" s="92">
        <v>131.9</v>
      </c>
      <c r="E212" s="92">
        <f t="shared" si="11"/>
        <v>2.0849128127369219</v>
      </c>
      <c r="F212" s="93">
        <v>4883.8842984258008</v>
      </c>
      <c r="G212" s="93">
        <f t="shared" si="12"/>
        <v>10182.472949712625</v>
      </c>
      <c r="I212" s="138">
        <f t="shared" si="13"/>
        <v>5.0142192122572893E-3</v>
      </c>
      <c r="J212" s="108">
        <v>284599.50353534252</v>
      </c>
      <c r="K212">
        <f t="shared" si="14"/>
        <v>1427.0442984258009</v>
      </c>
      <c r="L212" s="108">
        <f t="shared" si="10"/>
        <v>6310.9285968516015</v>
      </c>
    </row>
    <row r="213" spans="1:12" x14ac:dyDescent="0.25">
      <c r="A213" t="s">
        <v>190</v>
      </c>
      <c r="B213" s="91">
        <v>39813</v>
      </c>
      <c r="C213" s="92">
        <v>275</v>
      </c>
      <c r="D213" s="92">
        <v>131.9</v>
      </c>
      <c r="E213" s="92">
        <f t="shared" si="11"/>
        <v>2.0849128127369219</v>
      </c>
      <c r="F213" s="93">
        <v>6075.0590504214852</v>
      </c>
      <c r="G213" s="93">
        <f t="shared" si="12"/>
        <v>12665.968452357152</v>
      </c>
      <c r="I213" s="138">
        <f t="shared" si="13"/>
        <v>6.2371825262198576E-3</v>
      </c>
      <c r="J213" s="108">
        <v>284599.50353534252</v>
      </c>
      <c r="K213">
        <f t="shared" si="14"/>
        <v>1775.0990504214849</v>
      </c>
      <c r="L213" s="108">
        <f t="shared" si="10"/>
        <v>7850.1581008429703</v>
      </c>
    </row>
    <row r="214" spans="1:12" x14ac:dyDescent="0.25">
      <c r="A214" t="s">
        <v>191</v>
      </c>
      <c r="B214" s="91">
        <v>39813</v>
      </c>
      <c r="C214" s="92">
        <v>275</v>
      </c>
      <c r="D214" s="92">
        <v>131.9</v>
      </c>
      <c r="E214" s="92">
        <f t="shared" si="11"/>
        <v>2.0849128127369219</v>
      </c>
      <c r="F214" s="93">
        <v>5062.5774650360272</v>
      </c>
      <c r="G214" s="93">
        <f t="shared" si="12"/>
        <v>10555.032622326818</v>
      </c>
      <c r="I214" s="138">
        <f t="shared" si="13"/>
        <v>5.1976811156043638E-3</v>
      </c>
      <c r="J214" s="108">
        <v>284599.50353534252</v>
      </c>
      <c r="K214">
        <f t="shared" si="14"/>
        <v>1479.2574650360273</v>
      </c>
      <c r="L214" s="108">
        <f t="shared" si="10"/>
        <v>6541.8349300720547</v>
      </c>
    </row>
    <row r="215" spans="1:12" x14ac:dyDescent="0.25">
      <c r="A215" t="s">
        <v>191</v>
      </c>
      <c r="B215" s="91">
        <v>39813</v>
      </c>
      <c r="C215" s="92">
        <v>275</v>
      </c>
      <c r="D215" s="92">
        <v>131.9</v>
      </c>
      <c r="E215" s="92">
        <f t="shared" si="11"/>
        <v>2.0849128127369219</v>
      </c>
      <c r="F215" s="93">
        <v>6075.0590504214852</v>
      </c>
      <c r="G215" s="93">
        <f t="shared" si="12"/>
        <v>12665.968452357152</v>
      </c>
      <c r="I215" s="138">
        <f t="shared" si="13"/>
        <v>6.2371825262198576E-3</v>
      </c>
      <c r="J215" s="108">
        <v>284599.50353534252</v>
      </c>
      <c r="K215">
        <f t="shared" si="14"/>
        <v>1775.0990504214849</v>
      </c>
      <c r="L215" s="108">
        <f t="shared" si="10"/>
        <v>7850.1581008429703</v>
      </c>
    </row>
    <row r="216" spans="1:12" x14ac:dyDescent="0.25">
      <c r="A216" t="s">
        <v>191</v>
      </c>
      <c r="B216" s="91">
        <v>39813</v>
      </c>
      <c r="C216" s="92">
        <v>275</v>
      </c>
      <c r="D216" s="92">
        <v>131.9</v>
      </c>
      <c r="E216" s="92">
        <f t="shared" si="11"/>
        <v>2.0849128127369219</v>
      </c>
      <c r="F216" s="93">
        <v>13128.352988263279</v>
      </c>
      <c r="G216" s="93">
        <f t="shared" si="12"/>
        <v>27371.471355363166</v>
      </c>
      <c r="I216" s="138">
        <f t="shared" si="13"/>
        <v>1.3478705832622468E-2</v>
      </c>
      <c r="J216" s="108">
        <v>284599.50353534252</v>
      </c>
      <c r="K216">
        <f t="shared" si="14"/>
        <v>3836.03298826328</v>
      </c>
      <c r="L216" s="108">
        <f t="shared" ref="L216:L237" si="15">F216+K216</f>
        <v>16964.385976526559</v>
      </c>
    </row>
    <row r="217" spans="1:12" x14ac:dyDescent="0.25">
      <c r="A217" t="s">
        <v>191</v>
      </c>
      <c r="B217" s="91">
        <v>39813</v>
      </c>
      <c r="C217" s="92">
        <v>275</v>
      </c>
      <c r="D217" s="92">
        <v>131.9</v>
      </c>
      <c r="E217" s="92">
        <f t="shared" si="11"/>
        <v>2.0849128127369219</v>
      </c>
      <c r="F217" s="93">
        <v>13128.352988263279</v>
      </c>
      <c r="G217" s="93">
        <f t="shared" si="12"/>
        <v>27371.471355363166</v>
      </c>
      <c r="I217" s="138">
        <f t="shared" si="13"/>
        <v>1.3478705832622468E-2</v>
      </c>
      <c r="J217" s="108">
        <v>284599.50353534252</v>
      </c>
      <c r="K217">
        <f t="shared" si="14"/>
        <v>3836.03298826328</v>
      </c>
      <c r="L217" s="108">
        <f t="shared" si="15"/>
        <v>16964.385976526559</v>
      </c>
    </row>
    <row r="218" spans="1:12" x14ac:dyDescent="0.25">
      <c r="A218" t="s">
        <v>191</v>
      </c>
      <c r="B218" s="91">
        <v>39813</v>
      </c>
      <c r="C218" s="92">
        <v>275</v>
      </c>
      <c r="D218" s="92">
        <v>131.9</v>
      </c>
      <c r="E218" s="92">
        <f t="shared" si="11"/>
        <v>2.0849128127369219</v>
      </c>
      <c r="F218" s="93">
        <v>3802.2311646750941</v>
      </c>
      <c r="G218" s="93">
        <f t="shared" si="12"/>
        <v>7927.3204722187329</v>
      </c>
      <c r="I218" s="138">
        <f t="shared" si="13"/>
        <v>3.9037002906687343E-3</v>
      </c>
      <c r="J218" s="108">
        <v>284599.50353534252</v>
      </c>
      <c r="K218">
        <f t="shared" si="14"/>
        <v>1110.9911646750941</v>
      </c>
      <c r="L218" s="108">
        <f t="shared" si="15"/>
        <v>4913.2223293501884</v>
      </c>
    </row>
    <row r="219" spans="1:12" x14ac:dyDescent="0.25">
      <c r="A219" t="s">
        <v>191</v>
      </c>
      <c r="B219" s="91">
        <v>39813</v>
      </c>
      <c r="C219" s="92">
        <v>275</v>
      </c>
      <c r="D219" s="92">
        <v>131.9</v>
      </c>
      <c r="E219" s="92">
        <f t="shared" si="11"/>
        <v>2.0849128127369219</v>
      </c>
      <c r="F219" s="93">
        <v>7453.7429506817889</v>
      </c>
      <c r="G219" s="93">
        <f t="shared" si="12"/>
        <v>15540.404180723972</v>
      </c>
      <c r="I219" s="138">
        <f t="shared" si="13"/>
        <v>7.6526589949280268E-3</v>
      </c>
      <c r="J219" s="108">
        <v>284599.50353534252</v>
      </c>
      <c r="K219">
        <f t="shared" si="14"/>
        <v>2177.9429506817896</v>
      </c>
      <c r="L219" s="108">
        <f t="shared" si="15"/>
        <v>9631.6859013635785</v>
      </c>
    </row>
    <row r="220" spans="1:12" x14ac:dyDescent="0.25">
      <c r="A220" t="s">
        <v>192</v>
      </c>
      <c r="B220" s="91">
        <v>39813</v>
      </c>
      <c r="C220" s="92">
        <v>275</v>
      </c>
      <c r="D220" s="92">
        <v>131.9</v>
      </c>
      <c r="E220" s="92">
        <f t="shared" si="11"/>
        <v>2.0849128127369219</v>
      </c>
      <c r="F220" s="93">
        <v>421.6412764322896</v>
      </c>
      <c r="G220" s="93">
        <f t="shared" si="12"/>
        <v>879.08529961243096</v>
      </c>
      <c r="I220" s="138">
        <f t="shared" si="13"/>
        <v>4.3289350438726275E-4</v>
      </c>
      <c r="J220" s="108">
        <v>284599.50353534252</v>
      </c>
      <c r="K220">
        <f t="shared" si="14"/>
        <v>123.2012764322896</v>
      </c>
      <c r="L220" s="108">
        <f t="shared" si="15"/>
        <v>544.84255286457915</v>
      </c>
    </row>
    <row r="221" spans="1:12" x14ac:dyDescent="0.25">
      <c r="A221" t="s">
        <v>193</v>
      </c>
      <c r="B221" s="91">
        <v>39840</v>
      </c>
      <c r="C221" s="92">
        <v>275</v>
      </c>
      <c r="D221" s="92">
        <v>135.1</v>
      </c>
      <c r="E221" s="92">
        <f t="shared" si="11"/>
        <v>2.0355292376017764</v>
      </c>
      <c r="F221" s="93">
        <v>1166.5917262286227</v>
      </c>
      <c r="G221" s="93">
        <f t="shared" si="12"/>
        <v>2374.6315670826889</v>
      </c>
      <c r="I221" s="138">
        <f t="shared" si="13"/>
        <v>1.1977242475628288E-3</v>
      </c>
      <c r="J221" s="108">
        <v>284599.50353534252</v>
      </c>
      <c r="K221">
        <f t="shared" si="14"/>
        <v>340.87172622862278</v>
      </c>
      <c r="L221" s="108">
        <f t="shared" si="15"/>
        <v>1507.4634524572455</v>
      </c>
    </row>
    <row r="222" spans="1:12" x14ac:dyDescent="0.25">
      <c r="A222" t="s">
        <v>194</v>
      </c>
      <c r="B222" s="91">
        <v>39882</v>
      </c>
      <c r="C222" s="92">
        <v>275</v>
      </c>
      <c r="D222" s="92">
        <v>139</v>
      </c>
      <c r="E222" s="92">
        <f t="shared" si="11"/>
        <v>1.9784172661870503</v>
      </c>
      <c r="F222" s="93">
        <v>23546.978384561429</v>
      </c>
      <c r="G222" s="93">
        <f t="shared" si="12"/>
        <v>46585.748602549589</v>
      </c>
      <c r="I222" s="138">
        <f t="shared" si="13"/>
        <v>2.4175370297886023E-2</v>
      </c>
      <c r="J222" s="108">
        <v>284599.50353534252</v>
      </c>
      <c r="K222">
        <f t="shared" si="14"/>
        <v>6880.2983845614281</v>
      </c>
      <c r="L222" s="108">
        <f t="shared" si="15"/>
        <v>30427.276769122858</v>
      </c>
    </row>
    <row r="223" spans="1:12" x14ac:dyDescent="0.25">
      <c r="A223" t="s">
        <v>195</v>
      </c>
      <c r="B223" s="91">
        <v>39882</v>
      </c>
      <c r="C223" s="92">
        <v>275</v>
      </c>
      <c r="D223" s="92">
        <v>139</v>
      </c>
      <c r="E223" s="92">
        <f t="shared" si="11"/>
        <v>1.9784172661870503</v>
      </c>
      <c r="F223" s="93">
        <v>23546.978384561429</v>
      </c>
      <c r="G223" s="93">
        <f t="shared" si="12"/>
        <v>46585.748602549589</v>
      </c>
      <c r="I223" s="138">
        <f t="shared" si="13"/>
        <v>2.4175370297886023E-2</v>
      </c>
      <c r="J223" s="108">
        <v>284599.50353534252</v>
      </c>
      <c r="K223">
        <f t="shared" si="14"/>
        <v>6880.2983845614281</v>
      </c>
      <c r="L223" s="108">
        <f t="shared" si="15"/>
        <v>30427.276769122858</v>
      </c>
    </row>
    <row r="224" spans="1:12" x14ac:dyDescent="0.25">
      <c r="A224" t="s">
        <v>196</v>
      </c>
      <c r="B224" s="91">
        <v>40209</v>
      </c>
      <c r="C224" s="92">
        <v>275</v>
      </c>
      <c r="D224" s="92">
        <v>171.4</v>
      </c>
      <c r="E224" s="92">
        <f t="shared" si="11"/>
        <v>1.6044340723453909</v>
      </c>
      <c r="F224" s="93">
        <v>4528.1933462927309</v>
      </c>
      <c r="G224" s="93">
        <f t="shared" si="12"/>
        <v>7265.1876909597495</v>
      </c>
      <c r="I224" s="138">
        <f t="shared" si="13"/>
        <v>4.6490360308320865E-3</v>
      </c>
      <c r="J224" s="108">
        <v>284599.50353534252</v>
      </c>
      <c r="K224">
        <f t="shared" si="14"/>
        <v>1323.1133462927312</v>
      </c>
      <c r="L224" s="108">
        <f t="shared" si="15"/>
        <v>5851.3066925854619</v>
      </c>
    </row>
    <row r="225" spans="1:12" x14ac:dyDescent="0.25">
      <c r="A225" t="s">
        <v>197</v>
      </c>
      <c r="B225" s="91">
        <v>40209</v>
      </c>
      <c r="C225" s="92">
        <v>275</v>
      </c>
      <c r="D225" s="92">
        <v>171.4</v>
      </c>
      <c r="E225" s="92">
        <f t="shared" si="11"/>
        <v>1.6044340723453909</v>
      </c>
      <c r="F225" s="93">
        <v>107.31762283137891</v>
      </c>
      <c r="G225" s="93">
        <f t="shared" si="12"/>
        <v>172.18405063377597</v>
      </c>
      <c r="I225" s="138">
        <f t="shared" si="13"/>
        <v>1.1018157952438172E-4</v>
      </c>
      <c r="J225" s="108">
        <v>284599.50353534252</v>
      </c>
      <c r="K225">
        <f t="shared" si="14"/>
        <v>31.357622831378901</v>
      </c>
      <c r="L225" s="108">
        <f t="shared" si="15"/>
        <v>138.67524566275782</v>
      </c>
    </row>
    <row r="226" spans="1:12" x14ac:dyDescent="0.25">
      <c r="A226" t="s">
        <v>198</v>
      </c>
      <c r="B226" s="91">
        <v>40487</v>
      </c>
      <c r="C226" s="92">
        <v>275</v>
      </c>
      <c r="D226" s="92">
        <v>209.7</v>
      </c>
      <c r="E226" s="92">
        <f t="shared" si="11"/>
        <v>1.3113972341440154</v>
      </c>
      <c r="F226" s="93">
        <v>49.505127751599744</v>
      </c>
      <c r="G226" s="93">
        <f t="shared" si="12"/>
        <v>64.920887609394043</v>
      </c>
      <c r="I226" s="138">
        <f t="shared" si="13"/>
        <v>5.0826257853269292E-5</v>
      </c>
      <c r="J226" s="108">
        <v>284599.50353534252</v>
      </c>
      <c r="K226">
        <f t="shared" si="14"/>
        <v>14.465127751599745</v>
      </c>
      <c r="L226" s="108">
        <f t="shared" si="15"/>
        <v>63.970255503199489</v>
      </c>
    </row>
    <row r="227" spans="1:12" x14ac:dyDescent="0.25">
      <c r="A227" t="s">
        <v>199</v>
      </c>
      <c r="B227" s="91">
        <v>40497</v>
      </c>
      <c r="C227" s="92">
        <v>275</v>
      </c>
      <c r="D227" s="92">
        <v>209.7</v>
      </c>
      <c r="E227" s="92">
        <f t="shared" si="11"/>
        <v>1.3113972341440154</v>
      </c>
      <c r="F227" s="93">
        <v>7.1206005670109214</v>
      </c>
      <c r="G227" s="93">
        <f t="shared" si="12"/>
        <v>9.3379358890224307</v>
      </c>
      <c r="I227" s="138">
        <f t="shared" si="13"/>
        <v>7.310626129579829E-6</v>
      </c>
      <c r="J227" s="108">
        <v>284599.50353534252</v>
      </c>
      <c r="K227">
        <f t="shared" si="14"/>
        <v>2.0806005670109218</v>
      </c>
      <c r="L227" s="108">
        <f t="shared" si="15"/>
        <v>9.2012011340218436</v>
      </c>
    </row>
    <row r="228" spans="1:12" x14ac:dyDescent="0.25">
      <c r="A228" t="s">
        <v>200</v>
      </c>
      <c r="B228" s="91">
        <v>40499</v>
      </c>
      <c r="C228" s="92">
        <v>275</v>
      </c>
      <c r="D228" s="92">
        <v>209.7</v>
      </c>
      <c r="E228" s="92">
        <f t="shared" si="11"/>
        <v>1.3113972341440154</v>
      </c>
      <c r="F228" s="93">
        <v>130.37480561979521</v>
      </c>
      <c r="G228" s="93">
        <f t="shared" si="12"/>
        <v>170.97315949186307</v>
      </c>
      <c r="I228" s="138">
        <f t="shared" si="13"/>
        <v>1.3385408318206877E-4</v>
      </c>
      <c r="J228" s="108">
        <v>284599.50353534252</v>
      </c>
      <c r="K228">
        <f t="shared" si="14"/>
        <v>38.094805619795217</v>
      </c>
      <c r="L228" s="108">
        <f t="shared" si="15"/>
        <v>168.46961123959042</v>
      </c>
    </row>
    <row r="229" spans="1:12" x14ac:dyDescent="0.25">
      <c r="A229" t="s">
        <v>199</v>
      </c>
      <c r="B229" s="91">
        <v>40500</v>
      </c>
      <c r="C229" s="92">
        <v>275</v>
      </c>
      <c r="D229" s="92">
        <v>209.7</v>
      </c>
      <c r="E229" s="92">
        <f t="shared" si="11"/>
        <v>1.3113972341440154</v>
      </c>
      <c r="F229" s="93">
        <v>252.27270580267265</v>
      </c>
      <c r="G229" s="93">
        <f t="shared" si="12"/>
        <v>330.82972863965182</v>
      </c>
      <c r="I229" s="138">
        <f t="shared" si="13"/>
        <v>2.5900504001939966E-4</v>
      </c>
      <c r="J229" s="108">
        <v>284599.50353534252</v>
      </c>
      <c r="K229">
        <f t="shared" si="14"/>
        <v>73.712705802672659</v>
      </c>
      <c r="L229" s="108">
        <f t="shared" si="15"/>
        <v>325.98541160534529</v>
      </c>
    </row>
    <row r="230" spans="1:12" x14ac:dyDescent="0.25">
      <c r="A230" t="s">
        <v>199</v>
      </c>
      <c r="B230" s="91">
        <v>40500</v>
      </c>
      <c r="C230" s="92">
        <v>275</v>
      </c>
      <c r="D230" s="92">
        <v>209.7</v>
      </c>
      <c r="E230" s="92">
        <f t="shared" si="11"/>
        <v>1.3113972341440154</v>
      </c>
      <c r="F230" s="93">
        <v>252.27270580267265</v>
      </c>
      <c r="G230" s="93">
        <f t="shared" si="12"/>
        <v>330.82972863965182</v>
      </c>
      <c r="I230" s="138">
        <f t="shared" si="13"/>
        <v>2.5900504001939966E-4</v>
      </c>
      <c r="J230" s="108">
        <v>284599.50353534252</v>
      </c>
      <c r="K230">
        <f t="shared" si="14"/>
        <v>73.712705802672659</v>
      </c>
      <c r="L230" s="108">
        <f t="shared" si="15"/>
        <v>325.98541160534529</v>
      </c>
    </row>
    <row r="231" spans="1:12" x14ac:dyDescent="0.25">
      <c r="A231" t="s">
        <v>201</v>
      </c>
      <c r="B231" s="91">
        <v>40501</v>
      </c>
      <c r="C231" s="92">
        <v>275</v>
      </c>
      <c r="D231" s="92">
        <v>209.7</v>
      </c>
      <c r="E231" s="92">
        <f t="shared" si="11"/>
        <v>1.3113972341440154</v>
      </c>
      <c r="F231" s="93">
        <v>63072.245365277879</v>
      </c>
      <c r="G231" s="93">
        <f t="shared" si="12"/>
        <v>82712.768123278103</v>
      </c>
      <c r="I231" s="138">
        <f t="shared" si="13"/>
        <v>6.4755437505495381E-2</v>
      </c>
      <c r="J231" s="108">
        <v>284599.50353534252</v>
      </c>
      <c r="K231">
        <f t="shared" si="14"/>
        <v>18429.365365277885</v>
      </c>
      <c r="L231" s="108">
        <f t="shared" si="15"/>
        <v>81501.610730555767</v>
      </c>
    </row>
    <row r="232" spans="1:12" x14ac:dyDescent="0.25">
      <c r="A232" t="s">
        <v>202</v>
      </c>
      <c r="B232" s="91">
        <v>40502</v>
      </c>
      <c r="C232" s="92">
        <v>275</v>
      </c>
      <c r="D232" s="92">
        <v>209.7</v>
      </c>
      <c r="E232" s="92">
        <f t="shared" si="11"/>
        <v>1.3113972341440154</v>
      </c>
      <c r="F232" s="93">
        <v>1513.8057729247744</v>
      </c>
      <c r="G232" s="93">
        <f t="shared" si="12"/>
        <v>1985.2007036447926</v>
      </c>
      <c r="I232" s="138">
        <f t="shared" si="13"/>
        <v>1.5542043026432928E-3</v>
      </c>
      <c r="J232" s="108">
        <v>284599.50353534252</v>
      </c>
      <c r="K232">
        <f t="shared" si="14"/>
        <v>442.32577292477436</v>
      </c>
      <c r="L232" s="108">
        <f t="shared" si="15"/>
        <v>1956.1315458495487</v>
      </c>
    </row>
    <row r="233" spans="1:12" x14ac:dyDescent="0.25">
      <c r="A233" t="s">
        <v>203</v>
      </c>
      <c r="B233" s="91">
        <v>40507</v>
      </c>
      <c r="C233" s="92">
        <v>275</v>
      </c>
      <c r="D233" s="92">
        <v>209.7</v>
      </c>
      <c r="E233" s="92">
        <f t="shared" si="11"/>
        <v>1.3113972341440154</v>
      </c>
      <c r="F233" s="93">
        <v>21024.08178842596</v>
      </c>
      <c r="G233" s="93">
        <f t="shared" si="12"/>
        <v>27570.922707759368</v>
      </c>
      <c r="I233" s="138">
        <f t="shared" si="13"/>
        <v>2.1585145835165128E-2</v>
      </c>
      <c r="J233" s="108">
        <v>284599.50353534252</v>
      </c>
      <c r="K233">
        <f t="shared" si="14"/>
        <v>6143.1217884259613</v>
      </c>
      <c r="L233" s="108">
        <f t="shared" si="15"/>
        <v>27167.20357685192</v>
      </c>
    </row>
    <row r="234" spans="1:12" x14ac:dyDescent="0.25">
      <c r="A234" t="s">
        <v>203</v>
      </c>
      <c r="B234" s="91">
        <v>40519</v>
      </c>
      <c r="C234" s="92">
        <v>275</v>
      </c>
      <c r="D234" s="92">
        <v>213.2</v>
      </c>
      <c r="E234" s="92">
        <f t="shared" si="11"/>
        <v>1.2898686679174485</v>
      </c>
      <c r="F234" s="93">
        <v>16.784272765097171</v>
      </c>
      <c r="G234" s="93">
        <f t="shared" si="12"/>
        <v>21.649507553478998</v>
      </c>
      <c r="I234" s="138">
        <f t="shared" si="13"/>
        <v>1.7232190162581025E-5</v>
      </c>
      <c r="J234" s="108">
        <v>284599.50353534252</v>
      </c>
      <c r="K234">
        <f t="shared" si="14"/>
        <v>4.9042727650971729</v>
      </c>
      <c r="L234" s="108">
        <f t="shared" si="15"/>
        <v>21.688545530194343</v>
      </c>
    </row>
    <row r="235" spans="1:12" x14ac:dyDescent="0.25">
      <c r="A235" t="s">
        <v>204</v>
      </c>
      <c r="B235" s="91">
        <v>40630</v>
      </c>
      <c r="C235" s="92">
        <v>275</v>
      </c>
      <c r="D235" s="92">
        <v>229.3</v>
      </c>
      <c r="E235" s="92">
        <f t="shared" si="11"/>
        <v>1.1993022241604885</v>
      </c>
      <c r="F235" s="93">
        <v>0</v>
      </c>
      <c r="G235" s="93">
        <f t="shared" si="12"/>
        <v>0</v>
      </c>
      <c r="I235" s="138">
        <f t="shared" si="13"/>
        <v>0</v>
      </c>
      <c r="J235" s="108">
        <v>284599.50353534252</v>
      </c>
      <c r="K235">
        <f t="shared" si="14"/>
        <v>0</v>
      </c>
      <c r="L235" s="108">
        <f t="shared" si="15"/>
        <v>0</v>
      </c>
    </row>
    <row r="236" spans="1:12" x14ac:dyDescent="0.25">
      <c r="A236" t="s">
        <v>205</v>
      </c>
      <c r="B236" s="91">
        <v>40659</v>
      </c>
      <c r="C236" s="92">
        <v>275</v>
      </c>
      <c r="D236" s="92">
        <v>232.3</v>
      </c>
      <c r="E236" s="92">
        <f t="shared" si="11"/>
        <v>1.1838140335772707</v>
      </c>
      <c r="F236" s="93">
        <v>0</v>
      </c>
      <c r="G236" s="93">
        <f t="shared" si="12"/>
        <v>0</v>
      </c>
      <c r="I236" s="138">
        <f t="shared" si="13"/>
        <v>0</v>
      </c>
      <c r="J236" s="108">
        <v>284599.50353534252</v>
      </c>
      <c r="K236">
        <f t="shared" si="14"/>
        <v>0</v>
      </c>
      <c r="L236" s="108">
        <f t="shared" si="15"/>
        <v>0</v>
      </c>
    </row>
    <row r="237" spans="1:12" ht="15.75" thickBot="1" x14ac:dyDescent="0.3">
      <c r="A237" t="s">
        <v>206</v>
      </c>
      <c r="B237" s="91">
        <v>40787</v>
      </c>
      <c r="C237" s="92">
        <v>275</v>
      </c>
      <c r="D237" s="92">
        <v>258.5</v>
      </c>
      <c r="E237" s="92">
        <f t="shared" si="11"/>
        <v>1.0638297872340425</v>
      </c>
      <c r="F237" s="94">
        <v>0</v>
      </c>
      <c r="G237" s="94">
        <f t="shared" si="12"/>
        <v>0</v>
      </c>
      <c r="I237" s="138">
        <f t="shared" si="13"/>
        <v>0</v>
      </c>
      <c r="J237" s="108">
        <v>284599.50353534252</v>
      </c>
      <c r="K237">
        <f t="shared" si="14"/>
        <v>0</v>
      </c>
      <c r="L237" s="108">
        <f t="shared" si="15"/>
        <v>0</v>
      </c>
    </row>
    <row r="238" spans="1:12" ht="15.75" thickTop="1" x14ac:dyDescent="0.25">
      <c r="A238" s="133" t="s">
        <v>133</v>
      </c>
      <c r="B238" s="133"/>
      <c r="C238" s="133"/>
      <c r="D238" s="133"/>
      <c r="E238" s="133"/>
      <c r="F238" s="95">
        <f>SUM(F184:F237)</f>
        <v>974006.93740854331</v>
      </c>
      <c r="G238" s="95">
        <f>SUM(G184:G237)</f>
        <v>2933232.5082961451</v>
      </c>
    </row>
    <row r="239" spans="1:12" x14ac:dyDescent="0.25">
      <c r="A239" s="110"/>
      <c r="B239" s="110"/>
      <c r="C239" s="110"/>
      <c r="D239" s="110"/>
      <c r="E239" s="110"/>
      <c r="F239" s="95"/>
      <c r="G239" s="95"/>
    </row>
    <row r="240" spans="1:12" ht="15.75" x14ac:dyDescent="0.25">
      <c r="A240" s="90"/>
      <c r="B240" s="52"/>
      <c r="C240" s="52"/>
      <c r="D240" s="52"/>
      <c r="E240" s="52"/>
      <c r="F240" s="96"/>
      <c r="G240" s="93"/>
    </row>
    <row r="241" spans="1:15" ht="15.75" x14ac:dyDescent="0.25">
      <c r="A241" s="178" t="s">
        <v>136</v>
      </c>
      <c r="B241" s="178"/>
      <c r="C241" s="178"/>
      <c r="D241" s="178"/>
      <c r="E241" s="178"/>
      <c r="F241" s="178"/>
      <c r="G241" s="178"/>
    </row>
    <row r="242" spans="1:15" x14ac:dyDescent="0.25">
      <c r="A242" s="136"/>
      <c r="B242" s="136"/>
      <c r="C242" s="136"/>
      <c r="D242" s="136"/>
      <c r="E242" s="136"/>
      <c r="F242" s="136"/>
      <c r="G242" s="136"/>
    </row>
    <row r="243" spans="1:15" x14ac:dyDescent="0.25">
      <c r="A243" s="133" t="s">
        <v>118</v>
      </c>
      <c r="B243" s="133" t="s">
        <v>119</v>
      </c>
      <c r="C243" s="133" t="s">
        <v>120</v>
      </c>
      <c r="D243" s="133" t="s">
        <v>121</v>
      </c>
      <c r="E243" s="133" t="s">
        <v>122</v>
      </c>
      <c r="F243" s="133" t="s">
        <v>123</v>
      </c>
      <c r="G243" s="133" t="s">
        <v>124</v>
      </c>
      <c r="O243" t="s">
        <v>262</v>
      </c>
    </row>
    <row r="244" spans="1:15" x14ac:dyDescent="0.25">
      <c r="A244" t="s">
        <v>207</v>
      </c>
      <c r="B244" s="91">
        <v>39113</v>
      </c>
      <c r="C244" s="92">
        <v>275</v>
      </c>
      <c r="D244" s="92">
        <v>83.294548649999996</v>
      </c>
      <c r="E244" s="92">
        <f>C244/D244</f>
        <v>3.3015365886132333</v>
      </c>
      <c r="F244" s="93">
        <v>169.78733250332456</v>
      </c>
      <c r="G244" s="93">
        <f>F244*E244</f>
        <v>560.55909054276697</v>
      </c>
      <c r="H244">
        <f t="shared" ref="H244:H256" si="16">F244/$F$257</f>
        <v>3.9824400617715318E-3</v>
      </c>
      <c r="I244" s="108">
        <v>12457.420523798704</v>
      </c>
      <c r="J244">
        <f>I244*H244</f>
        <v>49.610930560310862</v>
      </c>
      <c r="K244" s="108">
        <f t="shared" ref="K244:K256" si="17">F244+J244</f>
        <v>219.39826306363543</v>
      </c>
      <c r="L244" s="108">
        <f>'Calculos 2010'!F248</f>
        <v>689407.43387320091</v>
      </c>
      <c r="M244">
        <f>L244/$L$248</f>
        <v>0.53633388266257276</v>
      </c>
      <c r="N244" s="108">
        <v>530638.68000000005</v>
      </c>
      <c r="O244" s="108">
        <f>N244*M244</f>
        <v>284599.50353534252</v>
      </c>
    </row>
    <row r="245" spans="1:15" x14ac:dyDescent="0.25">
      <c r="A245" t="s">
        <v>208</v>
      </c>
      <c r="B245" s="91">
        <v>39114</v>
      </c>
      <c r="C245" s="92">
        <v>275</v>
      </c>
      <c r="D245" s="92">
        <v>84.436516810000001</v>
      </c>
      <c r="E245" s="92">
        <f t="shared" ref="E245:E254" si="18">C245/D245</f>
        <v>3.256884703318685</v>
      </c>
      <c r="F245" s="93">
        <v>1167.3045449170495</v>
      </c>
      <c r="G245" s="93">
        <f t="shared" ref="G245:G254" si="19">F245*E245</f>
        <v>3801.7763164547173</v>
      </c>
      <c r="H245">
        <f t="shared" si="16"/>
        <v>2.737966558179256E-2</v>
      </c>
      <c r="I245" s="108">
        <v>12457.420523798704</v>
      </c>
      <c r="J245">
        <f t="shared" ref="J245:J256" si="20">I245*H245</f>
        <v>341.08000795336761</v>
      </c>
      <c r="K245" s="108">
        <f t="shared" si="17"/>
        <v>1508.3845528704171</v>
      </c>
      <c r="L245" s="108">
        <f>'Calculos 2010'!F267</f>
        <v>30176.575184801386</v>
      </c>
      <c r="M245">
        <f>L245/$L$248</f>
        <v>2.3476276783665116E-2</v>
      </c>
      <c r="N245" s="108">
        <v>530638.68000000005</v>
      </c>
      <c r="O245" s="108">
        <f>N245*M245</f>
        <v>12457.420523798704</v>
      </c>
    </row>
    <row r="246" spans="1:15" x14ac:dyDescent="0.25">
      <c r="A246" t="s">
        <v>208</v>
      </c>
      <c r="B246" s="91">
        <v>39173</v>
      </c>
      <c r="C246" s="92">
        <v>275</v>
      </c>
      <c r="D246" s="92">
        <v>84.994287389999997</v>
      </c>
      <c r="E246" s="92">
        <f t="shared" si="18"/>
        <v>3.2355115672439312</v>
      </c>
      <c r="F246" s="93">
        <v>1814.6134574633902</v>
      </c>
      <c r="G246" s="93">
        <f t="shared" si="19"/>
        <v>5871.2028316993019</v>
      </c>
      <c r="H246">
        <f t="shared" si="16"/>
        <v>4.2562594176396844E-2</v>
      </c>
      <c r="I246" s="108">
        <v>12457.420523798704</v>
      </c>
      <c r="J246">
        <f t="shared" si="20"/>
        <v>530.22013423916121</v>
      </c>
      <c r="K246" s="108">
        <f t="shared" si="17"/>
        <v>2344.8335917025515</v>
      </c>
      <c r="L246" s="108">
        <f>'Calculos 2010'!F288</f>
        <v>111912.71000000002</v>
      </c>
      <c r="M246">
        <f>L246/$L$248</f>
        <v>8.7064013708662999E-2</v>
      </c>
      <c r="N246" s="108">
        <v>530638.68000000005</v>
      </c>
      <c r="O246" s="108">
        <f>N246*M246</f>
        <v>46199.533309866842</v>
      </c>
    </row>
    <row r="247" spans="1:15" x14ac:dyDescent="0.25">
      <c r="A247" t="s">
        <v>209</v>
      </c>
      <c r="B247" s="91">
        <v>39203</v>
      </c>
      <c r="C247" s="92">
        <v>275</v>
      </c>
      <c r="D247" s="92">
        <v>86.468087789999998</v>
      </c>
      <c r="E247" s="92">
        <f t="shared" si="18"/>
        <v>3.1803640745228048</v>
      </c>
      <c r="F247" s="93">
        <v>2005.3414292658424</v>
      </c>
      <c r="G247" s="93">
        <f t="shared" si="19"/>
        <v>6377.7158387892996</v>
      </c>
      <c r="H247">
        <f t="shared" si="16"/>
        <v>4.7036206574964004E-2</v>
      </c>
      <c r="I247" s="108">
        <v>12457.420523798704</v>
      </c>
      <c r="J247">
        <f t="shared" si="20"/>
        <v>585.94980514859219</v>
      </c>
      <c r="K247" s="108">
        <f t="shared" si="17"/>
        <v>2591.2912344144347</v>
      </c>
      <c r="L247" s="108">
        <f>'Calculos 2010'!F313</f>
        <v>453910.47999999992</v>
      </c>
      <c r="M247">
        <f>L247/$L$248</f>
        <v>0.35312582684509908</v>
      </c>
      <c r="N247" s="108">
        <v>530638.68000000005</v>
      </c>
      <c r="O247" s="108">
        <f>N247*M247</f>
        <v>187382.22263099195</v>
      </c>
    </row>
    <row r="248" spans="1:15" x14ac:dyDescent="0.25">
      <c r="A248" t="s">
        <v>210</v>
      </c>
      <c r="B248" s="91">
        <v>39513</v>
      </c>
      <c r="C248" s="92">
        <v>275</v>
      </c>
      <c r="D248" s="92">
        <v>108.2</v>
      </c>
      <c r="E248" s="92">
        <f t="shared" si="18"/>
        <v>2.5415896487985212</v>
      </c>
      <c r="F248" s="93">
        <v>2286.3524692886231</v>
      </c>
      <c r="G248" s="93">
        <f t="shared" si="19"/>
        <v>5810.9697694489032</v>
      </c>
      <c r="H248">
        <f t="shared" si="16"/>
        <v>5.3627449909120821E-2</v>
      </c>
      <c r="I248" s="108">
        <v>12457.420523798704</v>
      </c>
      <c r="J248">
        <f t="shared" si="20"/>
        <v>668.05969513686864</v>
      </c>
      <c r="K248" s="108">
        <f t="shared" si="17"/>
        <v>2954.4121644254919</v>
      </c>
      <c r="L248" s="108">
        <f>SUM(L244:L247)</f>
        <v>1285407.1990580023</v>
      </c>
      <c r="O248">
        <f>SUM(O244:O247)</f>
        <v>530638.67999999993</v>
      </c>
    </row>
    <row r="249" spans="1:15" x14ac:dyDescent="0.25">
      <c r="A249" t="s">
        <v>211</v>
      </c>
      <c r="B249" s="91">
        <v>39514</v>
      </c>
      <c r="C249" s="92">
        <v>275</v>
      </c>
      <c r="D249" s="92">
        <v>108.2</v>
      </c>
      <c r="E249" s="92">
        <f t="shared" si="18"/>
        <v>2.5415896487985212</v>
      </c>
      <c r="F249" s="93">
        <v>4195.2290471557117</v>
      </c>
      <c r="G249" s="93">
        <f t="shared" si="19"/>
        <v>10662.550720589839</v>
      </c>
      <c r="H249">
        <f t="shared" si="16"/>
        <v>9.840102897766756E-2</v>
      </c>
      <c r="I249" s="108">
        <v>12457.420523798704</v>
      </c>
      <c r="J249">
        <f t="shared" si="20"/>
        <v>1225.8229979493069</v>
      </c>
      <c r="K249" s="108">
        <f t="shared" si="17"/>
        <v>5421.0520451050188</v>
      </c>
    </row>
    <row r="250" spans="1:15" x14ac:dyDescent="0.25">
      <c r="A250" t="s">
        <v>212</v>
      </c>
      <c r="B250" s="91">
        <v>39533</v>
      </c>
      <c r="C250" s="92">
        <v>275</v>
      </c>
      <c r="D250" s="92">
        <v>108.2</v>
      </c>
      <c r="E250" s="92">
        <f t="shared" si="18"/>
        <v>2.5415896487985212</v>
      </c>
      <c r="F250" s="93">
        <v>14428.136769368015</v>
      </c>
      <c r="G250" s="93">
        <f t="shared" si="19"/>
        <v>36670.403064475082</v>
      </c>
      <c r="H250">
        <f t="shared" si="16"/>
        <v>0.33841859130406549</v>
      </c>
      <c r="I250" s="108">
        <v>12457.420523798704</v>
      </c>
      <c r="J250">
        <f t="shared" si="20"/>
        <v>4215.8227049463112</v>
      </c>
      <c r="K250" s="108">
        <f t="shared" si="17"/>
        <v>18643.959474314324</v>
      </c>
    </row>
    <row r="251" spans="1:15" x14ac:dyDescent="0.25">
      <c r="A251" t="s">
        <v>213</v>
      </c>
      <c r="B251" s="91">
        <v>39562</v>
      </c>
      <c r="C251" s="92">
        <v>275</v>
      </c>
      <c r="D251" s="92">
        <v>109.9</v>
      </c>
      <c r="E251" s="92">
        <f t="shared" si="18"/>
        <v>2.5022747952684257</v>
      </c>
      <c r="F251" s="93">
        <v>1786.8619689872501</v>
      </c>
      <c r="G251" s="93">
        <f t="shared" si="19"/>
        <v>4471.2196676205067</v>
      </c>
      <c r="H251">
        <f t="shared" si="16"/>
        <v>4.1911670236125818E-2</v>
      </c>
      <c r="I251" s="108">
        <v>12457.420523798704</v>
      </c>
      <c r="J251">
        <f t="shared" si="20"/>
        <v>522.11130098619708</v>
      </c>
      <c r="K251" s="108">
        <f t="shared" si="17"/>
        <v>2308.9732699734473</v>
      </c>
    </row>
    <row r="252" spans="1:15" x14ac:dyDescent="0.25">
      <c r="A252" t="s">
        <v>214</v>
      </c>
      <c r="B252" s="91">
        <v>39687</v>
      </c>
      <c r="C252" s="92">
        <v>275</v>
      </c>
      <c r="D252" s="92">
        <v>120.2</v>
      </c>
      <c r="E252" s="92">
        <f t="shared" si="18"/>
        <v>2.287853577371048</v>
      </c>
      <c r="F252" s="93">
        <v>3561.7595865782914</v>
      </c>
      <c r="G252" s="93">
        <f t="shared" si="19"/>
        <v>8148.7844118887688</v>
      </c>
      <c r="H252">
        <f t="shared" si="16"/>
        <v>8.3542711101315253E-2</v>
      </c>
      <c r="I252" s="108">
        <v>12457.420523798704</v>
      </c>
      <c r="J252">
        <f t="shared" si="20"/>
        <v>1040.7266838873104</v>
      </c>
      <c r="K252" s="108">
        <f t="shared" si="17"/>
        <v>4602.4862704656016</v>
      </c>
    </row>
    <row r="253" spans="1:15" x14ac:dyDescent="0.25">
      <c r="A253" t="s">
        <v>214</v>
      </c>
      <c r="B253" s="91">
        <v>39687</v>
      </c>
      <c r="C253" s="92">
        <v>275</v>
      </c>
      <c r="D253" s="92">
        <v>120.2</v>
      </c>
      <c r="E253" s="92">
        <f t="shared" si="18"/>
        <v>2.287853577371048</v>
      </c>
      <c r="F253" s="93">
        <v>2507.3844858307134</v>
      </c>
      <c r="G253" s="93">
        <f t="shared" si="19"/>
        <v>5736.5285657524637</v>
      </c>
      <c r="H253">
        <f t="shared" si="16"/>
        <v>5.8811857630433791E-2</v>
      </c>
      <c r="I253" s="108">
        <v>12457.420523798704</v>
      </c>
      <c r="J253">
        <f t="shared" si="20"/>
        <v>732.64404228809337</v>
      </c>
      <c r="K253" s="108">
        <f t="shared" si="17"/>
        <v>3240.0285281188067</v>
      </c>
    </row>
    <row r="254" spans="1:15" x14ac:dyDescent="0.25">
      <c r="A254" t="s">
        <v>215</v>
      </c>
      <c r="B254" s="91">
        <v>39757</v>
      </c>
      <c r="C254" s="92">
        <v>275</v>
      </c>
      <c r="D254" s="92">
        <v>128.5</v>
      </c>
      <c r="E254" s="92">
        <f t="shared" si="18"/>
        <v>2.1400778210116731</v>
      </c>
      <c r="F254" s="93">
        <v>1331.8294983937305</v>
      </c>
      <c r="G254" s="93">
        <f t="shared" si="19"/>
        <v>2850.2187708815245</v>
      </c>
      <c r="H254">
        <f t="shared" si="16"/>
        <v>3.1238674120452548E-2</v>
      </c>
      <c r="I254" s="108">
        <v>12457.420523798704</v>
      </c>
      <c r="J254">
        <f t="shared" si="20"/>
        <v>389.153300124385</v>
      </c>
      <c r="K254" s="108">
        <f t="shared" si="17"/>
        <v>1720.9827985181155</v>
      </c>
    </row>
    <row r="255" spans="1:15" x14ac:dyDescent="0.25">
      <c r="A255" t="s">
        <v>215</v>
      </c>
      <c r="B255" s="91">
        <v>39757</v>
      </c>
      <c r="C255" s="92">
        <v>275</v>
      </c>
      <c r="D255" s="92">
        <v>128.5</v>
      </c>
      <c r="E255" s="92">
        <f>C255/D255</f>
        <v>2.1400778210116731</v>
      </c>
      <c r="F255" s="93">
        <v>1331.8294983937305</v>
      </c>
      <c r="G255" s="93">
        <f>F255*E255</f>
        <v>2850.2187708815245</v>
      </c>
      <c r="H255">
        <f t="shared" si="16"/>
        <v>3.1238674120452548E-2</v>
      </c>
      <c r="I255" s="108">
        <v>12457.420523798704</v>
      </c>
      <c r="J255">
        <f t="shared" si="20"/>
        <v>389.153300124385</v>
      </c>
      <c r="K255" s="108">
        <f t="shared" si="17"/>
        <v>1720.9827985181155</v>
      </c>
    </row>
    <row r="256" spans="1:15" ht="15.75" thickBot="1" x14ac:dyDescent="0.3">
      <c r="A256" t="s">
        <v>216</v>
      </c>
      <c r="B256" s="91">
        <v>39931</v>
      </c>
      <c r="C256" s="92">
        <v>275</v>
      </c>
      <c r="D256" s="92">
        <v>142.19999999999999</v>
      </c>
      <c r="E256" s="92">
        <f>C256/D256</f>
        <v>1.9338959212376936</v>
      </c>
      <c r="F256" s="94">
        <v>6047.5656204544148</v>
      </c>
      <c r="G256" s="94">
        <f>F256*E256</f>
        <v>11695.362486814094</v>
      </c>
      <c r="H256">
        <f t="shared" si="16"/>
        <v>0.14184843620544124</v>
      </c>
      <c r="I256" s="108">
        <v>12457.420523798704</v>
      </c>
      <c r="J256">
        <f t="shared" si="20"/>
        <v>1767.065620454415</v>
      </c>
      <c r="K256" s="108">
        <f t="shared" si="17"/>
        <v>7814.6312409088296</v>
      </c>
    </row>
    <row r="257" spans="1:11" ht="15.75" thickTop="1" x14ac:dyDescent="0.25">
      <c r="A257" s="133" t="s">
        <v>128</v>
      </c>
      <c r="B257" s="133"/>
      <c r="C257" s="133"/>
      <c r="D257" s="133"/>
      <c r="E257" s="133"/>
      <c r="F257" s="95">
        <f>SUM(F244:F256)</f>
        <v>42633.995708600087</v>
      </c>
      <c r="G257" s="95">
        <f>SUM(G244:G256)</f>
        <v>105507.51030583879</v>
      </c>
      <c r="J257">
        <f>SUM(J244:J256)</f>
        <v>12457.420523798704</v>
      </c>
    </row>
    <row r="258" spans="1:11" x14ac:dyDescent="0.25">
      <c r="A258" s="110"/>
      <c r="B258" s="110"/>
      <c r="C258" s="110"/>
      <c r="D258" s="110"/>
      <c r="E258" s="110"/>
      <c r="F258" s="95"/>
      <c r="G258" s="95"/>
    </row>
    <row r="259" spans="1:11" x14ac:dyDescent="0.25">
      <c r="A259" s="110"/>
      <c r="B259" s="110"/>
      <c r="C259" s="110"/>
      <c r="D259" s="110"/>
      <c r="E259" s="110"/>
      <c r="F259" s="95"/>
      <c r="G259" s="95"/>
    </row>
    <row r="260" spans="1:11" ht="15.75" x14ac:dyDescent="0.25">
      <c r="A260" s="178" t="s">
        <v>137</v>
      </c>
      <c r="B260" s="178"/>
      <c r="C260" s="178"/>
      <c r="D260" s="178"/>
      <c r="E260" s="178"/>
      <c r="F260" s="178"/>
      <c r="G260" s="178"/>
    </row>
    <row r="261" spans="1:11" x14ac:dyDescent="0.25">
      <c r="A261" s="112"/>
      <c r="B261" s="112"/>
      <c r="C261" s="112"/>
      <c r="D261" s="112"/>
      <c r="E261" s="112"/>
      <c r="F261" s="112"/>
      <c r="G261" s="112"/>
    </row>
    <row r="262" spans="1:11" x14ac:dyDescent="0.25">
      <c r="A262" s="133" t="s">
        <v>118</v>
      </c>
      <c r="B262" s="133" t="s">
        <v>119</v>
      </c>
      <c r="C262" s="133" t="s">
        <v>120</v>
      </c>
      <c r="D262" s="133" t="s">
        <v>121</v>
      </c>
      <c r="E262" s="133" t="s">
        <v>122</v>
      </c>
      <c r="F262" s="133" t="s">
        <v>123</v>
      </c>
      <c r="G262" s="133" t="s">
        <v>124</v>
      </c>
    </row>
    <row r="263" spans="1:11" x14ac:dyDescent="0.25">
      <c r="A263" t="s">
        <v>217</v>
      </c>
      <c r="B263" s="91">
        <v>38990</v>
      </c>
      <c r="C263" s="92">
        <v>275</v>
      </c>
      <c r="D263" s="92">
        <v>78.566846979999994</v>
      </c>
      <c r="E263" s="92">
        <f>C263/D263</f>
        <v>3.5002041009740927</v>
      </c>
      <c r="F263" s="93">
        <v>13678.454311906302</v>
      </c>
      <c r="G263" s="93">
        <f>F263*E263</f>
        <v>47877.381877521198</v>
      </c>
      <c r="H263">
        <f>F263/$F$278</f>
        <v>8.6511038143323241E-2</v>
      </c>
      <c r="I263" s="108">
        <v>46199.533309866842</v>
      </c>
      <c r="J263">
        <f>I263*H263</f>
        <v>3996.7695883736228</v>
      </c>
      <c r="K263" s="108">
        <f t="shared" ref="K263:K277" si="21">F263+J263</f>
        <v>17675.223900279925</v>
      </c>
    </row>
    <row r="264" spans="1:11" x14ac:dyDescent="0.25">
      <c r="A264" t="s">
        <v>217</v>
      </c>
      <c r="B264" s="91">
        <v>39051</v>
      </c>
      <c r="C264" s="92">
        <v>275</v>
      </c>
      <c r="D264" s="92">
        <v>80.187476090000004</v>
      </c>
      <c r="E264" s="92">
        <f t="shared" ref="E264:E277" si="22">C264/D264</f>
        <v>3.4294632205576381</v>
      </c>
      <c r="F264" s="93">
        <v>131.56148796368439</v>
      </c>
      <c r="G264" s="93">
        <f t="shared" ref="G264:G276" si="23">F264*E264</f>
        <v>451.18528421329199</v>
      </c>
      <c r="H264">
        <f t="shared" ref="H264:H277" si="24">F264/$F$278</f>
        <v>8.3207653758887842E-4</v>
      </c>
      <c r="I264" s="108">
        <v>46199.533309866842</v>
      </c>
      <c r="J264">
        <f t="shared" ref="J264:J277" si="25">I264*H264</f>
        <v>38.441547714696057</v>
      </c>
      <c r="K264" s="108">
        <f t="shared" si="21"/>
        <v>170.00303567838046</v>
      </c>
    </row>
    <row r="265" spans="1:11" x14ac:dyDescent="0.25">
      <c r="A265" t="s">
        <v>217</v>
      </c>
      <c r="B265" s="91">
        <v>39082</v>
      </c>
      <c r="C265" s="92">
        <v>275</v>
      </c>
      <c r="D265" s="92">
        <v>81.661321659999999</v>
      </c>
      <c r="E265" s="92">
        <f t="shared" si="22"/>
        <v>3.367567342896713</v>
      </c>
      <c r="F265" s="93">
        <v>44040.170600342055</v>
      </c>
      <c r="G265" s="93">
        <f t="shared" si="23"/>
        <v>148308.24028931183</v>
      </c>
      <c r="H265">
        <f t="shared" si="24"/>
        <v>0.2785373838130456</v>
      </c>
      <c r="I265" s="108">
        <v>46199.533309866842</v>
      </c>
      <c r="J265">
        <f t="shared" si="25"/>
        <v>12868.297141513965</v>
      </c>
      <c r="K265" s="108">
        <f t="shared" si="21"/>
        <v>56908.467741856017</v>
      </c>
    </row>
    <row r="266" spans="1:11" x14ac:dyDescent="0.25">
      <c r="A266" t="s">
        <v>218</v>
      </c>
      <c r="B266" s="91">
        <v>38990</v>
      </c>
      <c r="C266" s="92">
        <v>275</v>
      </c>
      <c r="D266" s="92">
        <v>78.566846979999994</v>
      </c>
      <c r="E266" s="92">
        <f t="shared" si="22"/>
        <v>3.5002041009740927</v>
      </c>
      <c r="F266" s="93">
        <v>14815.563335970488</v>
      </c>
      <c r="G266" s="93">
        <f t="shared" si="23"/>
        <v>51857.495546805309</v>
      </c>
      <c r="H266">
        <f t="shared" si="24"/>
        <v>9.3702821652685564E-2</v>
      </c>
      <c r="I266" s="108">
        <v>46199.533309866842</v>
      </c>
      <c r="J266">
        <f t="shared" si="25"/>
        <v>4329.0266301717584</v>
      </c>
      <c r="K266" s="108">
        <f t="shared" si="21"/>
        <v>19144.589966142245</v>
      </c>
    </row>
    <row r="267" spans="1:11" x14ac:dyDescent="0.25">
      <c r="A267" t="s">
        <v>218</v>
      </c>
      <c r="B267" s="91">
        <v>39082</v>
      </c>
      <c r="C267" s="92">
        <v>275</v>
      </c>
      <c r="D267" s="92">
        <v>81.661321659999999</v>
      </c>
      <c r="E267" s="92">
        <f t="shared" si="22"/>
        <v>3.367567342896713</v>
      </c>
      <c r="F267" s="93">
        <v>65293.984201522617</v>
      </c>
      <c r="G267" s="93">
        <f t="shared" si="23"/>
        <v>219881.88888466149</v>
      </c>
      <c r="H267">
        <f t="shared" si="24"/>
        <v>0.41295969771018975</v>
      </c>
      <c r="I267" s="108">
        <v>46199.533309866842</v>
      </c>
      <c r="J267">
        <f t="shared" si="25"/>
        <v>19078.545309994453</v>
      </c>
      <c r="K267" s="108">
        <f t="shared" si="21"/>
        <v>84372.529511517074</v>
      </c>
    </row>
    <row r="268" spans="1:11" x14ac:dyDescent="0.25">
      <c r="A268" t="s">
        <v>219</v>
      </c>
      <c r="B268" s="91">
        <v>39203</v>
      </c>
      <c r="C268" s="92">
        <v>275</v>
      </c>
      <c r="D268" s="92">
        <v>86.468087789999998</v>
      </c>
      <c r="E268" s="92">
        <f t="shared" si="22"/>
        <v>3.1803640745228048</v>
      </c>
      <c r="F268" s="93">
        <v>921.27128393929161</v>
      </c>
      <c r="G268" s="93">
        <f t="shared" si="23"/>
        <v>2929.9780943300211</v>
      </c>
      <c r="H268">
        <f t="shared" si="24"/>
        <v>5.826691625225964E-3</v>
      </c>
      <c r="I268" s="108">
        <v>46199.533309866842</v>
      </c>
      <c r="J268">
        <f t="shared" si="25"/>
        <v>269.19043382594907</v>
      </c>
      <c r="K268" s="108">
        <f t="shared" si="21"/>
        <v>1190.4617177652408</v>
      </c>
    </row>
    <row r="269" spans="1:11" x14ac:dyDescent="0.25">
      <c r="A269" t="s">
        <v>220</v>
      </c>
      <c r="B269" s="91">
        <v>39533</v>
      </c>
      <c r="C269" s="92">
        <v>275</v>
      </c>
      <c r="D269" s="92">
        <v>108.2</v>
      </c>
      <c r="E269" s="92">
        <f t="shared" si="22"/>
        <v>2.5415896487985212</v>
      </c>
      <c r="F269" s="93">
        <v>1375.9894540697585</v>
      </c>
      <c r="G269" s="93">
        <f t="shared" si="23"/>
        <v>3497.2005533196266</v>
      </c>
      <c r="H269">
        <f t="shared" si="24"/>
        <v>8.7026116717166986E-3</v>
      </c>
      <c r="I269" s="108">
        <v>46199.533309866842</v>
      </c>
      <c r="J269">
        <f t="shared" si="25"/>
        <v>402.05659781031159</v>
      </c>
      <c r="K269" s="108">
        <f t="shared" si="21"/>
        <v>1778.0460518800701</v>
      </c>
    </row>
    <row r="270" spans="1:11" x14ac:dyDescent="0.25">
      <c r="A270" t="s">
        <v>220</v>
      </c>
      <c r="B270" s="91">
        <v>39533</v>
      </c>
      <c r="C270" s="92">
        <v>275</v>
      </c>
      <c r="D270" s="92">
        <v>108.2</v>
      </c>
      <c r="E270" s="92">
        <f t="shared" si="22"/>
        <v>2.5415896487985212</v>
      </c>
      <c r="F270" s="93">
        <v>1375.9894540697585</v>
      </c>
      <c r="G270" s="93">
        <f t="shared" si="23"/>
        <v>3497.2005533196266</v>
      </c>
      <c r="H270">
        <f t="shared" si="24"/>
        <v>8.7026116717166986E-3</v>
      </c>
      <c r="I270" s="108">
        <v>46199.533309866842</v>
      </c>
      <c r="J270">
        <f t="shared" si="25"/>
        <v>402.05659781031159</v>
      </c>
      <c r="K270" s="108">
        <f t="shared" si="21"/>
        <v>1778.0460518800701</v>
      </c>
    </row>
    <row r="271" spans="1:11" x14ac:dyDescent="0.25">
      <c r="A271" t="s">
        <v>220</v>
      </c>
      <c r="B271" s="91">
        <v>39533</v>
      </c>
      <c r="C271" s="92">
        <v>275</v>
      </c>
      <c r="D271" s="92">
        <v>108.2</v>
      </c>
      <c r="E271" s="92">
        <f t="shared" si="22"/>
        <v>2.5415896487985212</v>
      </c>
      <c r="F271" s="93">
        <v>1938.8855540897341</v>
      </c>
      <c r="G271" s="93">
        <f t="shared" si="23"/>
        <v>4927.8514544794534</v>
      </c>
      <c r="H271">
        <f t="shared" si="24"/>
        <v>1.2262716115474524E-2</v>
      </c>
      <c r="I271" s="108">
        <v>46199.533309866842</v>
      </c>
      <c r="J271">
        <f t="shared" si="25"/>
        <v>566.53176164630622</v>
      </c>
      <c r="K271" s="108">
        <f t="shared" si="21"/>
        <v>2505.4173157360401</v>
      </c>
    </row>
    <row r="272" spans="1:11" x14ac:dyDescent="0.25">
      <c r="A272" t="s">
        <v>221</v>
      </c>
      <c r="B272" s="91">
        <v>39533</v>
      </c>
      <c r="C272" s="92">
        <v>275</v>
      </c>
      <c r="D272" s="92">
        <v>108.2</v>
      </c>
      <c r="E272" s="92">
        <f t="shared" si="22"/>
        <v>2.5415896487985212</v>
      </c>
      <c r="F272" s="93">
        <v>248.91558962224292</v>
      </c>
      <c r="G272" s="93">
        <f t="shared" si="23"/>
        <v>632.64128600847323</v>
      </c>
      <c r="H272">
        <f t="shared" si="24"/>
        <v>1.5742967426906999E-3</v>
      </c>
      <c r="I272" s="108">
        <v>46199.533309866842</v>
      </c>
      <c r="J272">
        <f t="shared" si="25"/>
        <v>72.731774803553861</v>
      </c>
      <c r="K272" s="108">
        <f t="shared" si="21"/>
        <v>321.64736442579681</v>
      </c>
    </row>
    <row r="273" spans="1:11" x14ac:dyDescent="0.25">
      <c r="A273" t="s">
        <v>222</v>
      </c>
      <c r="B273" s="91">
        <v>39660</v>
      </c>
      <c r="C273" s="92">
        <v>275</v>
      </c>
      <c r="D273" s="92">
        <v>118.2</v>
      </c>
      <c r="E273" s="92">
        <f t="shared" si="22"/>
        <v>2.3265651438240269</v>
      </c>
      <c r="F273" s="93">
        <v>813.07971932204271</v>
      </c>
      <c r="G273" s="93">
        <f t="shared" si="23"/>
        <v>1891.6829341248877</v>
      </c>
      <c r="H273">
        <f t="shared" si="24"/>
        <v>5.1424209934747209E-3</v>
      </c>
      <c r="I273" s="108">
        <v>46199.533309866842</v>
      </c>
      <c r="J273">
        <f t="shared" si="25"/>
        <v>237.5774499813939</v>
      </c>
      <c r="K273" s="108">
        <f t="shared" si="21"/>
        <v>1050.6571693034366</v>
      </c>
    </row>
    <row r="274" spans="1:11" x14ac:dyDescent="0.25">
      <c r="A274" t="s">
        <v>223</v>
      </c>
      <c r="B274" s="91">
        <v>39771</v>
      </c>
      <c r="C274" s="92">
        <v>275</v>
      </c>
      <c r="D274" s="92">
        <v>128.5</v>
      </c>
      <c r="E274" s="92">
        <f t="shared" si="22"/>
        <v>2.1400778210116731</v>
      </c>
      <c r="F274" s="93">
        <v>5501.6126431077464</v>
      </c>
      <c r="G274" s="93">
        <f t="shared" si="23"/>
        <v>11773.879197312297</v>
      </c>
      <c r="H274">
        <f t="shared" si="24"/>
        <v>3.4795614355592544E-2</v>
      </c>
      <c r="I274" s="108">
        <v>46199.533309866842</v>
      </c>
      <c r="J274">
        <f t="shared" si="25"/>
        <v>1607.5411444584786</v>
      </c>
      <c r="K274" s="108">
        <f t="shared" si="21"/>
        <v>7109.1537875662252</v>
      </c>
    </row>
    <row r="275" spans="1:11" x14ac:dyDescent="0.25">
      <c r="A275" t="s">
        <v>224</v>
      </c>
      <c r="B275" s="91">
        <v>39840</v>
      </c>
      <c r="C275" s="92">
        <v>275</v>
      </c>
      <c r="D275" s="92">
        <v>135.1</v>
      </c>
      <c r="E275" s="92">
        <f t="shared" si="22"/>
        <v>2.0355292376017764</v>
      </c>
      <c r="F275" s="93">
        <v>788.05999391906209</v>
      </c>
      <c r="G275" s="93">
        <f t="shared" si="23"/>
        <v>1604.119158606529</v>
      </c>
      <c r="H275">
        <f t="shared" si="24"/>
        <v>4.9841807150546166E-3</v>
      </c>
      <c r="I275" s="108">
        <v>46199.533309866842</v>
      </c>
      <c r="J275">
        <f t="shared" si="25"/>
        <v>230.26682296756169</v>
      </c>
      <c r="K275" s="108">
        <f t="shared" si="21"/>
        <v>1018.3268168866238</v>
      </c>
    </row>
    <row r="276" spans="1:11" x14ac:dyDescent="0.25">
      <c r="A276" t="s">
        <v>224</v>
      </c>
      <c r="B276" s="91">
        <v>39840</v>
      </c>
      <c r="C276" s="92">
        <v>275</v>
      </c>
      <c r="D276" s="92">
        <v>135.1</v>
      </c>
      <c r="E276" s="92">
        <f t="shared" si="22"/>
        <v>2.0355292376017764</v>
      </c>
      <c r="F276" s="93">
        <v>788.05999391906209</v>
      </c>
      <c r="G276" s="93">
        <f t="shared" si="23"/>
        <v>1604.119158606529</v>
      </c>
      <c r="H276">
        <f t="shared" si="24"/>
        <v>4.9841807150546166E-3</v>
      </c>
      <c r="I276">
        <v>46199.533309866842</v>
      </c>
      <c r="J276">
        <f t="shared" si="25"/>
        <v>230.26682296756169</v>
      </c>
      <c r="K276" s="108">
        <f t="shared" si="21"/>
        <v>1018.3268168866238</v>
      </c>
    </row>
    <row r="277" spans="1:11" ht="15.75" thickBot="1" x14ac:dyDescent="0.3">
      <c r="A277" t="s">
        <v>225</v>
      </c>
      <c r="B277" s="91">
        <v>39938</v>
      </c>
      <c r="C277" s="92">
        <v>275</v>
      </c>
      <c r="D277" s="92">
        <v>145.19999999999999</v>
      </c>
      <c r="E277" s="92">
        <f t="shared" si="22"/>
        <v>1.893939393939394</v>
      </c>
      <c r="F277" s="94">
        <v>6400.6456861030274</v>
      </c>
      <c r="G277" s="94">
        <f>F277*E277</f>
        <v>12122.435011558764</v>
      </c>
      <c r="H277">
        <f t="shared" si="24"/>
        <v>4.0481657537165545E-2</v>
      </c>
      <c r="I277">
        <v>46199.533309866842</v>
      </c>
      <c r="J277">
        <f t="shared" si="25"/>
        <v>1870.2336858269018</v>
      </c>
      <c r="K277" s="108">
        <f t="shared" si="21"/>
        <v>8270.8793719299283</v>
      </c>
    </row>
    <row r="278" spans="1:11" ht="15.75" thickTop="1" x14ac:dyDescent="0.25">
      <c r="A278" s="133" t="s">
        <v>133</v>
      </c>
      <c r="B278" s="133"/>
      <c r="C278" s="133"/>
      <c r="D278" s="133"/>
      <c r="E278" s="133"/>
      <c r="F278" s="95">
        <f>SUM(F263:F277)</f>
        <v>158112.24330986693</v>
      </c>
      <c r="G278" s="95">
        <f>SUM(G263:G277)</f>
        <v>512857.29928417929</v>
      </c>
    </row>
    <row r="279" spans="1:11" x14ac:dyDescent="0.25">
      <c r="A279" s="110"/>
      <c r="B279" s="110"/>
      <c r="C279" s="110"/>
      <c r="D279" s="110"/>
      <c r="E279" s="110"/>
      <c r="F279" s="95"/>
      <c r="G279" s="95"/>
    </row>
    <row r="280" spans="1:11" x14ac:dyDescent="0.25">
      <c r="A280" s="110"/>
      <c r="B280" s="110"/>
      <c r="C280" s="110"/>
      <c r="D280" s="110"/>
      <c r="E280" s="110"/>
      <c r="F280" s="95"/>
      <c r="G280" s="95"/>
    </row>
    <row r="281" spans="1:11" ht="15.75" x14ac:dyDescent="0.25">
      <c r="A281" s="178" t="s">
        <v>138</v>
      </c>
      <c r="B281" s="178"/>
      <c r="C281" s="178"/>
      <c r="D281" s="178"/>
      <c r="E281" s="178"/>
      <c r="F281" s="178"/>
      <c r="G281" s="178"/>
    </row>
    <row r="282" spans="1:11" x14ac:dyDescent="0.25">
      <c r="A282" s="112"/>
      <c r="B282" s="112"/>
      <c r="C282" s="112"/>
      <c r="D282" s="112"/>
      <c r="E282" s="112"/>
      <c r="F282" s="112"/>
      <c r="G282" s="112"/>
    </row>
    <row r="283" spans="1:11" x14ac:dyDescent="0.25">
      <c r="A283" s="133" t="s">
        <v>118</v>
      </c>
      <c r="B283" s="133" t="s">
        <v>119</v>
      </c>
      <c r="C283" s="133" t="s">
        <v>120</v>
      </c>
      <c r="D283" s="133" t="s">
        <v>121</v>
      </c>
      <c r="E283" s="133" t="s">
        <v>122</v>
      </c>
      <c r="F283" s="133" t="s">
        <v>123</v>
      </c>
      <c r="G283" s="133" t="s">
        <v>124</v>
      </c>
    </row>
    <row r="284" spans="1:11" x14ac:dyDescent="0.25">
      <c r="A284" t="s">
        <v>226</v>
      </c>
      <c r="B284" s="91">
        <v>39051</v>
      </c>
      <c r="C284" s="92">
        <v>275</v>
      </c>
      <c r="D284" s="92">
        <v>80.187476090000004</v>
      </c>
      <c r="E284" s="92">
        <f>C284/D284</f>
        <v>3.4294632205576381</v>
      </c>
      <c r="F284" s="93">
        <v>31808.994268653321</v>
      </c>
      <c r="G284" s="93">
        <f>F284*E284</f>
        <v>109087.77592727527</v>
      </c>
      <c r="H284">
        <f>F284/$F$303</f>
        <v>4.9601366331088005E-2</v>
      </c>
      <c r="I284" s="108">
        <v>187382.22263099195</v>
      </c>
      <c r="J284">
        <f>I284*H284</f>
        <v>9294.4142686533214</v>
      </c>
      <c r="K284" s="108">
        <f t="shared" ref="K284:K302" si="26">F284+J284</f>
        <v>41103.408537306641</v>
      </c>
    </row>
    <row r="285" spans="1:11" x14ac:dyDescent="0.25">
      <c r="A285" t="s">
        <v>227</v>
      </c>
      <c r="B285" s="91">
        <v>39142</v>
      </c>
      <c r="C285" s="92">
        <v>275</v>
      </c>
      <c r="D285" s="92">
        <v>83.812530649999999</v>
      </c>
      <c r="E285" s="92">
        <f t="shared" ref="E285:E300" si="27">C285/D285</f>
        <v>3.2811322825747418</v>
      </c>
      <c r="F285" s="93">
        <v>12022.455904962986</v>
      </c>
      <c r="G285" s="93">
        <f t="shared" ref="G285:G301" si="28">F285*E285</f>
        <v>39447.268185605382</v>
      </c>
      <c r="H285">
        <f t="shared" ref="H285:H302" si="29">F285/$F$303</f>
        <v>1.8747220817637869E-2</v>
      </c>
      <c r="I285" s="108">
        <v>187382.22263099195</v>
      </c>
      <c r="J285">
        <f t="shared" ref="J285:J302" si="30">I285*H285</f>
        <v>3512.8959049629862</v>
      </c>
      <c r="K285" s="108">
        <f t="shared" si="26"/>
        <v>15535.351809925973</v>
      </c>
    </row>
    <row r="286" spans="1:11" x14ac:dyDescent="0.25">
      <c r="A286" t="s">
        <v>228</v>
      </c>
      <c r="B286" s="91">
        <v>39142</v>
      </c>
      <c r="C286" s="92">
        <v>275</v>
      </c>
      <c r="D286" s="92">
        <v>83.812530649999999</v>
      </c>
      <c r="E286" s="92">
        <f t="shared" si="27"/>
        <v>3.2811322825747418</v>
      </c>
      <c r="F286" s="93">
        <v>1977.8880892445654</v>
      </c>
      <c r="G286" s="93">
        <f t="shared" si="28"/>
        <v>6489.7124609404154</v>
      </c>
      <c r="H286">
        <f t="shared" si="29"/>
        <v>3.084220483298821E-3</v>
      </c>
      <c r="I286" s="108">
        <v>187382.22263099195</v>
      </c>
      <c r="J286">
        <f t="shared" si="30"/>
        <v>577.92808924456529</v>
      </c>
      <c r="K286" s="108">
        <f t="shared" si="26"/>
        <v>2555.8161784891308</v>
      </c>
    </row>
    <row r="287" spans="1:11" x14ac:dyDescent="0.25">
      <c r="A287" t="s">
        <v>229</v>
      </c>
      <c r="B287" s="91">
        <v>39326</v>
      </c>
      <c r="C287" s="92">
        <v>275</v>
      </c>
      <c r="D287" s="92">
        <v>90.557581049999996</v>
      </c>
      <c r="E287" s="92">
        <f t="shared" si="27"/>
        <v>3.036741891859533</v>
      </c>
      <c r="F287" s="93">
        <v>80530.545138015848</v>
      </c>
      <c r="G287" s="93">
        <f t="shared" si="28"/>
        <v>244550.47999489776</v>
      </c>
      <c r="H287">
        <f t="shared" si="29"/>
        <v>0.12557533370897275</v>
      </c>
      <c r="I287" s="108">
        <v>187382.22263099195</v>
      </c>
      <c r="J287">
        <f t="shared" si="30"/>
        <v>23530.585138015842</v>
      </c>
      <c r="K287" s="108">
        <f t="shared" si="26"/>
        <v>104061.13027603169</v>
      </c>
    </row>
    <row r="288" spans="1:11" x14ac:dyDescent="0.25">
      <c r="A288" t="s">
        <v>230</v>
      </c>
      <c r="B288" s="91">
        <v>39355</v>
      </c>
      <c r="C288" s="92">
        <v>275</v>
      </c>
      <c r="D288" s="92">
        <v>90.557581049999996</v>
      </c>
      <c r="E288" s="92">
        <f t="shared" si="27"/>
        <v>3.036741891859533</v>
      </c>
      <c r="F288" s="93">
        <v>80530.545138015848</v>
      </c>
      <c r="G288" s="93">
        <f t="shared" si="28"/>
        <v>244550.47999489776</v>
      </c>
      <c r="H288">
        <f t="shared" si="29"/>
        <v>0.12557533370897275</v>
      </c>
      <c r="I288" s="108">
        <v>187382.22263099195</v>
      </c>
      <c r="J288">
        <f t="shared" si="30"/>
        <v>23530.585138015842</v>
      </c>
      <c r="K288" s="108">
        <f t="shared" si="26"/>
        <v>104061.13027603169</v>
      </c>
    </row>
    <row r="289" spans="1:11" x14ac:dyDescent="0.25">
      <c r="A289" t="s">
        <v>230</v>
      </c>
      <c r="B289" s="91">
        <v>39355</v>
      </c>
      <c r="C289" s="92">
        <v>275</v>
      </c>
      <c r="D289" s="92">
        <v>90.557581049999996</v>
      </c>
      <c r="E289" s="92">
        <f t="shared" si="27"/>
        <v>3.036741891859533</v>
      </c>
      <c r="F289" s="93">
        <v>13280.428671801585</v>
      </c>
      <c r="G289" s="93">
        <f t="shared" si="28"/>
        <v>40329.234089512327</v>
      </c>
      <c r="H289">
        <f t="shared" si="29"/>
        <v>2.0708841091309459E-2</v>
      </c>
      <c r="I289" s="108">
        <v>187382.22263099195</v>
      </c>
      <c r="J289">
        <f t="shared" si="30"/>
        <v>3880.4686718015832</v>
      </c>
      <c r="K289" s="108">
        <f t="shared" si="26"/>
        <v>17160.897343603167</v>
      </c>
    </row>
    <row r="290" spans="1:11" x14ac:dyDescent="0.25">
      <c r="A290" t="s">
        <v>230</v>
      </c>
      <c r="B290" s="91">
        <v>39386</v>
      </c>
      <c r="C290" s="92">
        <v>275</v>
      </c>
      <c r="D290" s="92">
        <v>92.775336339999996</v>
      </c>
      <c r="E290" s="92">
        <f t="shared" si="27"/>
        <v>2.964149857589188</v>
      </c>
      <c r="F290" s="93">
        <v>20909.700077730486</v>
      </c>
      <c r="G290" s="93">
        <f t="shared" si="28"/>
        <v>61979.484507637455</v>
      </c>
      <c r="H290">
        <f t="shared" si="29"/>
        <v>3.260554812481968E-2</v>
      </c>
      <c r="I290" s="108">
        <v>187382.22263099195</v>
      </c>
      <c r="J290">
        <f t="shared" si="30"/>
        <v>6109.7000777304838</v>
      </c>
      <c r="K290" s="108">
        <f t="shared" si="26"/>
        <v>27019.400155460971</v>
      </c>
    </row>
    <row r="291" spans="1:11" x14ac:dyDescent="0.25">
      <c r="A291" t="s">
        <v>230</v>
      </c>
      <c r="B291" s="91">
        <v>39416</v>
      </c>
      <c r="C291" s="92">
        <v>275</v>
      </c>
      <c r="D291" s="92">
        <v>96.812918629999999</v>
      </c>
      <c r="E291" s="92">
        <f t="shared" si="27"/>
        <v>2.8405300025195617</v>
      </c>
      <c r="F291" s="93">
        <v>20909.700077730486</v>
      </c>
      <c r="G291" s="93">
        <f t="shared" si="28"/>
        <v>59394.630414479056</v>
      </c>
      <c r="H291">
        <f t="shared" si="29"/>
        <v>3.260554812481968E-2</v>
      </c>
      <c r="I291" s="108">
        <v>187382.22263099195</v>
      </c>
      <c r="J291">
        <f t="shared" si="30"/>
        <v>6109.7000777304838</v>
      </c>
      <c r="K291" s="108">
        <f t="shared" si="26"/>
        <v>27019.400155460971</v>
      </c>
    </row>
    <row r="292" spans="1:11" x14ac:dyDescent="0.25">
      <c r="A292" t="s">
        <v>231</v>
      </c>
      <c r="B292" s="91">
        <v>39455</v>
      </c>
      <c r="C292" s="92">
        <v>275</v>
      </c>
      <c r="D292" s="92">
        <v>103.4</v>
      </c>
      <c r="E292" s="92">
        <f t="shared" si="27"/>
        <v>2.6595744680851063</v>
      </c>
      <c r="F292" s="93">
        <v>17821.845990575908</v>
      </c>
      <c r="G292" s="93">
        <f t="shared" si="28"/>
        <v>47398.526570680609</v>
      </c>
      <c r="H292">
        <f t="shared" si="29"/>
        <v>2.7790501774711172E-2</v>
      </c>
      <c r="I292" s="108">
        <v>187382.22263099195</v>
      </c>
      <c r="J292">
        <f t="shared" si="30"/>
        <v>5207.4459905759059</v>
      </c>
      <c r="K292" s="108">
        <f t="shared" si="26"/>
        <v>23029.291981151815</v>
      </c>
    </row>
    <row r="293" spans="1:11" x14ac:dyDescent="0.25">
      <c r="A293" t="s">
        <v>232</v>
      </c>
      <c r="B293" s="91">
        <v>39599</v>
      </c>
      <c r="C293" s="92">
        <v>275</v>
      </c>
      <c r="D293" s="92">
        <v>113.7</v>
      </c>
      <c r="E293" s="92">
        <f t="shared" si="27"/>
        <v>2.4186455584872473</v>
      </c>
      <c r="F293" s="93">
        <v>14257.815868678203</v>
      </c>
      <c r="G293" s="93">
        <f t="shared" si="28"/>
        <v>34484.603024507531</v>
      </c>
      <c r="H293">
        <f t="shared" si="29"/>
        <v>2.2232930158387176E-2</v>
      </c>
      <c r="I293" s="108">
        <v>187382.22263099195</v>
      </c>
      <c r="J293">
        <f t="shared" si="30"/>
        <v>4166.0558686782006</v>
      </c>
      <c r="K293" s="108">
        <f t="shared" si="26"/>
        <v>18423.871737356403</v>
      </c>
    </row>
    <row r="294" spans="1:11" x14ac:dyDescent="0.25">
      <c r="A294" t="s">
        <v>232</v>
      </c>
      <c r="B294" s="91">
        <v>39599</v>
      </c>
      <c r="C294" s="92">
        <v>275</v>
      </c>
      <c r="D294" s="92">
        <v>113.7</v>
      </c>
      <c r="E294" s="92">
        <f t="shared" si="27"/>
        <v>2.4186455584872473</v>
      </c>
      <c r="F294" s="93">
        <v>22034.698454615296</v>
      </c>
      <c r="G294" s="93">
        <f t="shared" si="28"/>
        <v>53294.125549861099</v>
      </c>
      <c r="H294">
        <f t="shared" si="29"/>
        <v>3.4359814737038009E-2</v>
      </c>
      <c r="I294" s="108">
        <v>187382.22263099195</v>
      </c>
      <c r="J294">
        <f t="shared" si="30"/>
        <v>6438.4184546152946</v>
      </c>
      <c r="K294" s="108">
        <f t="shared" si="26"/>
        <v>28473.11690923059</v>
      </c>
    </row>
    <row r="295" spans="1:11" x14ac:dyDescent="0.25">
      <c r="A295" t="s">
        <v>232</v>
      </c>
      <c r="B295" s="91">
        <v>39599</v>
      </c>
      <c r="C295" s="92">
        <v>275</v>
      </c>
      <c r="D295" s="92">
        <v>113.7</v>
      </c>
      <c r="E295" s="92">
        <f t="shared" si="27"/>
        <v>2.4186455584872473</v>
      </c>
      <c r="F295" s="93">
        <v>17919.923786481046</v>
      </c>
      <c r="G295" s="93">
        <f t="shared" si="28"/>
        <v>43341.944074602354</v>
      </c>
      <c r="H295">
        <f t="shared" si="29"/>
        <v>2.7943439420037183E-2</v>
      </c>
      <c r="I295" s="108">
        <v>187382.22263099195</v>
      </c>
      <c r="J295">
        <f t="shared" si="30"/>
        <v>5236.1037864810442</v>
      </c>
      <c r="K295" s="108">
        <f t="shared" si="26"/>
        <v>23156.027572962092</v>
      </c>
    </row>
    <row r="296" spans="1:11" x14ac:dyDescent="0.25">
      <c r="A296" t="s">
        <v>233</v>
      </c>
      <c r="B296" s="91">
        <v>39599</v>
      </c>
      <c r="C296" s="92">
        <v>275</v>
      </c>
      <c r="D296" s="92">
        <v>113.7</v>
      </c>
      <c r="E296" s="92">
        <f t="shared" si="27"/>
        <v>2.4186455584872473</v>
      </c>
      <c r="F296" s="93">
        <v>18366.57193395224</v>
      </c>
      <c r="G296" s="93">
        <f t="shared" si="28"/>
        <v>44422.227632690119</v>
      </c>
      <c r="H296">
        <f t="shared" si="29"/>
        <v>2.863992036491424E-2</v>
      </c>
      <c r="I296" s="108">
        <v>187382.22263099195</v>
      </c>
      <c r="J296">
        <f t="shared" si="30"/>
        <v>5366.6119339522402</v>
      </c>
      <c r="K296" s="108">
        <f t="shared" si="26"/>
        <v>23733.183867904481</v>
      </c>
    </row>
    <row r="297" spans="1:11" x14ac:dyDescent="0.25">
      <c r="A297" t="s">
        <v>234</v>
      </c>
      <c r="B297" s="91">
        <v>40255</v>
      </c>
      <c r="C297" s="92">
        <v>275</v>
      </c>
      <c r="D297" s="92">
        <v>178.2</v>
      </c>
      <c r="E297" s="92">
        <f t="shared" si="27"/>
        <v>1.5432098765432101</v>
      </c>
      <c r="F297" s="93">
        <v>54393.759117070207</v>
      </c>
      <c r="G297" s="93">
        <f t="shared" si="28"/>
        <v>83940.986291775014</v>
      </c>
      <c r="H297">
        <f t="shared" si="29"/>
        <v>8.4818927291566371E-2</v>
      </c>
      <c r="I297">
        <v>187382.22263099195</v>
      </c>
      <c r="J297">
        <f t="shared" si="30"/>
        <v>15893.559117070208</v>
      </c>
      <c r="K297" s="108">
        <f t="shared" si="26"/>
        <v>70287.318234140417</v>
      </c>
    </row>
    <row r="298" spans="1:11" x14ac:dyDescent="0.25">
      <c r="A298" t="s">
        <v>235</v>
      </c>
      <c r="B298" s="91">
        <v>40429</v>
      </c>
      <c r="C298" s="92">
        <v>275</v>
      </c>
      <c r="D298" s="92">
        <v>204</v>
      </c>
      <c r="E298" s="92">
        <f t="shared" si="27"/>
        <v>1.3480392156862746</v>
      </c>
      <c r="F298" s="93">
        <v>42384.52718458882</v>
      </c>
      <c r="G298" s="93">
        <f t="shared" si="28"/>
        <v>57136.004783146695</v>
      </c>
      <c r="H298">
        <f t="shared" si="29"/>
        <v>6.6092327280039886E-2</v>
      </c>
      <c r="I298">
        <v>187382.22263099195</v>
      </c>
      <c r="J298">
        <f t="shared" si="30"/>
        <v>12384.527184588816</v>
      </c>
      <c r="K298" s="108">
        <f t="shared" si="26"/>
        <v>54769.05436917764</v>
      </c>
    </row>
    <row r="299" spans="1:11" x14ac:dyDescent="0.25">
      <c r="A299" t="s">
        <v>236</v>
      </c>
      <c r="B299" s="91">
        <v>40479</v>
      </c>
      <c r="C299" s="92">
        <v>275</v>
      </c>
      <c r="D299" s="92">
        <v>207</v>
      </c>
      <c r="E299" s="92">
        <f t="shared" si="27"/>
        <v>1.3285024154589371</v>
      </c>
      <c r="F299" s="93">
        <v>50861.432621506581</v>
      </c>
      <c r="G299" s="93">
        <f t="shared" si="28"/>
        <v>67569.536091373477</v>
      </c>
      <c r="H299">
        <f t="shared" si="29"/>
        <v>7.9310792736047853E-2</v>
      </c>
      <c r="I299">
        <v>187382.22263099195</v>
      </c>
      <c r="J299">
        <f t="shared" si="30"/>
        <v>14861.432621506578</v>
      </c>
      <c r="K299" s="108">
        <f t="shared" si="26"/>
        <v>65722.865243013162</v>
      </c>
    </row>
    <row r="300" spans="1:11" x14ac:dyDescent="0.25">
      <c r="A300" t="s">
        <v>237</v>
      </c>
      <c r="B300" s="91">
        <v>40500</v>
      </c>
      <c r="C300" s="92">
        <v>275</v>
      </c>
      <c r="D300" s="92">
        <v>209.7</v>
      </c>
      <c r="E300" s="92">
        <f t="shared" si="27"/>
        <v>1.3113972341440154</v>
      </c>
      <c r="F300" s="93">
        <v>70640.935153684288</v>
      </c>
      <c r="G300" s="93">
        <f t="shared" si="28"/>
        <v>92638.326977888326</v>
      </c>
      <c r="H300">
        <f t="shared" si="29"/>
        <v>0.11015396692316952</v>
      </c>
      <c r="I300">
        <v>187382.22263099195</v>
      </c>
      <c r="J300">
        <f t="shared" si="30"/>
        <v>20640.895153684272</v>
      </c>
      <c r="K300" s="108">
        <f t="shared" si="26"/>
        <v>91281.830307368567</v>
      </c>
    </row>
    <row r="301" spans="1:11" x14ac:dyDescent="0.25">
      <c r="A301" t="s">
        <v>237</v>
      </c>
      <c r="B301" s="91">
        <v>40500</v>
      </c>
      <c r="C301" s="92">
        <v>275</v>
      </c>
      <c r="D301" s="92">
        <v>209.7</v>
      </c>
      <c r="E301" s="92">
        <f>C301/D301</f>
        <v>1.3113972341440154</v>
      </c>
      <c r="F301" s="93">
        <v>70640.935153684288</v>
      </c>
      <c r="G301" s="93">
        <f t="shared" si="28"/>
        <v>92638.326977888326</v>
      </c>
      <c r="H301">
        <f t="shared" si="29"/>
        <v>0.11015396692316952</v>
      </c>
      <c r="I301">
        <v>187382.22263099195</v>
      </c>
      <c r="J301">
        <f t="shared" si="30"/>
        <v>20640.895153684272</v>
      </c>
      <c r="K301" s="108">
        <f t="shared" si="26"/>
        <v>91281.830307368567</v>
      </c>
    </row>
    <row r="302" spans="1:11" ht="15.75" thickBot="1" x14ac:dyDescent="0.3">
      <c r="A302" t="s">
        <v>238</v>
      </c>
      <c r="B302" s="91">
        <v>40626</v>
      </c>
      <c r="C302" s="92">
        <v>275</v>
      </c>
      <c r="D302" s="92">
        <v>229.3</v>
      </c>
      <c r="E302" s="92">
        <f>C302/D302</f>
        <v>1.1993022241604885</v>
      </c>
      <c r="F302" s="94">
        <v>0</v>
      </c>
      <c r="G302" s="94">
        <f>F302*E302</f>
        <v>0</v>
      </c>
      <c r="H302">
        <f t="shared" si="29"/>
        <v>0</v>
      </c>
      <c r="I302">
        <v>187382.22263099195</v>
      </c>
      <c r="J302">
        <f t="shared" si="30"/>
        <v>0</v>
      </c>
      <c r="K302" s="108">
        <f t="shared" si="26"/>
        <v>0</v>
      </c>
    </row>
    <row r="303" spans="1:11" ht="15.75" thickTop="1" x14ac:dyDescent="0.25">
      <c r="A303" s="133" t="s">
        <v>133</v>
      </c>
      <c r="B303" s="133"/>
      <c r="C303" s="133"/>
      <c r="D303" s="133"/>
      <c r="E303" s="133"/>
      <c r="F303" s="95">
        <f>SUM(F284:F302)</f>
        <v>641292.70263099205</v>
      </c>
      <c r="G303" s="95">
        <f>SUM(G284:G302)</f>
        <v>1422693.6735496591</v>
      </c>
    </row>
    <row r="304" spans="1:11" x14ac:dyDescent="0.25">
      <c r="A304" s="110"/>
      <c r="B304" s="110"/>
      <c r="C304" s="110"/>
      <c r="D304" s="110"/>
      <c r="E304" s="110"/>
      <c r="F304" s="95"/>
      <c r="G304" s="95"/>
    </row>
    <row r="305" spans="1:9" x14ac:dyDescent="0.25">
      <c r="A305" s="110"/>
      <c r="B305" s="110"/>
      <c r="C305" s="110"/>
      <c r="D305" s="110"/>
      <c r="E305" s="110"/>
      <c r="F305" s="95"/>
      <c r="G305" s="95"/>
    </row>
    <row r="306" spans="1:9" ht="15.75" x14ac:dyDescent="0.25">
      <c r="A306" s="178" t="s">
        <v>31</v>
      </c>
      <c r="B306" s="178"/>
      <c r="C306" s="178"/>
      <c r="D306" s="178"/>
      <c r="E306" s="178"/>
      <c r="F306" s="178"/>
      <c r="G306" s="178"/>
    </row>
    <row r="307" spans="1:9" x14ac:dyDescent="0.25">
      <c r="A307" s="110"/>
      <c r="B307" s="52"/>
      <c r="C307" s="52"/>
      <c r="D307" s="52"/>
      <c r="E307" s="52"/>
      <c r="F307" s="95"/>
      <c r="G307" s="95"/>
    </row>
    <row r="308" spans="1:9" x14ac:dyDescent="0.25">
      <c r="A308" s="110" t="s">
        <v>118</v>
      </c>
      <c r="B308" s="110" t="s">
        <v>119</v>
      </c>
      <c r="C308" s="110" t="s">
        <v>120</v>
      </c>
      <c r="D308" s="110" t="s">
        <v>121</v>
      </c>
      <c r="E308" s="110" t="s">
        <v>122</v>
      </c>
      <c r="F308" s="110" t="s">
        <v>123</v>
      </c>
      <c r="G308" s="110" t="s">
        <v>124</v>
      </c>
    </row>
    <row r="309" spans="1:9" x14ac:dyDescent="0.25">
      <c r="A309" s="97" t="s">
        <v>139</v>
      </c>
      <c r="B309" s="91">
        <v>38353</v>
      </c>
      <c r="C309" s="92">
        <v>275</v>
      </c>
      <c r="D309" s="92">
        <v>62.218836699999997</v>
      </c>
      <c r="E309" s="92">
        <f>C309/D309</f>
        <v>4.4198833437848579</v>
      </c>
      <c r="F309" s="93">
        <v>200000</v>
      </c>
      <c r="G309" s="93">
        <v>1000000</v>
      </c>
    </row>
    <row r="310" spans="1:9" ht="15.75" thickBot="1" x14ac:dyDescent="0.3">
      <c r="A310" s="97" t="s">
        <v>140</v>
      </c>
      <c r="B310" s="91">
        <v>39934</v>
      </c>
      <c r="C310" s="92">
        <v>275</v>
      </c>
      <c r="D310" s="92">
        <v>145.19999999999999</v>
      </c>
      <c r="E310" s="92">
        <f>C310/D310</f>
        <v>1.893939393939394</v>
      </c>
      <c r="F310" s="94">
        <v>800000</v>
      </c>
      <c r="G310" s="94">
        <f>F310*E310</f>
        <v>1515151.5151515151</v>
      </c>
    </row>
    <row r="311" spans="1:9" ht="15.75" thickTop="1" x14ac:dyDescent="0.25">
      <c r="A311" s="179" t="s">
        <v>133</v>
      </c>
      <c r="B311" s="179"/>
      <c r="C311" s="179"/>
      <c r="D311" s="179"/>
      <c r="E311" s="179"/>
      <c r="F311" s="95">
        <f>SUM(F309:F310)</f>
        <v>1000000</v>
      </c>
      <c r="G311" s="95">
        <f>SUM(G309:G310)</f>
        <v>2515151.5151515151</v>
      </c>
    </row>
    <row r="312" spans="1:9" x14ac:dyDescent="0.25">
      <c r="A312" s="110"/>
      <c r="B312" s="110"/>
      <c r="C312" s="110"/>
      <c r="D312" s="110"/>
      <c r="E312" s="110"/>
      <c r="F312" s="95"/>
      <c r="G312" s="95"/>
    </row>
    <row r="313" spans="1:9" ht="15.75" x14ac:dyDescent="0.25">
      <c r="A313" s="90"/>
      <c r="B313" s="52"/>
      <c r="C313" s="52"/>
      <c r="D313" s="52"/>
      <c r="E313" s="52"/>
      <c r="F313" s="52"/>
      <c r="G313" s="52"/>
    </row>
    <row r="314" spans="1:9" ht="15.75" x14ac:dyDescent="0.25">
      <c r="A314" s="178" t="s">
        <v>263</v>
      </c>
      <c r="B314" s="178"/>
      <c r="C314" s="178"/>
      <c r="D314" s="178"/>
      <c r="E314" s="178"/>
      <c r="F314" s="178"/>
      <c r="G314" s="178"/>
    </row>
    <row r="315" spans="1:9" x14ac:dyDescent="0.25">
      <c r="A315" s="52"/>
      <c r="B315" s="52"/>
      <c r="C315" s="52"/>
      <c r="D315" s="52"/>
      <c r="E315" s="52"/>
      <c r="F315" s="52"/>
      <c r="G315" s="52"/>
    </row>
    <row r="316" spans="1:9" x14ac:dyDescent="0.25">
      <c r="A316" s="110" t="s">
        <v>118</v>
      </c>
      <c r="B316" s="110" t="s">
        <v>119</v>
      </c>
      <c r="C316" s="110" t="s">
        <v>120</v>
      </c>
      <c r="D316" s="110" t="s">
        <v>121</v>
      </c>
      <c r="E316" s="110" t="s">
        <v>122</v>
      </c>
      <c r="F316" s="110" t="s">
        <v>123</v>
      </c>
      <c r="G316" s="110" t="s">
        <v>124</v>
      </c>
    </row>
    <row r="317" spans="1:9" x14ac:dyDescent="0.25">
      <c r="A317" s="97" t="s">
        <v>141</v>
      </c>
      <c r="B317" s="98" t="s">
        <v>142</v>
      </c>
      <c r="C317" s="92">
        <v>275</v>
      </c>
      <c r="D317" s="92">
        <v>150.56666666666669</v>
      </c>
      <c r="E317" s="92">
        <f>C317/D317</f>
        <v>1.8264334735443877</v>
      </c>
      <c r="F317" s="93">
        <v>616099.78</v>
      </c>
      <c r="G317" s="93">
        <f>'Calculos 2010'!B361</f>
        <v>2808388.5563805131</v>
      </c>
    </row>
    <row r="318" spans="1:9" x14ac:dyDescent="0.25">
      <c r="A318" s="97" t="s">
        <v>264</v>
      </c>
      <c r="B318" s="91">
        <v>40544</v>
      </c>
      <c r="C318" s="92">
        <v>275</v>
      </c>
      <c r="D318" s="92">
        <v>220.9</v>
      </c>
      <c r="E318" s="92">
        <f>C318/D318</f>
        <v>1.2449071978270709</v>
      </c>
      <c r="F318" s="93">
        <v>-122057.37</v>
      </c>
      <c r="G318" s="93">
        <f>F318*E318</f>
        <v>-151950.09846084198</v>
      </c>
    </row>
    <row r="319" spans="1:9" ht="15.75" thickBot="1" x14ac:dyDescent="0.3">
      <c r="A319" s="97" t="s">
        <v>143</v>
      </c>
      <c r="B319" s="98" t="s">
        <v>144</v>
      </c>
      <c r="C319" s="92">
        <v>275</v>
      </c>
      <c r="D319" s="92">
        <v>194.32499999999999</v>
      </c>
      <c r="E319" s="92">
        <f>C319/D319</f>
        <v>1.4151550238003345</v>
      </c>
      <c r="F319" s="94">
        <f>'ER Hist Dic10'!D33</f>
        <v>-3265259.8599999994</v>
      </c>
      <c r="G319" s="94">
        <f>F319*E319</f>
        <v>-4620848.8948925762</v>
      </c>
      <c r="I319" s="108">
        <f>G319-F319</f>
        <v>-1355589.0348925767</v>
      </c>
    </row>
    <row r="320" spans="1:9" ht="15.75" thickTop="1" x14ac:dyDescent="0.25">
      <c r="A320" s="179" t="s">
        <v>133</v>
      </c>
      <c r="B320" s="179"/>
      <c r="C320" s="179"/>
      <c r="D320" s="179"/>
      <c r="E320" s="179"/>
      <c r="F320" s="95">
        <f>SUM(F317:F319)</f>
        <v>-2771217.4499999993</v>
      </c>
      <c r="G320" s="95">
        <f>SUM(G317:G319)</f>
        <v>-1964410.436972905</v>
      </c>
    </row>
    <row r="321" spans="1:7" x14ac:dyDescent="0.25">
      <c r="A321" s="52"/>
      <c r="B321" s="52"/>
      <c r="C321" s="52"/>
      <c r="D321" s="52"/>
      <c r="E321" s="52"/>
      <c r="F321" s="141"/>
      <c r="G321" s="52"/>
    </row>
    <row r="322" spans="1:7" ht="15.75" x14ac:dyDescent="0.25">
      <c r="A322" s="90"/>
      <c r="B322" s="52"/>
      <c r="C322" s="52"/>
      <c r="D322" s="52"/>
      <c r="E322" s="52"/>
      <c r="F322" s="52"/>
      <c r="G322" s="52"/>
    </row>
    <row r="323" spans="1:7" ht="15.75" x14ac:dyDescent="0.25">
      <c r="A323" s="178" t="s">
        <v>33</v>
      </c>
      <c r="B323" s="178"/>
      <c r="C323" s="178"/>
      <c r="D323" s="178"/>
      <c r="E323" s="178"/>
      <c r="F323" s="178"/>
      <c r="G323" s="178"/>
    </row>
    <row r="324" spans="1:7" x14ac:dyDescent="0.25">
      <c r="A324" s="52"/>
      <c r="B324" s="52"/>
      <c r="C324" s="52"/>
      <c r="D324" s="52"/>
      <c r="E324" s="52"/>
      <c r="F324" s="52"/>
      <c r="G324" s="52"/>
    </row>
    <row r="325" spans="1:7" x14ac:dyDescent="0.25">
      <c r="A325" s="110" t="s">
        <v>118</v>
      </c>
      <c r="B325" s="110" t="s">
        <v>119</v>
      </c>
      <c r="C325" s="110" t="s">
        <v>120</v>
      </c>
      <c r="D325" s="110" t="s">
        <v>121</v>
      </c>
      <c r="E325" s="110" t="s">
        <v>122</v>
      </c>
      <c r="F325" s="110" t="s">
        <v>123</v>
      </c>
      <c r="G325" s="110" t="s">
        <v>124</v>
      </c>
    </row>
    <row r="326" spans="1:7" x14ac:dyDescent="0.25">
      <c r="A326" s="97" t="s">
        <v>155</v>
      </c>
      <c r="B326" s="91" t="s">
        <v>156</v>
      </c>
      <c r="C326" s="92">
        <v>275</v>
      </c>
      <c r="D326" s="92">
        <v>75.044371717499999</v>
      </c>
      <c r="E326" s="92">
        <f>C326/D326</f>
        <v>3.6644986653392326</v>
      </c>
      <c r="F326" s="93">
        <v>0</v>
      </c>
      <c r="G326" s="93">
        <f>F326*E326</f>
        <v>0</v>
      </c>
    </row>
    <row r="327" spans="1:7" x14ac:dyDescent="0.25">
      <c r="A327" s="97" t="s">
        <v>157</v>
      </c>
      <c r="B327" s="98" t="s">
        <v>142</v>
      </c>
      <c r="C327" s="92">
        <v>275</v>
      </c>
      <c r="D327" s="92">
        <v>150.56666666666669</v>
      </c>
      <c r="E327" s="92">
        <f>C327/D327</f>
        <v>1.8264334735443877</v>
      </c>
      <c r="F327" s="93">
        <f>'BG Hist Dic10'!C45</f>
        <v>40808.649999999994</v>
      </c>
      <c r="G327" s="93">
        <f>F327*E327</f>
        <v>74534.284370157169</v>
      </c>
    </row>
    <row r="328" spans="1:7" ht="15.75" thickBot="1" x14ac:dyDescent="0.3">
      <c r="A328" s="97" t="s">
        <v>158</v>
      </c>
      <c r="B328" s="98"/>
      <c r="C328" s="92">
        <v>1</v>
      </c>
      <c r="D328" s="92">
        <v>1</v>
      </c>
      <c r="E328" s="92">
        <f>C328/D328</f>
        <v>1</v>
      </c>
      <c r="F328" s="94">
        <f>'ER Hist Dic11'!D38</f>
        <v>29048.90200000034</v>
      </c>
      <c r="G328" s="94">
        <f>EdoResultados2011!D41</f>
        <v>107464.26163577261</v>
      </c>
    </row>
    <row r="329" spans="1:7" ht="15.75" thickTop="1" x14ac:dyDescent="0.25">
      <c r="A329" s="179" t="s">
        <v>133</v>
      </c>
      <c r="B329" s="179"/>
      <c r="C329" s="179"/>
      <c r="D329" s="179"/>
      <c r="E329" s="179"/>
      <c r="F329" s="95">
        <f>SUM(F326:F328)</f>
        <v>69857.552000000331</v>
      </c>
      <c r="G329" s="95">
        <f>SUM(G326:G328)</f>
        <v>181998.54600592976</v>
      </c>
    </row>
    <row r="332" spans="1:7" ht="18.75" x14ac:dyDescent="0.3">
      <c r="A332" s="184" t="s">
        <v>266</v>
      </c>
      <c r="B332" s="184"/>
      <c r="C332" s="184"/>
      <c r="D332" s="184"/>
      <c r="E332" s="184"/>
      <c r="F332" s="184"/>
      <c r="G332" s="184"/>
    </row>
    <row r="333" spans="1:7" ht="15.75" x14ac:dyDescent="0.25">
      <c r="A333" s="142" t="s">
        <v>267</v>
      </c>
      <c r="B333" s="52"/>
      <c r="C333" s="52"/>
      <c r="D333" s="52"/>
      <c r="E333" s="52"/>
      <c r="F333" s="52"/>
      <c r="G333" s="52"/>
    </row>
    <row r="334" spans="1:7" x14ac:dyDescent="0.25">
      <c r="A334" s="114" t="s">
        <v>118</v>
      </c>
      <c r="B334" s="114" t="s">
        <v>119</v>
      </c>
      <c r="C334" s="114" t="s">
        <v>120</v>
      </c>
      <c r="D334" s="114" t="s">
        <v>121</v>
      </c>
      <c r="E334" s="114" t="s">
        <v>122</v>
      </c>
      <c r="F334" s="114" t="s">
        <v>123</v>
      </c>
      <c r="G334" s="114" t="s">
        <v>124</v>
      </c>
    </row>
    <row r="335" spans="1:7" x14ac:dyDescent="0.25">
      <c r="A335" s="143" t="str">
        <f>'ER Hist Dic11'!A8</f>
        <v>Ventas Brutas</v>
      </c>
      <c r="B335" s="98" t="s">
        <v>268</v>
      </c>
      <c r="C335" s="92">
        <v>275</v>
      </c>
      <c r="D335" s="92">
        <v>247.0833333333334</v>
      </c>
      <c r="E335" s="92">
        <f t="shared" ref="E335:E345" si="31">C335/D335</f>
        <v>1.1129848229342325</v>
      </c>
      <c r="F335" s="93">
        <f>'ER Hist Dic11'!B8</f>
        <v>18811782.609999999</v>
      </c>
      <c r="G335" s="93">
        <f t="shared" ref="G335:G345" si="32">F335*E335</f>
        <v>20937228.537268125</v>
      </c>
    </row>
    <row r="336" spans="1:7" x14ac:dyDescent="0.25">
      <c r="A336" s="143" t="str">
        <f>'ER Hist Dic11'!A9</f>
        <v>Ingresos No operacionales</v>
      </c>
      <c r="B336" s="98" t="s">
        <v>268</v>
      </c>
      <c r="C336" s="92">
        <v>275</v>
      </c>
      <c r="D336" s="92">
        <v>247.0833333333334</v>
      </c>
      <c r="E336" s="92">
        <f t="shared" si="31"/>
        <v>1.1129848229342325</v>
      </c>
      <c r="F336" s="93">
        <f>'ER Hist Dic11'!B9</f>
        <v>76789.69</v>
      </c>
      <c r="G336" s="93">
        <f t="shared" si="32"/>
        <v>85465.759527824601</v>
      </c>
    </row>
    <row r="337" spans="1:7" x14ac:dyDescent="0.25">
      <c r="A337" s="143" t="str">
        <f>'ER Hist Dic11'!A10</f>
        <v>Ingresos Extraordinarios</v>
      </c>
      <c r="B337" s="98" t="s">
        <v>268</v>
      </c>
      <c r="C337" s="92">
        <v>275</v>
      </c>
      <c r="D337" s="92">
        <v>247.0833333333334</v>
      </c>
      <c r="E337" s="92">
        <f t="shared" si="31"/>
        <v>1.1129848229342325</v>
      </c>
      <c r="F337" s="93">
        <f>'ER Hist Dic11'!B10</f>
        <v>546797.67000000004</v>
      </c>
      <c r="G337" s="93">
        <f t="shared" si="32"/>
        <v>608577.50792580098</v>
      </c>
    </row>
    <row r="338" spans="1:7" x14ac:dyDescent="0.25">
      <c r="A338" s="34" t="str">
        <f>'ER Hist Dic11'!A14</f>
        <v>Costo de Construccion y Ventas</v>
      </c>
      <c r="B338" s="98" t="s">
        <v>268</v>
      </c>
      <c r="C338" s="92">
        <v>275</v>
      </c>
      <c r="D338" s="92">
        <v>247.0833333333334</v>
      </c>
      <c r="E338" s="92">
        <f t="shared" si="31"/>
        <v>1.1129848229342325</v>
      </c>
      <c r="F338" s="93">
        <f>'ER Hist Dic11'!B14</f>
        <v>14145884.439999999</v>
      </c>
      <c r="G338" s="93">
        <f t="shared" si="32"/>
        <v>15744154.688701514</v>
      </c>
    </row>
    <row r="339" spans="1:7" x14ac:dyDescent="0.25">
      <c r="A339" s="34" t="str">
        <f>'ER Hist Dic11'!A21</f>
        <v>Gastos de Personal</v>
      </c>
      <c r="B339" s="98" t="s">
        <v>268</v>
      </c>
      <c r="C339" s="92">
        <v>275</v>
      </c>
      <c r="D339" s="92">
        <v>247.0833333333334</v>
      </c>
      <c r="E339" s="92">
        <f t="shared" si="31"/>
        <v>1.1129848229342325</v>
      </c>
      <c r="F339" s="93">
        <f>'ER Hist Dic11'!B21</f>
        <v>684215.29</v>
      </c>
      <c r="G339" s="93">
        <f t="shared" si="32"/>
        <v>761521.23338954453</v>
      </c>
    </row>
    <row r="340" spans="1:7" x14ac:dyDescent="0.25">
      <c r="A340" s="34" t="str">
        <f>'ER Hist Dic11'!A22</f>
        <v>Otros Gastos de Personal</v>
      </c>
      <c r="B340" s="98" t="s">
        <v>268</v>
      </c>
      <c r="C340" s="92">
        <v>275</v>
      </c>
      <c r="D340" s="92">
        <v>247.0833333333334</v>
      </c>
      <c r="E340" s="92">
        <f t="shared" si="31"/>
        <v>1.1129848229342325</v>
      </c>
      <c r="F340" s="93">
        <f>'ER Hist Dic11'!B22</f>
        <v>900387.65999999992</v>
      </c>
      <c r="G340" s="93">
        <f t="shared" si="32"/>
        <v>1002117.8003372678</v>
      </c>
    </row>
    <row r="341" spans="1:7" x14ac:dyDescent="0.25">
      <c r="A341" s="34" t="str">
        <f>'ER Hist Dic11'!A23</f>
        <v>Gastos de Mantenimiento</v>
      </c>
      <c r="B341" s="98" t="s">
        <v>268</v>
      </c>
      <c r="C341" s="92">
        <v>275</v>
      </c>
      <c r="D341" s="92">
        <v>247.0833333333334</v>
      </c>
      <c r="E341" s="92">
        <f t="shared" si="31"/>
        <v>1.1129848229342325</v>
      </c>
      <c r="F341" s="93">
        <f>'ER Hist Dic11'!B23</f>
        <v>818558.95</v>
      </c>
      <c r="G341" s="93">
        <f t="shared" si="32"/>
        <v>911043.6880269812</v>
      </c>
    </row>
    <row r="342" spans="1:7" x14ac:dyDescent="0.25">
      <c r="A342" s="34" t="str">
        <f>'ER Hist Dic11'!A24</f>
        <v>Depreciación</v>
      </c>
      <c r="B342" s="98"/>
      <c r="C342" s="92">
        <v>1</v>
      </c>
      <c r="D342" s="92">
        <v>1</v>
      </c>
      <c r="E342" s="92">
        <f t="shared" si="31"/>
        <v>1</v>
      </c>
      <c r="F342" s="93">
        <f>(F238+F257+F278+F303)-('Calculos 2010'!F248+'Calculos 2010'!F267+'Calculos 2010'!F288+'Calculos 2010'!F313)</f>
        <v>530638.67999999993</v>
      </c>
      <c r="G342" s="93">
        <f>(G238+G257+G278+G303)-('Calculos 2010'!G248+'Calculos 2010'!G267+'Calculos 2010'!G288+'Calculos 2010'!G313)</f>
        <v>1453460.6399925058</v>
      </c>
    </row>
    <row r="343" spans="1:7" x14ac:dyDescent="0.25">
      <c r="A343" s="34" t="str">
        <f>'ER Hist Dic11'!A25</f>
        <v xml:space="preserve">Impuestos </v>
      </c>
      <c r="B343" s="98" t="s">
        <v>268</v>
      </c>
      <c r="C343" s="92">
        <v>275</v>
      </c>
      <c r="D343" s="92">
        <v>247.0833333333334</v>
      </c>
      <c r="E343" s="92">
        <f t="shared" si="31"/>
        <v>1.1129848229342325</v>
      </c>
      <c r="F343" s="93">
        <f>'ER Hist Dic11'!B25</f>
        <v>737010.7</v>
      </c>
      <c r="G343" s="93">
        <f t="shared" si="32"/>
        <v>820281.72344013466</v>
      </c>
    </row>
    <row r="344" spans="1:7" x14ac:dyDescent="0.25">
      <c r="A344" s="34" t="str">
        <f>'ER Hist Dic11'!A26</f>
        <v>Otros gastos</v>
      </c>
      <c r="B344" s="98" t="s">
        <v>268</v>
      </c>
      <c r="C344" s="92">
        <v>275</v>
      </c>
      <c r="D344" s="92">
        <v>247.0833333333334</v>
      </c>
      <c r="E344" s="92">
        <f t="shared" si="31"/>
        <v>1.1129848229342325</v>
      </c>
      <c r="F344" s="93">
        <f>'ER Hist Dic11'!B26</f>
        <v>133325.35</v>
      </c>
      <c r="G344" s="93">
        <f t="shared" si="32"/>
        <v>148389.09106239458</v>
      </c>
    </row>
    <row r="345" spans="1:7" x14ac:dyDescent="0.25">
      <c r="A345" s="34" t="str">
        <f>'ER Hist Dic11'!A27</f>
        <v>Gastos de Servicios</v>
      </c>
      <c r="B345" s="98" t="s">
        <v>268</v>
      </c>
      <c r="C345" s="92">
        <v>275</v>
      </c>
      <c r="D345" s="92">
        <v>247.0833333333334</v>
      </c>
      <c r="E345" s="92">
        <f t="shared" si="31"/>
        <v>1.1129848229342325</v>
      </c>
      <c r="F345" s="93">
        <f>'ER Hist Dic11'!B27</f>
        <v>612701.23</v>
      </c>
      <c r="G345" s="93">
        <f t="shared" si="32"/>
        <v>681927.16998313647</v>
      </c>
    </row>
    <row r="346" spans="1:7" x14ac:dyDescent="0.25">
      <c r="A346" s="34" t="str">
        <f>'ER Hist Dic11'!A28</f>
        <v>Gastos Generales de Viajes</v>
      </c>
      <c r="B346" s="98" t="s">
        <v>268</v>
      </c>
      <c r="C346" s="92">
        <v>275</v>
      </c>
      <c r="D346" s="92">
        <v>247.0833333333334</v>
      </c>
      <c r="E346" s="92">
        <f>C346/D346</f>
        <v>1.1129848229342325</v>
      </c>
      <c r="F346" s="93">
        <f>'ER Hist Dic11'!B28</f>
        <v>103037.76999999999</v>
      </c>
      <c r="G346" s="93">
        <f>F346*E346</f>
        <v>114679.47419898816</v>
      </c>
    </row>
    <row r="347" spans="1:7" x14ac:dyDescent="0.25">
      <c r="A347" s="34" t="str">
        <f>'ER Hist Dic11'!A29</f>
        <v>Gastos de Asesorías</v>
      </c>
      <c r="B347" s="98" t="s">
        <v>268</v>
      </c>
      <c r="C347" s="92">
        <v>275</v>
      </c>
      <c r="D347" s="92">
        <v>247.0833333333334</v>
      </c>
      <c r="E347" s="92">
        <f>C347/D347</f>
        <v>1.1129848229342325</v>
      </c>
      <c r="F347" s="93">
        <f>'ER Hist Dic11'!B29</f>
        <v>171068.22</v>
      </c>
      <c r="G347" s="93">
        <f>F347*E347</f>
        <v>190396.33254637432</v>
      </c>
    </row>
    <row r="348" spans="1:7" x14ac:dyDescent="0.25">
      <c r="A348" s="34" t="str">
        <f>'ER Hist Dic11'!A30</f>
        <v>Gastos Financieros</v>
      </c>
      <c r="B348" s="98" t="s">
        <v>268</v>
      </c>
      <c r="C348" s="92">
        <v>275</v>
      </c>
      <c r="D348" s="92">
        <v>247.0833333333334</v>
      </c>
      <c r="E348" s="92">
        <f>C348/D348</f>
        <v>1.1129848229342325</v>
      </c>
      <c r="F348" s="93">
        <f>'ER Hist Dic11'!B30</f>
        <v>157944.29</v>
      </c>
      <c r="G348" s="93">
        <f>F348*E348</f>
        <v>175789.59763912307</v>
      </c>
    </row>
    <row r="349" spans="1:7" x14ac:dyDescent="0.25">
      <c r="A349" s="122" t="str">
        <f>'ER Hist Dic11'!A36</f>
        <v>Gasto de Impuesto sobre la Renta</v>
      </c>
      <c r="B349" s="98" t="s">
        <v>269</v>
      </c>
      <c r="C349" s="92">
        <v>275</v>
      </c>
      <c r="D349" s="92">
        <v>247.0833333333334</v>
      </c>
      <c r="E349" s="92">
        <f>C349/D349</f>
        <v>1.1129848229342325</v>
      </c>
      <c r="F349" s="93">
        <f>'ER Hist Dic11'!D36</f>
        <v>150108.37</v>
      </c>
      <c r="G349" s="93">
        <f>F349*E349</f>
        <v>167068.33760539626</v>
      </c>
    </row>
  </sheetData>
  <mergeCells count="26">
    <mergeCell ref="A2:G2"/>
    <mergeCell ref="A332:G332"/>
    <mergeCell ref="A37:E37"/>
    <mergeCell ref="A40:G40"/>
    <mergeCell ref="A306:G306"/>
    <mergeCell ref="A311:E311"/>
    <mergeCell ref="A314:G314"/>
    <mergeCell ref="A3:G3"/>
    <mergeCell ref="A6:G6"/>
    <mergeCell ref="A25:G25"/>
    <mergeCell ref="A30:E30"/>
    <mergeCell ref="A33:G33"/>
    <mergeCell ref="A53:E53"/>
    <mergeCell ref="A75:G75"/>
    <mergeCell ref="A96:G96"/>
    <mergeCell ref="A121:G121"/>
    <mergeCell ref="A181:G181"/>
    <mergeCell ref="A45:E45"/>
    <mergeCell ref="A48:G48"/>
    <mergeCell ref="A56:G56"/>
    <mergeCell ref="A329:E329"/>
    <mergeCell ref="A320:E320"/>
    <mergeCell ref="A323:G323"/>
    <mergeCell ref="A241:G241"/>
    <mergeCell ref="A260:G260"/>
    <mergeCell ref="A281:G281"/>
  </mergeCells>
  <pageMargins left="0.7" right="0.7" top="0.75" bottom="0.75" header="0.3" footer="0.3"/>
  <pageSetup paperSize="9" orientation="portrait" horizontalDpi="0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7" sqref="F7"/>
    </sheetView>
  </sheetViews>
  <sheetFormatPr baseColWidth="10" defaultRowHeight="15" x14ac:dyDescent="0.25"/>
  <cols>
    <col min="1" max="1" width="37" customWidth="1"/>
    <col min="2" max="4" width="16.7109375" customWidth="1"/>
    <col min="5" max="5" width="13.28515625" bestFit="1" customWidth="1"/>
  </cols>
  <sheetData>
    <row r="1" spans="1:6" ht="15.75" x14ac:dyDescent="0.25">
      <c r="A1" s="185" t="s">
        <v>304</v>
      </c>
      <c r="B1" s="185"/>
      <c r="C1" s="185"/>
      <c r="D1" s="185"/>
    </row>
    <row r="2" spans="1:6" x14ac:dyDescent="0.25">
      <c r="A2" s="186" t="s">
        <v>0</v>
      </c>
      <c r="B2" s="186"/>
      <c r="C2" s="186"/>
      <c r="D2" s="186"/>
    </row>
    <row r="3" spans="1:6" x14ac:dyDescent="0.25">
      <c r="A3" s="186" t="s">
        <v>2</v>
      </c>
      <c r="B3" s="186"/>
      <c r="C3" s="186"/>
      <c r="D3" s="186"/>
    </row>
    <row r="4" spans="1:6" x14ac:dyDescent="0.25">
      <c r="A4" s="179" t="s">
        <v>1</v>
      </c>
      <c r="B4" s="179"/>
      <c r="C4" s="179"/>
      <c r="D4" s="179"/>
    </row>
    <row r="7" spans="1:6" x14ac:dyDescent="0.25">
      <c r="A7" s="7" t="s">
        <v>3</v>
      </c>
      <c r="B7" s="1"/>
      <c r="C7" s="1"/>
      <c r="D7" s="1"/>
      <c r="E7" s="1"/>
      <c r="F7" s="1"/>
    </row>
    <row r="8" spans="1:6" x14ac:dyDescent="0.25">
      <c r="A8" s="2" t="s">
        <v>53</v>
      </c>
      <c r="B8" s="3">
        <v>7086130.2300000004</v>
      </c>
      <c r="C8" s="1"/>
      <c r="D8" s="1"/>
      <c r="E8" s="1"/>
      <c r="F8" s="1"/>
    </row>
    <row r="9" spans="1:6" x14ac:dyDescent="0.25">
      <c r="A9" s="2" t="s">
        <v>97</v>
      </c>
      <c r="B9" s="4">
        <v>169652.07</v>
      </c>
      <c r="C9" s="1"/>
      <c r="D9" s="1"/>
      <c r="E9" s="1"/>
      <c r="F9" s="1"/>
    </row>
    <row r="10" spans="1:6" x14ac:dyDescent="0.25">
      <c r="A10" s="2" t="s">
        <v>4</v>
      </c>
      <c r="B10" s="1"/>
      <c r="C10" s="3">
        <f>SUM(B8:B9)</f>
        <v>7255782.3000000007</v>
      </c>
      <c r="D10" s="1"/>
      <c r="F10" s="1"/>
    </row>
    <row r="11" spans="1:6" x14ac:dyDescent="0.25">
      <c r="A11" s="1"/>
      <c r="B11" s="1"/>
      <c r="C11" s="1"/>
      <c r="D11" s="1"/>
      <c r="F11" s="1"/>
    </row>
    <row r="12" spans="1:6" x14ac:dyDescent="0.25">
      <c r="A12" s="7" t="s">
        <v>98</v>
      </c>
      <c r="B12" s="1"/>
      <c r="C12" s="1"/>
      <c r="D12" s="1"/>
      <c r="F12" s="1"/>
    </row>
    <row r="13" spans="1:6" x14ac:dyDescent="0.25">
      <c r="A13" s="2" t="s">
        <v>99</v>
      </c>
      <c r="B13" s="4">
        <v>6938663.1100000003</v>
      </c>
      <c r="C13" s="1"/>
      <c r="D13" s="1"/>
      <c r="F13" s="1"/>
    </row>
    <row r="14" spans="1:6" x14ac:dyDescent="0.25">
      <c r="A14" s="2" t="s">
        <v>5</v>
      </c>
      <c r="B14" s="3">
        <f>B13</f>
        <v>6938663.1100000003</v>
      </c>
      <c r="C14" s="1"/>
      <c r="D14" s="1"/>
      <c r="F14" s="1"/>
    </row>
    <row r="15" spans="1:6" x14ac:dyDescent="0.25">
      <c r="A15" s="2" t="s">
        <v>100</v>
      </c>
      <c r="B15" s="1"/>
      <c r="C15" s="4">
        <f>SUM(B14)</f>
        <v>6938663.1100000003</v>
      </c>
      <c r="D15" s="1"/>
      <c r="F15" s="1"/>
    </row>
    <row r="16" spans="1:6" x14ac:dyDescent="0.25">
      <c r="A16" s="10" t="s">
        <v>61</v>
      </c>
      <c r="B16" s="1"/>
      <c r="C16" s="1"/>
      <c r="D16" s="8">
        <f>C10-C15</f>
        <v>317119.19000000041</v>
      </c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7" t="s">
        <v>8</v>
      </c>
      <c r="B18" s="5"/>
      <c r="C18" s="1"/>
      <c r="D18" s="1"/>
      <c r="E18" s="1"/>
      <c r="F18" s="1"/>
    </row>
    <row r="19" spans="1:6" x14ac:dyDescent="0.25">
      <c r="A19" s="2" t="s">
        <v>9</v>
      </c>
      <c r="B19" s="5"/>
      <c r="C19" s="1"/>
      <c r="D19" s="1"/>
      <c r="E19" s="1"/>
      <c r="F19" s="1"/>
    </row>
    <row r="20" spans="1:6" x14ac:dyDescent="0.25">
      <c r="A20" s="2" t="s">
        <v>10</v>
      </c>
      <c r="B20" s="3">
        <v>1795743.96</v>
      </c>
      <c r="C20" s="1"/>
      <c r="D20" s="1"/>
      <c r="E20" s="1"/>
      <c r="F20" s="1"/>
    </row>
    <row r="21" spans="1:6" x14ac:dyDescent="0.25">
      <c r="A21" s="2" t="s">
        <v>11</v>
      </c>
      <c r="B21" s="3">
        <v>680242.47</v>
      </c>
      <c r="C21" s="1"/>
      <c r="D21" s="1"/>
      <c r="E21" s="1"/>
      <c r="F21" s="1"/>
    </row>
    <row r="22" spans="1:6" x14ac:dyDescent="0.25">
      <c r="A22" s="2" t="s">
        <v>101</v>
      </c>
      <c r="B22" s="3">
        <v>402115.49</v>
      </c>
      <c r="C22" s="1"/>
      <c r="D22" s="1"/>
      <c r="E22" s="1"/>
      <c r="F22" s="1"/>
    </row>
    <row r="23" spans="1:6" x14ac:dyDescent="0.25">
      <c r="A23" s="2" t="s">
        <v>12</v>
      </c>
      <c r="B23" s="3">
        <v>5764.03</v>
      </c>
      <c r="C23" s="1"/>
      <c r="D23" s="1"/>
      <c r="E23" s="1"/>
      <c r="F23" s="1"/>
    </row>
    <row r="24" spans="1:6" x14ac:dyDescent="0.25">
      <c r="A24" s="2" t="s">
        <v>14</v>
      </c>
      <c r="B24" s="3">
        <v>49912.56</v>
      </c>
      <c r="C24" s="1"/>
      <c r="D24" s="1"/>
      <c r="E24" s="1"/>
      <c r="F24" s="1"/>
    </row>
    <row r="25" spans="1:6" x14ac:dyDescent="0.25">
      <c r="A25" s="2" t="s">
        <v>58</v>
      </c>
      <c r="B25" s="3">
        <v>241138.98</v>
      </c>
      <c r="C25" s="1"/>
      <c r="D25" s="1"/>
      <c r="E25" s="1"/>
      <c r="F25" s="1"/>
    </row>
    <row r="26" spans="1:6" x14ac:dyDescent="0.25">
      <c r="A26" s="2" t="s">
        <v>59</v>
      </c>
      <c r="B26" s="3">
        <v>9722.2200000000012</v>
      </c>
      <c r="C26" s="1"/>
      <c r="D26" s="1"/>
      <c r="E26" s="1"/>
      <c r="F26" s="1"/>
    </row>
    <row r="27" spans="1:6" x14ac:dyDescent="0.25">
      <c r="A27" s="2" t="s">
        <v>13</v>
      </c>
      <c r="B27" s="4">
        <v>397739.34</v>
      </c>
      <c r="C27" s="1"/>
      <c r="D27" s="1"/>
      <c r="E27" s="1"/>
      <c r="F27" s="1"/>
    </row>
    <row r="28" spans="1:6" x14ac:dyDescent="0.25">
      <c r="A28" s="2" t="s">
        <v>6</v>
      </c>
      <c r="B28" s="1"/>
      <c r="C28" s="3">
        <f>SUM(B20:B27)</f>
        <v>3582379.05</v>
      </c>
      <c r="D28" s="1"/>
      <c r="E28" s="1"/>
      <c r="F28" s="1"/>
    </row>
    <row r="29" spans="1:6" x14ac:dyDescent="0.25">
      <c r="A29" s="2" t="s">
        <v>7</v>
      </c>
      <c r="B29" s="1"/>
      <c r="C29" s="3"/>
      <c r="D29" s="4">
        <f>+C28</f>
        <v>3582379.05</v>
      </c>
      <c r="E29" s="1"/>
      <c r="F29" s="1"/>
    </row>
    <row r="30" spans="1:6" x14ac:dyDescent="0.25">
      <c r="A30" s="10" t="s">
        <v>62</v>
      </c>
      <c r="B30" s="1"/>
      <c r="C30" s="1"/>
      <c r="D30" s="8">
        <f>D16-D29</f>
        <v>-3265259.8599999994</v>
      </c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ht="15.75" thickBot="1" x14ac:dyDescent="0.3">
      <c r="A33" s="10" t="s">
        <v>63</v>
      </c>
      <c r="B33" s="1"/>
      <c r="C33" s="1"/>
      <c r="D33" s="6">
        <f>D30</f>
        <v>-3265259.8599999994</v>
      </c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1" t="s">
        <v>16</v>
      </c>
      <c r="B36" s="1"/>
      <c r="C36" s="1"/>
      <c r="D36" s="1"/>
      <c r="E36" s="1"/>
      <c r="F36" s="1"/>
    </row>
    <row r="37" spans="1:6" x14ac:dyDescent="0.25">
      <c r="A37" s="12" t="str">
        <f>A1</f>
        <v>EJEMPLO, S.A.</v>
      </c>
      <c r="B37" s="1"/>
      <c r="C37" s="1"/>
      <c r="D37" s="1"/>
      <c r="E37" s="1"/>
      <c r="F37" s="1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  <ignoredErrors>
    <ignoredError sqref="B14 D29:D30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sqref="A1:D1"/>
    </sheetView>
  </sheetViews>
  <sheetFormatPr baseColWidth="10" defaultRowHeight="15" x14ac:dyDescent="0.25"/>
  <cols>
    <col min="1" max="1" width="40.7109375" customWidth="1"/>
    <col min="2" max="2" width="11.85546875" customWidth="1"/>
    <col min="3" max="3" width="17.85546875" customWidth="1"/>
    <col min="4" max="4" width="17.7109375" customWidth="1"/>
    <col min="5" max="5" width="14" bestFit="1" customWidth="1"/>
    <col min="6" max="6" width="15.7109375" customWidth="1"/>
    <col min="7" max="7" width="12.28515625" bestFit="1" customWidth="1"/>
    <col min="8" max="8" width="13.85546875" bestFit="1" customWidth="1"/>
    <col min="10" max="10" width="12.85546875" bestFit="1" customWidth="1"/>
  </cols>
  <sheetData>
    <row r="1" spans="1:6" ht="15.75" x14ac:dyDescent="0.25">
      <c r="A1" s="185" t="s">
        <v>304</v>
      </c>
      <c r="B1" s="185"/>
      <c r="C1" s="185"/>
      <c r="D1" s="185"/>
    </row>
    <row r="2" spans="1:6" x14ac:dyDescent="0.25">
      <c r="A2" s="186" t="s">
        <v>17</v>
      </c>
      <c r="B2" s="186"/>
      <c r="C2" s="186"/>
      <c r="D2" s="186"/>
    </row>
    <row r="3" spans="1:6" x14ac:dyDescent="0.25">
      <c r="A3" s="186" t="s">
        <v>37</v>
      </c>
      <c r="B3" s="186"/>
      <c r="C3" s="186"/>
      <c r="D3" s="186"/>
    </row>
    <row r="4" spans="1:6" x14ac:dyDescent="0.25">
      <c r="A4" s="179" t="s">
        <v>1</v>
      </c>
      <c r="B4" s="179"/>
      <c r="C4" s="179"/>
      <c r="D4" s="179"/>
    </row>
    <row r="5" spans="1:6" x14ac:dyDescent="0.25">
      <c r="A5" s="13"/>
      <c r="B5" s="13"/>
      <c r="C5" s="13"/>
      <c r="D5" s="13"/>
    </row>
    <row r="6" spans="1:6" x14ac:dyDescent="0.25">
      <c r="A6" s="14"/>
      <c r="B6" s="15"/>
      <c r="C6" s="15"/>
      <c r="D6" s="15"/>
    </row>
    <row r="7" spans="1:6" x14ac:dyDescent="0.25">
      <c r="A7" s="16" t="s">
        <v>18</v>
      </c>
      <c r="B7" s="15"/>
      <c r="C7" s="15"/>
      <c r="D7" s="15"/>
    </row>
    <row r="8" spans="1:6" x14ac:dyDescent="0.25">
      <c r="A8" s="16" t="s">
        <v>19</v>
      </c>
      <c r="B8" s="15"/>
      <c r="C8" s="15"/>
      <c r="D8" s="15"/>
    </row>
    <row r="9" spans="1:6" x14ac:dyDescent="0.25">
      <c r="A9" s="16" t="s">
        <v>20</v>
      </c>
      <c r="B9" s="15"/>
      <c r="C9" s="15"/>
      <c r="D9" s="15"/>
    </row>
    <row r="10" spans="1:6" x14ac:dyDescent="0.25">
      <c r="A10" s="14" t="s">
        <v>21</v>
      </c>
      <c r="B10" s="15"/>
      <c r="C10" s="25">
        <v>694019.9</v>
      </c>
      <c r="D10" s="25"/>
    </row>
    <row r="11" spans="1:6" x14ac:dyDescent="0.25">
      <c r="A11" s="16" t="s">
        <v>38</v>
      </c>
      <c r="B11" s="15"/>
      <c r="C11" s="25"/>
      <c r="D11" s="25"/>
    </row>
    <row r="12" spans="1:6" x14ac:dyDescent="0.25">
      <c r="A12" s="14" t="s">
        <v>65</v>
      </c>
      <c r="B12" s="15"/>
      <c r="C12" s="25">
        <v>5751670.4299999997</v>
      </c>
      <c r="D12" s="25"/>
    </row>
    <row r="13" spans="1:6" x14ac:dyDescent="0.25">
      <c r="A13" s="14" t="s">
        <v>103</v>
      </c>
      <c r="B13" s="15"/>
      <c r="C13" s="25">
        <v>613425.38</v>
      </c>
      <c r="D13" s="25"/>
    </row>
    <row r="14" spans="1:6" x14ac:dyDescent="0.25">
      <c r="A14" s="14" t="s">
        <v>104</v>
      </c>
      <c r="B14" s="15"/>
      <c r="C14" s="25">
        <v>1095585.3999999999</v>
      </c>
      <c r="D14" s="25"/>
    </row>
    <row r="15" spans="1:6" x14ac:dyDescent="0.25">
      <c r="A15" s="16" t="s">
        <v>22</v>
      </c>
      <c r="B15" s="15"/>
      <c r="C15" s="25"/>
      <c r="D15" s="25"/>
    </row>
    <row r="16" spans="1:6" x14ac:dyDescent="0.25">
      <c r="A16" s="14" t="s">
        <v>66</v>
      </c>
      <c r="B16" s="15"/>
      <c r="C16" s="25">
        <v>7072643.8099999996</v>
      </c>
      <c r="D16" s="25"/>
      <c r="E16" s="107"/>
      <c r="F16" s="107"/>
    </row>
    <row r="17" spans="1:10" x14ac:dyDescent="0.25">
      <c r="A17" s="16" t="s">
        <v>23</v>
      </c>
      <c r="B17" s="15"/>
      <c r="C17" s="25"/>
      <c r="D17" s="25"/>
    </row>
    <row r="18" spans="1:10" x14ac:dyDescent="0.25">
      <c r="A18" s="14" t="s">
        <v>39</v>
      </c>
      <c r="B18" s="15"/>
      <c r="C18" s="26">
        <v>953669.25</v>
      </c>
      <c r="D18" s="25"/>
    </row>
    <row r="19" spans="1:10" x14ac:dyDescent="0.25">
      <c r="A19" s="14" t="s">
        <v>24</v>
      </c>
      <c r="B19" s="15"/>
      <c r="C19" s="25"/>
      <c r="D19" s="25">
        <f>SUM(C10:C18)</f>
        <v>16181014.169999998</v>
      </c>
    </row>
    <row r="20" spans="1:10" x14ac:dyDescent="0.25">
      <c r="A20" s="16" t="s">
        <v>102</v>
      </c>
      <c r="B20" s="15"/>
      <c r="C20" s="25"/>
      <c r="D20" s="25"/>
    </row>
    <row r="21" spans="1:10" x14ac:dyDescent="0.25">
      <c r="A21" s="14" t="s">
        <v>159</v>
      </c>
      <c r="B21" s="15"/>
      <c r="D21" s="25">
        <v>245076.35</v>
      </c>
    </row>
    <row r="22" spans="1:10" x14ac:dyDescent="0.25">
      <c r="A22" s="16" t="s">
        <v>25</v>
      </c>
      <c r="B22" s="15"/>
      <c r="C22" s="25"/>
      <c r="D22" s="25"/>
    </row>
    <row r="23" spans="1:10" x14ac:dyDescent="0.25">
      <c r="A23" s="14" t="s">
        <v>49</v>
      </c>
      <c r="B23" s="15"/>
      <c r="C23" s="25">
        <v>80000</v>
      </c>
      <c r="D23" s="25"/>
    </row>
    <row r="24" spans="1:10" x14ac:dyDescent="0.25">
      <c r="A24" s="14" t="s">
        <v>50</v>
      </c>
      <c r="B24" s="15"/>
      <c r="C24" s="25">
        <v>3368152.11</v>
      </c>
      <c r="D24" s="25"/>
      <c r="E24" s="108"/>
      <c r="F24" s="117"/>
      <c r="G24" s="117"/>
      <c r="H24" s="117"/>
      <c r="I24" s="117"/>
      <c r="J24" s="118"/>
    </row>
    <row r="25" spans="1:10" x14ac:dyDescent="0.25">
      <c r="A25" s="14" t="s">
        <v>51</v>
      </c>
      <c r="B25" s="15"/>
      <c r="C25" s="26">
        <v>-1285407.2</v>
      </c>
      <c r="D25" s="25"/>
      <c r="E25" s="108"/>
      <c r="F25" s="117"/>
      <c r="G25" s="117"/>
      <c r="H25" s="117"/>
      <c r="I25" s="117"/>
      <c r="J25" s="118"/>
    </row>
    <row r="26" spans="1:10" x14ac:dyDescent="0.25">
      <c r="A26" s="14" t="s">
        <v>26</v>
      </c>
      <c r="B26" s="15"/>
      <c r="C26" s="25"/>
      <c r="D26" s="25">
        <f>SUM(C23:C25)</f>
        <v>2162744.91</v>
      </c>
      <c r="F26" s="82"/>
      <c r="G26" s="82"/>
      <c r="H26" s="82"/>
      <c r="I26" s="82"/>
      <c r="J26" s="118"/>
    </row>
    <row r="27" spans="1:10" ht="15.75" thickBot="1" x14ac:dyDescent="0.3">
      <c r="A27" s="17" t="s">
        <v>27</v>
      </c>
      <c r="B27" s="15"/>
      <c r="C27" s="25"/>
      <c r="D27" s="27">
        <f>D19+D21+D26</f>
        <v>18588835.43</v>
      </c>
      <c r="F27" s="29"/>
      <c r="G27" s="118"/>
      <c r="H27" s="82"/>
      <c r="I27" s="82"/>
      <c r="J27" s="82"/>
    </row>
    <row r="28" spans="1:10" ht="15.75" thickTop="1" x14ac:dyDescent="0.25">
      <c r="A28" s="14"/>
      <c r="B28" s="15"/>
      <c r="C28" s="25"/>
      <c r="D28" s="25"/>
    </row>
    <row r="29" spans="1:10" x14ac:dyDescent="0.25">
      <c r="A29" s="16" t="s">
        <v>28</v>
      </c>
      <c r="B29" s="15"/>
      <c r="C29" s="25"/>
      <c r="D29" s="25"/>
      <c r="F29" s="107"/>
    </row>
    <row r="30" spans="1:10" x14ac:dyDescent="0.25">
      <c r="A30" s="16" t="s">
        <v>19</v>
      </c>
      <c r="B30" s="15"/>
      <c r="C30" s="25"/>
      <c r="D30" s="25"/>
      <c r="F30" s="107"/>
    </row>
    <row r="31" spans="1:10" x14ac:dyDescent="0.25">
      <c r="A31" s="18" t="s">
        <v>41</v>
      </c>
      <c r="B31" s="15"/>
      <c r="C31" s="25">
        <v>916750.08</v>
      </c>
      <c r="D31" s="25"/>
      <c r="F31" s="107"/>
    </row>
    <row r="32" spans="1:10" x14ac:dyDescent="0.25">
      <c r="A32" s="18" t="s">
        <v>105</v>
      </c>
      <c r="B32" s="15"/>
      <c r="C32" s="25">
        <v>173724.09</v>
      </c>
      <c r="D32" s="25"/>
    </row>
    <row r="33" spans="1:4" x14ac:dyDescent="0.25">
      <c r="A33" s="18" t="s">
        <v>40</v>
      </c>
      <c r="B33" s="19"/>
      <c r="C33" s="25">
        <v>117846.18</v>
      </c>
      <c r="D33" s="25"/>
    </row>
    <row r="34" spans="1:4" x14ac:dyDescent="0.25">
      <c r="A34" s="18" t="s">
        <v>42</v>
      </c>
      <c r="B34" s="19"/>
      <c r="C34" s="26">
        <v>98095.17</v>
      </c>
      <c r="D34" s="28"/>
    </row>
    <row r="35" spans="1:4" x14ac:dyDescent="0.25">
      <c r="A35" s="18" t="s">
        <v>43</v>
      </c>
      <c r="B35" s="19"/>
      <c r="C35" s="28"/>
      <c r="D35" s="28">
        <f>SUM(C31:C34)</f>
        <v>1306415.5199999998</v>
      </c>
    </row>
    <row r="36" spans="1:4" x14ac:dyDescent="0.25">
      <c r="A36" s="16" t="s">
        <v>44</v>
      </c>
      <c r="B36" s="19"/>
      <c r="C36" s="28"/>
      <c r="D36" s="28"/>
    </row>
    <row r="37" spans="1:4" x14ac:dyDescent="0.25">
      <c r="A37" s="18" t="s">
        <v>46</v>
      </c>
      <c r="B37" s="19"/>
      <c r="C37" s="25">
        <v>154229.99</v>
      </c>
      <c r="D37" s="25"/>
    </row>
    <row r="38" spans="1:4" x14ac:dyDescent="0.25">
      <c r="A38" s="18" t="s">
        <v>47</v>
      </c>
      <c r="B38" s="19"/>
      <c r="C38" s="26">
        <v>18736541.349999998</v>
      </c>
      <c r="D38" s="28"/>
    </row>
    <row r="39" spans="1:4" x14ac:dyDescent="0.25">
      <c r="A39" s="18" t="s">
        <v>45</v>
      </c>
      <c r="B39" s="19"/>
      <c r="C39" s="28"/>
      <c r="D39" s="26">
        <f>SUM(C37:C38)</f>
        <v>18890771.339999996</v>
      </c>
    </row>
    <row r="40" spans="1:4" ht="15.75" thickBot="1" x14ac:dyDescent="0.3">
      <c r="A40" s="17" t="s">
        <v>29</v>
      </c>
      <c r="B40" s="20"/>
      <c r="C40" s="29"/>
      <c r="D40" s="27">
        <f>D35+D39</f>
        <v>20197186.859999996</v>
      </c>
    </row>
    <row r="41" spans="1:4" ht="15.75" thickTop="1" x14ac:dyDescent="0.25">
      <c r="A41" s="14"/>
      <c r="B41" s="15"/>
      <c r="C41" s="25"/>
      <c r="D41" s="25"/>
    </row>
    <row r="42" spans="1:4" x14ac:dyDescent="0.25">
      <c r="A42" s="16" t="s">
        <v>30</v>
      </c>
      <c r="B42" s="15"/>
      <c r="C42" s="25"/>
      <c r="D42" s="25"/>
    </row>
    <row r="43" spans="1:4" x14ac:dyDescent="0.25">
      <c r="A43" s="14" t="s">
        <v>31</v>
      </c>
      <c r="B43" s="15"/>
      <c r="C43" s="25">
        <v>1000000</v>
      </c>
      <c r="D43" s="25"/>
    </row>
    <row r="44" spans="1:4" x14ac:dyDescent="0.25">
      <c r="A44" s="14" t="s">
        <v>106</v>
      </c>
      <c r="B44" s="15"/>
      <c r="C44" s="25">
        <v>616099.78</v>
      </c>
      <c r="D44" s="25"/>
    </row>
    <row r="45" spans="1:4" x14ac:dyDescent="0.25">
      <c r="A45" s="14" t="s">
        <v>33</v>
      </c>
      <c r="B45" s="15"/>
      <c r="C45" s="25">
        <v>40808.649999999994</v>
      </c>
      <c r="D45" s="25"/>
    </row>
    <row r="46" spans="1:4" x14ac:dyDescent="0.25">
      <c r="A46" s="14" t="s">
        <v>107</v>
      </c>
      <c r="B46" s="15"/>
      <c r="C46" s="26">
        <v>-3265259.86</v>
      </c>
      <c r="D46" s="25"/>
    </row>
    <row r="47" spans="1:4" x14ac:dyDescent="0.25">
      <c r="A47" s="17" t="s">
        <v>34</v>
      </c>
      <c r="B47" s="20"/>
      <c r="C47" s="30"/>
      <c r="D47" s="31">
        <f>SUM(C43:C46)</f>
        <v>-1608351.43</v>
      </c>
    </row>
    <row r="48" spans="1:4" ht="15.75" thickBot="1" x14ac:dyDescent="0.3">
      <c r="A48" s="17" t="s">
        <v>35</v>
      </c>
      <c r="B48" s="15"/>
      <c r="C48" s="25"/>
      <c r="D48" s="27">
        <f>SUM(D40+D47)</f>
        <v>18588835.429999996</v>
      </c>
    </row>
    <row r="49" spans="1:4" ht="15.75" thickTop="1" x14ac:dyDescent="0.25">
      <c r="A49" s="14"/>
      <c r="B49" s="15"/>
      <c r="C49" s="15"/>
      <c r="D49" s="15"/>
    </row>
    <row r="50" spans="1:4" x14ac:dyDescent="0.25">
      <c r="A50" s="14"/>
      <c r="B50" s="15"/>
      <c r="C50" s="15"/>
      <c r="D50" s="15"/>
    </row>
    <row r="51" spans="1:4" x14ac:dyDescent="0.25">
      <c r="A51" s="11" t="s">
        <v>16</v>
      </c>
      <c r="B51" s="21"/>
      <c r="C51" s="21"/>
      <c r="D51" s="21"/>
    </row>
    <row r="52" spans="1:4" x14ac:dyDescent="0.25">
      <c r="A52" s="22" t="str">
        <f>A1</f>
        <v>EJEMPLO, S.A.</v>
      </c>
      <c r="B52" s="23"/>
      <c r="C52" s="23"/>
      <c r="D52" s="23"/>
    </row>
    <row r="53" spans="1:4" x14ac:dyDescent="0.25">
      <c r="A53" s="1"/>
      <c r="B53" s="1"/>
      <c r="C53" s="1"/>
      <c r="D53" s="1"/>
    </row>
    <row r="54" spans="1:4" x14ac:dyDescent="0.25">
      <c r="B54" s="1"/>
      <c r="C54" s="1"/>
      <c r="D54" s="1"/>
    </row>
    <row r="56" spans="1:4" x14ac:dyDescent="0.25">
      <c r="A56" s="24" t="s">
        <v>36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sqref="A1:D1"/>
    </sheetView>
  </sheetViews>
  <sheetFormatPr baseColWidth="10" defaultRowHeight="15" x14ac:dyDescent="0.25"/>
  <cols>
    <col min="1" max="1" width="37" customWidth="1"/>
    <col min="2" max="4" width="16.7109375" customWidth="1"/>
  </cols>
  <sheetData>
    <row r="1" spans="1:4" ht="15.75" x14ac:dyDescent="0.25">
      <c r="A1" s="185" t="s">
        <v>304</v>
      </c>
      <c r="B1" s="185"/>
      <c r="C1" s="185"/>
      <c r="D1" s="185"/>
    </row>
    <row r="2" spans="1:4" x14ac:dyDescent="0.25">
      <c r="A2" s="186" t="s">
        <v>0</v>
      </c>
      <c r="B2" s="186"/>
      <c r="C2" s="186"/>
      <c r="D2" s="186"/>
    </row>
    <row r="3" spans="1:4" x14ac:dyDescent="0.25">
      <c r="A3" s="186" t="s">
        <v>52</v>
      </c>
      <c r="B3" s="186"/>
      <c r="C3" s="186"/>
      <c r="D3" s="186"/>
    </row>
    <row r="4" spans="1:4" x14ac:dyDescent="0.25">
      <c r="A4" s="179" t="s">
        <v>1</v>
      </c>
      <c r="B4" s="179"/>
      <c r="C4" s="179"/>
      <c r="D4" s="179"/>
    </row>
    <row r="7" spans="1:4" x14ac:dyDescent="0.25">
      <c r="A7" s="7" t="s">
        <v>3</v>
      </c>
      <c r="B7" s="52"/>
      <c r="C7" s="52"/>
      <c r="D7" s="52"/>
    </row>
    <row r="8" spans="1:4" x14ac:dyDescent="0.25">
      <c r="A8" s="2" t="s">
        <v>53</v>
      </c>
      <c r="B8" s="3">
        <v>18811782.609999999</v>
      </c>
      <c r="C8" s="52"/>
      <c r="D8" s="52"/>
    </row>
    <row r="9" spans="1:4" x14ac:dyDescent="0.25">
      <c r="A9" s="2" t="s">
        <v>97</v>
      </c>
      <c r="B9" s="3">
        <v>76789.69</v>
      </c>
      <c r="C9" s="52"/>
      <c r="D9" s="52"/>
    </row>
    <row r="10" spans="1:4" x14ac:dyDescent="0.25">
      <c r="A10" s="2" t="s">
        <v>108</v>
      </c>
      <c r="B10" s="4">
        <v>546797.67000000004</v>
      </c>
      <c r="C10" s="52"/>
      <c r="D10" s="52"/>
    </row>
    <row r="11" spans="1:4" x14ac:dyDescent="0.25">
      <c r="A11" s="2" t="s">
        <v>4</v>
      </c>
      <c r="B11" s="52"/>
      <c r="C11" s="3">
        <f>SUM(B8:B10)</f>
        <v>19435369.970000003</v>
      </c>
      <c r="D11" s="52"/>
    </row>
    <row r="12" spans="1:4" x14ac:dyDescent="0.25">
      <c r="A12" s="52"/>
      <c r="B12" s="52"/>
      <c r="C12" s="52"/>
      <c r="D12" s="52"/>
    </row>
    <row r="13" spans="1:4" x14ac:dyDescent="0.25">
      <c r="A13" s="7" t="s">
        <v>98</v>
      </c>
      <c r="B13" s="52"/>
      <c r="C13" s="52"/>
      <c r="D13" s="52"/>
    </row>
    <row r="14" spans="1:4" x14ac:dyDescent="0.25">
      <c r="A14" s="2" t="s">
        <v>99</v>
      </c>
      <c r="B14" s="4">
        <v>14145884.439999999</v>
      </c>
      <c r="C14" s="52"/>
      <c r="D14" s="52"/>
    </row>
    <row r="15" spans="1:4" x14ac:dyDescent="0.25">
      <c r="A15" s="2" t="s">
        <v>5</v>
      </c>
      <c r="B15" s="3">
        <f>B14</f>
        <v>14145884.439999999</v>
      </c>
      <c r="C15" s="52"/>
      <c r="D15" s="52"/>
    </row>
    <row r="16" spans="1:4" x14ac:dyDescent="0.25">
      <c r="A16" s="2" t="s">
        <v>100</v>
      </c>
      <c r="B16" s="52"/>
      <c r="C16" s="4">
        <f>SUM(B15)</f>
        <v>14145884.439999999</v>
      </c>
      <c r="D16" s="52"/>
    </row>
    <row r="17" spans="1:4" x14ac:dyDescent="0.25">
      <c r="A17" s="10" t="s">
        <v>61</v>
      </c>
      <c r="B17" s="52"/>
      <c r="C17" s="52"/>
      <c r="D17" s="8">
        <f>C11-C16</f>
        <v>5289485.5300000031</v>
      </c>
    </row>
    <row r="18" spans="1:4" x14ac:dyDescent="0.25">
      <c r="A18" s="52"/>
      <c r="B18" s="52"/>
      <c r="C18" s="52"/>
      <c r="D18" s="52"/>
    </row>
    <row r="19" spans="1:4" x14ac:dyDescent="0.25">
      <c r="A19" s="7" t="s">
        <v>8</v>
      </c>
      <c r="B19" s="5"/>
      <c r="C19" s="52"/>
      <c r="D19" s="52"/>
    </row>
    <row r="20" spans="1:4" x14ac:dyDescent="0.25">
      <c r="A20" s="2" t="s">
        <v>9</v>
      </c>
      <c r="B20" s="5"/>
      <c r="C20" s="52"/>
      <c r="D20" s="52"/>
    </row>
    <row r="21" spans="1:4" x14ac:dyDescent="0.25">
      <c r="A21" s="2" t="s">
        <v>10</v>
      </c>
      <c r="B21" s="3">
        <v>684215.29</v>
      </c>
      <c r="C21" s="52"/>
      <c r="D21" s="52"/>
    </row>
    <row r="22" spans="1:4" x14ac:dyDescent="0.25">
      <c r="A22" s="2" t="s">
        <v>109</v>
      </c>
      <c r="B22" s="3">
        <v>900387.65999999992</v>
      </c>
      <c r="C22" s="52"/>
      <c r="D22" s="52"/>
    </row>
    <row r="23" spans="1:4" x14ac:dyDescent="0.25">
      <c r="A23" s="2" t="s">
        <v>54</v>
      </c>
      <c r="B23" s="3">
        <v>818558.95</v>
      </c>
      <c r="C23" s="52"/>
      <c r="D23" s="52"/>
    </row>
    <row r="24" spans="1:4" x14ac:dyDescent="0.25">
      <c r="A24" s="2" t="s">
        <v>55</v>
      </c>
      <c r="B24" s="3">
        <v>530638.68000000005</v>
      </c>
      <c r="C24" s="52"/>
      <c r="D24" s="52"/>
    </row>
    <row r="25" spans="1:4" x14ac:dyDescent="0.25">
      <c r="A25" s="2" t="s">
        <v>56</v>
      </c>
      <c r="B25" s="3">
        <v>737010.7</v>
      </c>
      <c r="C25" s="52"/>
      <c r="D25" s="52"/>
    </row>
    <row r="26" spans="1:4" x14ac:dyDescent="0.25">
      <c r="A26" s="2" t="s">
        <v>57</v>
      </c>
      <c r="B26" s="3">
        <v>133325.35</v>
      </c>
      <c r="C26" s="52"/>
      <c r="D26" s="52"/>
    </row>
    <row r="27" spans="1:4" x14ac:dyDescent="0.25">
      <c r="A27" s="2" t="s">
        <v>58</v>
      </c>
      <c r="B27" s="3">
        <v>612701.23</v>
      </c>
      <c r="C27" s="52"/>
      <c r="D27" s="52"/>
    </row>
    <row r="28" spans="1:4" x14ac:dyDescent="0.25">
      <c r="A28" s="2" t="s">
        <v>59</v>
      </c>
      <c r="B28" s="3">
        <v>103037.76999999999</v>
      </c>
      <c r="C28" s="52"/>
      <c r="D28" s="52"/>
    </row>
    <row r="29" spans="1:4" x14ac:dyDescent="0.25">
      <c r="A29" s="2" t="s">
        <v>60</v>
      </c>
      <c r="B29" s="3">
        <v>171068.22</v>
      </c>
      <c r="C29" s="52"/>
      <c r="D29" s="52"/>
    </row>
    <row r="30" spans="1:4" x14ac:dyDescent="0.25">
      <c r="A30" s="2" t="s">
        <v>15</v>
      </c>
      <c r="B30" s="4">
        <v>157944.29</v>
      </c>
      <c r="C30" s="52"/>
      <c r="D30" s="52"/>
    </row>
    <row r="31" spans="1:4" x14ac:dyDescent="0.25">
      <c r="A31" s="2" t="s">
        <v>6</v>
      </c>
      <c r="B31" s="52"/>
      <c r="C31" s="3">
        <f>SUM(B21:B30)</f>
        <v>4848888.1399999997</v>
      </c>
      <c r="D31" s="52"/>
    </row>
    <row r="32" spans="1:4" x14ac:dyDescent="0.25">
      <c r="A32" s="2" t="s">
        <v>7</v>
      </c>
      <c r="B32" s="52"/>
      <c r="C32" s="3"/>
      <c r="D32" s="4">
        <f>+C31</f>
        <v>4848888.1399999997</v>
      </c>
    </row>
    <row r="33" spans="1:4" x14ac:dyDescent="0.25">
      <c r="A33" s="10" t="s">
        <v>62</v>
      </c>
      <c r="B33" s="52"/>
      <c r="C33" s="52"/>
      <c r="D33" s="8">
        <f>D17-D32</f>
        <v>440597.39000000339</v>
      </c>
    </row>
    <row r="34" spans="1:4" x14ac:dyDescent="0.25">
      <c r="A34" s="52"/>
      <c r="B34" s="52"/>
      <c r="C34" s="52"/>
      <c r="D34" s="52"/>
    </row>
    <row r="35" spans="1:4" x14ac:dyDescent="0.25">
      <c r="A35" s="87" t="s">
        <v>110</v>
      </c>
      <c r="B35" s="52"/>
      <c r="C35" s="52"/>
      <c r="D35" s="81">
        <f>D33</f>
        <v>440597.39000000339</v>
      </c>
    </row>
    <row r="36" spans="1:4" x14ac:dyDescent="0.25">
      <c r="A36" s="85" t="s">
        <v>111</v>
      </c>
      <c r="B36" s="52"/>
      <c r="C36" s="52"/>
      <c r="D36" s="4">
        <v>150108.37</v>
      </c>
    </row>
    <row r="37" spans="1:4" x14ac:dyDescent="0.25">
      <c r="A37" s="10" t="s">
        <v>113</v>
      </c>
      <c r="B37" s="88"/>
      <c r="C37" s="88"/>
      <c r="D37" s="81">
        <f>D35-D36</f>
        <v>290489.02000000339</v>
      </c>
    </row>
    <row r="38" spans="1:4" x14ac:dyDescent="0.25">
      <c r="A38" s="85" t="s">
        <v>112</v>
      </c>
      <c r="B38" s="52"/>
      <c r="C38" s="52"/>
      <c r="D38" s="4">
        <v>29048.90200000034</v>
      </c>
    </row>
    <row r="39" spans="1:4" x14ac:dyDescent="0.25">
      <c r="A39" s="85"/>
      <c r="B39" s="52"/>
      <c r="C39" s="52"/>
      <c r="D39" s="86"/>
    </row>
    <row r="40" spans="1:4" ht="15.75" thickBot="1" x14ac:dyDescent="0.3">
      <c r="A40" s="89" t="s">
        <v>114</v>
      </c>
      <c r="B40" s="52"/>
      <c r="C40" s="52"/>
      <c r="D40" s="6">
        <f>D37-D38</f>
        <v>261440.11800000304</v>
      </c>
    </row>
    <row r="41" spans="1:4" x14ac:dyDescent="0.25">
      <c r="A41" s="52"/>
      <c r="B41" s="52"/>
      <c r="C41" s="52"/>
      <c r="D41" s="52"/>
    </row>
    <row r="42" spans="1:4" x14ac:dyDescent="0.25">
      <c r="A42" s="52"/>
      <c r="B42" s="52"/>
      <c r="C42" s="52"/>
      <c r="D42" s="52"/>
    </row>
    <row r="43" spans="1:4" x14ac:dyDescent="0.25">
      <c r="A43" s="37" t="s">
        <v>16</v>
      </c>
      <c r="B43" s="52"/>
      <c r="C43" s="52"/>
      <c r="D43" s="52"/>
    </row>
    <row r="44" spans="1:4" x14ac:dyDescent="0.25">
      <c r="A44" s="12" t="str">
        <f>A1</f>
        <v>EJEMPLO, S.A.</v>
      </c>
      <c r="B44" s="52"/>
      <c r="C44" s="52"/>
      <c r="D44" s="52"/>
    </row>
    <row r="45" spans="1:4" s="82" customFormat="1" x14ac:dyDescent="0.25">
      <c r="A45" s="80"/>
      <c r="B45" s="9"/>
      <c r="C45" s="9"/>
      <c r="D45" s="81"/>
    </row>
    <row r="46" spans="1:4" s="82" customFormat="1" x14ac:dyDescent="0.25">
      <c r="A46" s="9"/>
      <c r="B46" s="9"/>
      <c r="C46" s="9"/>
      <c r="D46" s="9"/>
    </row>
    <row r="47" spans="1:4" s="82" customFormat="1" x14ac:dyDescent="0.25">
      <c r="A47" s="9"/>
      <c r="B47" s="9"/>
      <c r="C47" s="9"/>
      <c r="D47" s="9"/>
    </row>
    <row r="48" spans="1:4" s="82" customFormat="1" x14ac:dyDescent="0.25">
      <c r="A48" s="83"/>
      <c r="B48" s="9"/>
      <c r="C48" s="9"/>
      <c r="D48" s="9"/>
    </row>
    <row r="49" spans="1:4" s="82" customFormat="1" x14ac:dyDescent="0.25">
      <c r="A49" s="84"/>
      <c r="B49" s="9"/>
      <c r="C49" s="9"/>
      <c r="D49" s="9"/>
    </row>
    <row r="50" spans="1:4" s="82" customFormat="1" x14ac:dyDescent="0.25"/>
    <row r="51" spans="1:4" s="82" customFormat="1" x14ac:dyDescent="0.25"/>
    <row r="52" spans="1:4" s="82" customFormat="1" x14ac:dyDescent="0.25"/>
    <row r="53" spans="1:4" s="82" customFormat="1" x14ac:dyDescent="0.25"/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A8" sqref="A8"/>
    </sheetView>
  </sheetViews>
  <sheetFormatPr baseColWidth="10" defaultRowHeight="15" x14ac:dyDescent="0.25"/>
  <cols>
    <col min="1" max="1" width="40.7109375" customWidth="1"/>
    <col min="2" max="2" width="11.85546875" customWidth="1"/>
    <col min="3" max="3" width="17.85546875" customWidth="1"/>
    <col min="4" max="4" width="17.7109375" customWidth="1"/>
    <col min="5" max="5" width="15.5703125" customWidth="1"/>
    <col min="6" max="6" width="15.140625" bestFit="1" customWidth="1"/>
    <col min="7" max="7" width="15.7109375" bestFit="1" customWidth="1"/>
    <col min="8" max="8" width="14.5703125" bestFit="1" customWidth="1"/>
    <col min="9" max="10" width="15.140625" customWidth="1"/>
    <col min="11" max="11" width="12.28515625" bestFit="1" customWidth="1"/>
  </cols>
  <sheetData>
    <row r="1" spans="1:6" ht="15.75" x14ac:dyDescent="0.25">
      <c r="A1" s="185" t="s">
        <v>304</v>
      </c>
      <c r="B1" s="185"/>
      <c r="C1" s="185"/>
      <c r="D1" s="185"/>
    </row>
    <row r="2" spans="1:6" x14ac:dyDescent="0.25">
      <c r="A2" s="186" t="s">
        <v>17</v>
      </c>
      <c r="B2" s="186"/>
      <c r="C2" s="186"/>
      <c r="D2" s="186"/>
    </row>
    <row r="3" spans="1:6" x14ac:dyDescent="0.25">
      <c r="A3" s="186" t="s">
        <v>64</v>
      </c>
      <c r="B3" s="186"/>
      <c r="C3" s="186"/>
      <c r="D3" s="186"/>
    </row>
    <row r="4" spans="1:6" x14ac:dyDescent="0.25">
      <c r="A4" s="179" t="s">
        <v>1</v>
      </c>
      <c r="B4" s="179"/>
      <c r="C4" s="179"/>
      <c r="D4" s="179"/>
    </row>
    <row r="5" spans="1:6" x14ac:dyDescent="0.25">
      <c r="A5" s="76"/>
      <c r="B5" s="76"/>
      <c r="C5" s="76"/>
      <c r="D5" s="76"/>
    </row>
    <row r="6" spans="1:6" x14ac:dyDescent="0.25">
      <c r="A6" s="14"/>
      <c r="B6" s="15"/>
      <c r="C6" s="15"/>
      <c r="D6" s="15"/>
    </row>
    <row r="7" spans="1:6" x14ac:dyDescent="0.25">
      <c r="A7" s="16" t="s">
        <v>18</v>
      </c>
      <c r="B7" s="15"/>
      <c r="C7" s="15"/>
      <c r="D7" s="15"/>
    </row>
    <row r="8" spans="1:6" x14ac:dyDescent="0.25">
      <c r="A8" s="16" t="s">
        <v>19</v>
      </c>
      <c r="B8" s="15"/>
      <c r="C8" s="15"/>
      <c r="D8" s="15"/>
    </row>
    <row r="9" spans="1:6" x14ac:dyDescent="0.25">
      <c r="A9" s="16" t="s">
        <v>20</v>
      </c>
      <c r="B9" s="15"/>
      <c r="C9" s="15"/>
      <c r="D9" s="15"/>
    </row>
    <row r="10" spans="1:6" x14ac:dyDescent="0.25">
      <c r="A10" s="14" t="s">
        <v>21</v>
      </c>
      <c r="B10" s="15"/>
      <c r="C10" s="25">
        <v>395702.32</v>
      </c>
      <c r="D10" s="25"/>
    </row>
    <row r="11" spans="1:6" x14ac:dyDescent="0.25">
      <c r="A11" s="16" t="s">
        <v>38</v>
      </c>
      <c r="B11" s="15"/>
      <c r="C11" s="25"/>
      <c r="D11" s="25"/>
    </row>
    <row r="12" spans="1:6" x14ac:dyDescent="0.25">
      <c r="A12" s="14" t="s">
        <v>65</v>
      </c>
      <c r="B12" s="15"/>
      <c r="C12" s="25">
        <v>6180817.1799999997</v>
      </c>
      <c r="D12" s="25"/>
    </row>
    <row r="13" spans="1:6" x14ac:dyDescent="0.25">
      <c r="A13" s="14" t="s">
        <v>103</v>
      </c>
      <c r="B13" s="15"/>
      <c r="C13" s="25">
        <v>801745.41</v>
      </c>
      <c r="D13" s="25"/>
    </row>
    <row r="14" spans="1:6" x14ac:dyDescent="0.25">
      <c r="A14" s="14" t="s">
        <v>104</v>
      </c>
      <c r="B14" s="15"/>
      <c r="C14" s="25">
        <v>1384397.1800000002</v>
      </c>
      <c r="D14" s="25"/>
      <c r="F14" s="107"/>
    </row>
    <row r="15" spans="1:6" x14ac:dyDescent="0.25">
      <c r="A15" s="16" t="s">
        <v>22</v>
      </c>
      <c r="B15" s="15"/>
      <c r="C15" s="25"/>
      <c r="D15" s="25"/>
    </row>
    <row r="16" spans="1:6" x14ac:dyDescent="0.25">
      <c r="A16" s="14" t="s">
        <v>115</v>
      </c>
      <c r="B16" s="15"/>
      <c r="C16" s="25">
        <v>1404010.09</v>
      </c>
      <c r="D16" s="25"/>
    </row>
    <row r="17" spans="1:8" x14ac:dyDescent="0.25">
      <c r="A17" s="14" t="s">
        <v>66</v>
      </c>
      <c r="B17" s="15"/>
      <c r="C17" s="25">
        <v>468458.69</v>
      </c>
      <c r="D17" s="25"/>
      <c r="F17" s="107"/>
    </row>
    <row r="18" spans="1:8" x14ac:dyDescent="0.25">
      <c r="A18" s="16" t="s">
        <v>23</v>
      </c>
      <c r="B18" s="15"/>
      <c r="C18" s="25"/>
      <c r="D18" s="25"/>
    </row>
    <row r="19" spans="1:8" x14ac:dyDescent="0.25">
      <c r="A19" s="14" t="s">
        <v>39</v>
      </c>
      <c r="B19" s="15"/>
      <c r="C19" s="26">
        <v>255154.68</v>
      </c>
      <c r="D19" s="25"/>
    </row>
    <row r="20" spans="1:8" x14ac:dyDescent="0.25">
      <c r="A20" s="14" t="s">
        <v>24</v>
      </c>
      <c r="B20" s="15"/>
      <c r="C20" s="25"/>
      <c r="D20" s="25">
        <f>SUM(C10:C19)</f>
        <v>10890285.549999999</v>
      </c>
    </row>
    <row r="21" spans="1:8" x14ac:dyDescent="0.25">
      <c r="A21" s="16" t="s">
        <v>102</v>
      </c>
      <c r="B21" s="15"/>
      <c r="C21" s="25"/>
      <c r="D21" s="25"/>
    </row>
    <row r="22" spans="1:8" x14ac:dyDescent="0.25">
      <c r="A22" s="14" t="s">
        <v>159</v>
      </c>
      <c r="B22" s="15"/>
      <c r="D22" s="25">
        <v>245076.35</v>
      </c>
    </row>
    <row r="23" spans="1:8" x14ac:dyDescent="0.25">
      <c r="A23" s="16" t="s">
        <v>25</v>
      </c>
      <c r="B23" s="15"/>
      <c r="C23" s="25"/>
      <c r="D23" s="25"/>
    </row>
    <row r="24" spans="1:8" x14ac:dyDescent="0.25">
      <c r="A24" s="14" t="s">
        <v>49</v>
      </c>
      <c r="B24" s="15"/>
      <c r="C24" s="25">
        <v>80000</v>
      </c>
      <c r="D24" s="25"/>
    </row>
    <row r="25" spans="1:8" x14ac:dyDescent="0.25">
      <c r="A25" s="14" t="s">
        <v>50</v>
      </c>
      <c r="B25" s="15"/>
      <c r="C25" s="25">
        <v>3469125.05</v>
      </c>
      <c r="D25" s="25"/>
      <c r="F25" s="107"/>
      <c r="G25" s="107"/>
    </row>
    <row r="26" spans="1:8" x14ac:dyDescent="0.25">
      <c r="A26" s="14" t="s">
        <v>51</v>
      </c>
      <c r="B26" s="15"/>
      <c r="C26" s="26">
        <v>-1816045.88</v>
      </c>
      <c r="D26" s="25"/>
      <c r="F26" s="107"/>
      <c r="G26" s="140"/>
    </row>
    <row r="27" spans="1:8" x14ac:dyDescent="0.25">
      <c r="A27" s="14" t="s">
        <v>26</v>
      </c>
      <c r="B27" s="15"/>
      <c r="C27" s="25"/>
      <c r="D27" s="25">
        <f>SUM(C24:C26)</f>
        <v>1733079.17</v>
      </c>
      <c r="F27" s="108"/>
      <c r="G27" s="108"/>
      <c r="H27" s="107"/>
    </row>
    <row r="28" spans="1:8" ht="15.75" thickBot="1" x14ac:dyDescent="0.3">
      <c r="A28" s="17" t="s">
        <v>27</v>
      </c>
      <c r="B28" s="15"/>
      <c r="C28" s="25"/>
      <c r="D28" s="27">
        <f>D20+D22+D27</f>
        <v>12868441.069999998</v>
      </c>
    </row>
    <row r="29" spans="1:8" ht="15.75" thickTop="1" x14ac:dyDescent="0.25">
      <c r="A29" s="14"/>
      <c r="B29" s="15"/>
      <c r="C29" s="25"/>
      <c r="D29" s="25"/>
      <c r="F29" s="107"/>
    </row>
    <row r="30" spans="1:8" x14ac:dyDescent="0.25">
      <c r="A30" s="16" t="s">
        <v>28</v>
      </c>
      <c r="B30" s="15"/>
      <c r="C30" s="25"/>
      <c r="D30" s="25"/>
      <c r="F30" s="107"/>
    </row>
    <row r="31" spans="1:8" x14ac:dyDescent="0.25">
      <c r="A31" s="16" t="s">
        <v>19</v>
      </c>
      <c r="B31" s="15"/>
      <c r="C31" s="25"/>
      <c r="D31" s="25"/>
      <c r="F31" s="107"/>
    </row>
    <row r="32" spans="1:8" x14ac:dyDescent="0.25">
      <c r="A32" s="18" t="s">
        <v>41</v>
      </c>
      <c r="B32" s="15"/>
      <c r="C32" s="25">
        <v>2500000</v>
      </c>
      <c r="D32" s="25"/>
    </row>
    <row r="33" spans="1:11" x14ac:dyDescent="0.25">
      <c r="A33" s="18" t="s">
        <v>105</v>
      </c>
      <c r="B33" s="15"/>
      <c r="C33" s="25">
        <v>56995.979999999996</v>
      </c>
      <c r="D33" s="25"/>
    </row>
    <row r="34" spans="1:11" x14ac:dyDescent="0.25">
      <c r="A34" s="18" t="s">
        <v>257</v>
      </c>
      <c r="B34" s="15"/>
      <c r="C34" s="25">
        <f>'ER Hist Dic11'!D36</f>
        <v>150108.37</v>
      </c>
      <c r="D34" s="25"/>
    </row>
    <row r="35" spans="1:11" x14ac:dyDescent="0.25">
      <c r="A35" s="18" t="s">
        <v>42</v>
      </c>
      <c r="B35" s="19"/>
      <c r="C35" s="26">
        <v>1771806.82</v>
      </c>
      <c r="D35" s="28"/>
    </row>
    <row r="36" spans="1:11" x14ac:dyDescent="0.25">
      <c r="A36" s="18" t="s">
        <v>43</v>
      </c>
      <c r="B36" s="19"/>
      <c r="C36" s="28"/>
      <c r="D36" s="28">
        <f>SUM(C32:C35)</f>
        <v>4478911.17</v>
      </c>
    </row>
    <row r="37" spans="1:11" x14ac:dyDescent="0.25">
      <c r="A37" s="16" t="s">
        <v>44</v>
      </c>
      <c r="B37" s="19"/>
      <c r="C37" s="28"/>
      <c r="D37" s="28"/>
    </row>
    <row r="38" spans="1:11" x14ac:dyDescent="0.25">
      <c r="A38" s="18" t="s">
        <v>46</v>
      </c>
      <c r="B38" s="19"/>
      <c r="C38" s="25">
        <v>184931.39</v>
      </c>
      <c r="D38" s="25"/>
    </row>
    <row r="39" spans="1:11" x14ac:dyDescent="0.25">
      <c r="A39" s="18" t="s">
        <v>47</v>
      </c>
      <c r="B39" s="19"/>
      <c r="C39" s="26">
        <v>9644518.2899999991</v>
      </c>
      <c r="D39" s="28"/>
    </row>
    <row r="40" spans="1:11" x14ac:dyDescent="0.25">
      <c r="A40" s="18" t="s">
        <v>45</v>
      </c>
      <c r="B40" s="19"/>
      <c r="C40" s="28"/>
      <c r="D40" s="26">
        <f>SUM(C38:C39)</f>
        <v>9829449.6799999997</v>
      </c>
    </row>
    <row r="41" spans="1:11" ht="15.75" thickBot="1" x14ac:dyDescent="0.3">
      <c r="A41" s="17" t="s">
        <v>29</v>
      </c>
      <c r="B41" s="20"/>
      <c r="C41" s="29"/>
      <c r="D41" s="27">
        <f>D36+D40</f>
        <v>14308360.85</v>
      </c>
    </row>
    <row r="42" spans="1:11" ht="15.75" thickTop="1" x14ac:dyDescent="0.25">
      <c r="A42" s="14"/>
      <c r="B42" s="15"/>
      <c r="C42" s="25"/>
      <c r="D42" s="25"/>
    </row>
    <row r="43" spans="1:11" x14ac:dyDescent="0.25">
      <c r="A43" s="16" t="s">
        <v>30</v>
      </c>
      <c r="B43" s="15"/>
      <c r="C43" s="25"/>
      <c r="D43" s="25"/>
      <c r="I43" s="131"/>
      <c r="J43" s="131"/>
    </row>
    <row r="44" spans="1:11" x14ac:dyDescent="0.25">
      <c r="A44" s="14" t="s">
        <v>31</v>
      </c>
      <c r="B44" s="15"/>
      <c r="C44" s="25">
        <v>1000000</v>
      </c>
      <c r="D44" s="25"/>
      <c r="F44" s="107"/>
      <c r="G44" s="107"/>
      <c r="H44" s="107"/>
      <c r="I44" s="107"/>
    </row>
    <row r="45" spans="1:11" x14ac:dyDescent="0.25">
      <c r="A45" s="14" t="s">
        <v>106</v>
      </c>
      <c r="B45" s="15"/>
      <c r="C45" s="25">
        <v>-2771217.45</v>
      </c>
      <c r="D45" s="25"/>
      <c r="F45" s="107"/>
      <c r="G45" s="107"/>
      <c r="H45" s="107"/>
      <c r="I45" s="107"/>
      <c r="J45" s="107"/>
      <c r="K45" s="107"/>
    </row>
    <row r="46" spans="1:11" x14ac:dyDescent="0.25">
      <c r="A46" s="14" t="s">
        <v>33</v>
      </c>
      <c r="B46" s="15"/>
      <c r="C46" s="25">
        <v>69857.55</v>
      </c>
      <c r="D46" s="25"/>
      <c r="F46" s="107"/>
      <c r="G46" s="107"/>
      <c r="H46" s="107"/>
      <c r="I46" s="107"/>
      <c r="J46" s="108"/>
    </row>
    <row r="47" spans="1:11" x14ac:dyDescent="0.25">
      <c r="A47" s="14" t="s">
        <v>107</v>
      </c>
      <c r="B47" s="15"/>
      <c r="C47" s="26">
        <f>'ER Hist Dic11'!D40</f>
        <v>261440.11800000304</v>
      </c>
      <c r="D47" s="25"/>
      <c r="F47" s="107"/>
      <c r="G47" s="107"/>
      <c r="H47" s="107"/>
      <c r="I47" s="107"/>
      <c r="J47" s="108"/>
    </row>
    <row r="48" spans="1:11" x14ac:dyDescent="0.25">
      <c r="A48" s="17" t="s">
        <v>34</v>
      </c>
      <c r="B48" s="20"/>
      <c r="C48" s="30"/>
      <c r="D48" s="31">
        <f>SUM(C44:C47)</f>
        <v>-1439919.7819999971</v>
      </c>
      <c r="G48" s="107"/>
      <c r="H48" s="107"/>
      <c r="I48" s="107"/>
    </row>
    <row r="49" spans="1:5" ht="15.75" thickBot="1" x14ac:dyDescent="0.3">
      <c r="A49" s="17" t="s">
        <v>35</v>
      </c>
      <c r="B49" s="15"/>
      <c r="C49" s="25"/>
      <c r="D49" s="27">
        <f>SUM(D41+D48)</f>
        <v>12868441.068000002</v>
      </c>
      <c r="E49" s="107"/>
    </row>
    <row r="50" spans="1:5" ht="15.75" thickTop="1" x14ac:dyDescent="0.25">
      <c r="A50" s="14"/>
      <c r="B50" s="15"/>
      <c r="C50" s="15"/>
      <c r="D50" s="15"/>
    </row>
    <row r="51" spans="1:5" x14ac:dyDescent="0.25">
      <c r="A51" s="14"/>
      <c r="B51" s="15"/>
      <c r="C51" s="15"/>
      <c r="D51" s="15"/>
    </row>
    <row r="52" spans="1:5" x14ac:dyDescent="0.25">
      <c r="A52" s="77" t="s">
        <v>16</v>
      </c>
      <c r="B52" s="21"/>
      <c r="C52" s="21"/>
      <c r="D52" s="21"/>
    </row>
    <row r="53" spans="1:5" x14ac:dyDescent="0.25">
      <c r="A53" s="75" t="str">
        <f>A1</f>
        <v>EJEMPLO, S.A.</v>
      </c>
      <c r="B53" s="23"/>
      <c r="C53" s="23"/>
      <c r="D53" s="23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D1"/>
    </sheetView>
  </sheetViews>
  <sheetFormatPr baseColWidth="10" defaultRowHeight="15" x14ac:dyDescent="0.25"/>
  <cols>
    <col min="1" max="1" width="40.7109375" customWidth="1"/>
    <col min="2" max="2" width="11.85546875" customWidth="1"/>
    <col min="3" max="3" width="17.85546875" customWidth="1"/>
    <col min="4" max="4" width="17.7109375" customWidth="1"/>
    <col min="5" max="5" width="22.7109375" customWidth="1"/>
    <col min="6" max="6" width="11.85546875" customWidth="1"/>
    <col min="7" max="7" width="17.85546875" customWidth="1"/>
    <col min="8" max="8" width="17.7109375" customWidth="1"/>
  </cols>
  <sheetData>
    <row r="1" spans="1:9" ht="15.75" x14ac:dyDescent="0.25">
      <c r="A1" s="185" t="s">
        <v>304</v>
      </c>
      <c r="B1" s="185"/>
      <c r="C1" s="185"/>
      <c r="D1" s="185"/>
    </row>
    <row r="2" spans="1:9" x14ac:dyDescent="0.25">
      <c r="A2" s="186" t="s">
        <v>275</v>
      </c>
      <c r="B2" s="186"/>
      <c r="C2" s="186"/>
      <c r="D2" s="186"/>
    </row>
    <row r="3" spans="1:9" x14ac:dyDescent="0.25">
      <c r="A3" s="179" t="s">
        <v>1</v>
      </c>
      <c r="B3" s="179"/>
      <c r="C3" s="179"/>
      <c r="D3" s="179"/>
    </row>
    <row r="4" spans="1:9" x14ac:dyDescent="0.25">
      <c r="A4" s="133"/>
      <c r="B4" s="133"/>
      <c r="C4" s="133"/>
      <c r="D4" s="133"/>
    </row>
    <row r="5" spans="1:9" x14ac:dyDescent="0.25">
      <c r="A5" s="14"/>
      <c r="B5" s="15"/>
      <c r="C5" s="187">
        <v>40543</v>
      </c>
      <c r="D5" s="187">
        <v>40908</v>
      </c>
    </row>
    <row r="6" spans="1:9" x14ac:dyDescent="0.25">
      <c r="A6" s="16" t="s">
        <v>18</v>
      </c>
      <c r="B6" s="15"/>
      <c r="C6" s="188"/>
      <c r="D6" s="188"/>
      <c r="E6" s="16"/>
    </row>
    <row r="7" spans="1:9" x14ac:dyDescent="0.25">
      <c r="A7" s="16" t="s">
        <v>19</v>
      </c>
      <c r="B7" s="15"/>
      <c r="C7" s="15"/>
      <c r="D7" s="15"/>
      <c r="E7" s="148"/>
      <c r="F7" s="19"/>
      <c r="G7" s="19"/>
      <c r="H7" s="19"/>
      <c r="I7" s="82"/>
    </row>
    <row r="8" spans="1:9" x14ac:dyDescent="0.25">
      <c r="A8" s="16" t="s">
        <v>20</v>
      </c>
      <c r="B8" s="15"/>
      <c r="C8" s="15"/>
      <c r="D8" s="15"/>
      <c r="E8" s="148"/>
      <c r="F8" s="19"/>
      <c r="G8" s="19"/>
      <c r="H8" s="19"/>
      <c r="I8" s="82"/>
    </row>
    <row r="9" spans="1:9" x14ac:dyDescent="0.25">
      <c r="A9" s="14" t="s">
        <v>21</v>
      </c>
      <c r="B9" s="15"/>
      <c r="C9" s="25">
        <v>694019.9</v>
      </c>
      <c r="D9" s="25">
        <v>395702.32</v>
      </c>
      <c r="E9" s="28">
        <f>D9-C9</f>
        <v>-298317.58</v>
      </c>
      <c r="F9" s="19"/>
      <c r="G9" s="28"/>
      <c r="H9" s="28"/>
      <c r="I9" s="82"/>
    </row>
    <row r="10" spans="1:9" x14ac:dyDescent="0.25">
      <c r="A10" s="16" t="s">
        <v>38</v>
      </c>
      <c r="B10" s="15"/>
      <c r="C10" s="25"/>
      <c r="D10" s="25"/>
      <c r="E10" s="148"/>
      <c r="F10" s="19"/>
      <c r="G10" s="28"/>
      <c r="H10" s="28"/>
      <c r="I10" s="82"/>
    </row>
    <row r="11" spans="1:9" x14ac:dyDescent="0.25">
      <c r="A11" s="14" t="s">
        <v>65</v>
      </c>
      <c r="B11" s="15"/>
      <c r="C11" s="25">
        <v>5751670.4299999997</v>
      </c>
      <c r="D11" s="25">
        <v>6180817.1799999997</v>
      </c>
      <c r="E11" s="28">
        <f>D11-C11</f>
        <v>429146.75</v>
      </c>
      <c r="F11" s="19" t="s">
        <v>276</v>
      </c>
      <c r="G11" s="28"/>
      <c r="H11" s="28"/>
      <c r="I11" s="82"/>
    </row>
    <row r="12" spans="1:9" x14ac:dyDescent="0.25">
      <c r="A12" s="14" t="s">
        <v>103</v>
      </c>
      <c r="B12" s="15"/>
      <c r="C12" s="25">
        <v>613425.38</v>
      </c>
      <c r="D12" s="25">
        <v>801745.41</v>
      </c>
      <c r="E12" s="28">
        <f t="shared" ref="E12:E47" si="0">D12-C12</f>
        <v>188320.03000000003</v>
      </c>
      <c r="F12" s="19" t="s">
        <v>276</v>
      </c>
      <c r="G12" s="28"/>
      <c r="H12" s="28"/>
      <c r="I12" s="82"/>
    </row>
    <row r="13" spans="1:9" x14ac:dyDescent="0.25">
      <c r="A13" s="14" t="s">
        <v>104</v>
      </c>
      <c r="B13" s="15"/>
      <c r="C13" s="25">
        <v>1095585.3999999999</v>
      </c>
      <c r="D13" s="25">
        <v>1384397.1800000002</v>
      </c>
      <c r="E13" s="28">
        <f t="shared" si="0"/>
        <v>288811.78000000026</v>
      </c>
      <c r="F13" s="19" t="s">
        <v>276</v>
      </c>
      <c r="G13" s="28"/>
      <c r="H13" s="28"/>
      <c r="I13" s="82"/>
    </row>
    <row r="14" spans="1:9" x14ac:dyDescent="0.25">
      <c r="A14" s="16" t="s">
        <v>22</v>
      </c>
      <c r="B14" s="15"/>
      <c r="C14" s="25"/>
      <c r="D14" s="25"/>
      <c r="E14" s="28"/>
      <c r="F14" s="19"/>
      <c r="G14" s="28"/>
      <c r="H14" s="28"/>
      <c r="I14" s="82"/>
    </row>
    <row r="15" spans="1:9" x14ac:dyDescent="0.25">
      <c r="A15" s="14" t="s">
        <v>115</v>
      </c>
      <c r="B15" s="15"/>
      <c r="C15" s="25">
        <v>0</v>
      </c>
      <c r="D15" s="25">
        <v>1404010.09</v>
      </c>
      <c r="E15" s="28">
        <f t="shared" si="0"/>
        <v>1404010.09</v>
      </c>
      <c r="F15" s="19" t="s">
        <v>276</v>
      </c>
      <c r="G15" s="28"/>
      <c r="H15" s="28"/>
      <c r="I15" s="82"/>
    </row>
    <row r="16" spans="1:9" x14ac:dyDescent="0.25">
      <c r="A16" s="14" t="s">
        <v>66</v>
      </c>
      <c r="B16" s="15"/>
      <c r="C16" s="25">
        <v>7072643.8099999996</v>
      </c>
      <c r="D16" s="25">
        <v>468458.69</v>
      </c>
      <c r="E16" s="28">
        <f t="shared" si="0"/>
        <v>-6604185.1199999992</v>
      </c>
      <c r="F16" s="19" t="s">
        <v>276</v>
      </c>
      <c r="G16" s="28"/>
      <c r="H16" s="28"/>
      <c r="I16" s="82"/>
    </row>
    <row r="17" spans="1:9" x14ac:dyDescent="0.25">
      <c r="A17" s="16" t="s">
        <v>23</v>
      </c>
      <c r="B17" s="15"/>
      <c r="C17" s="25"/>
      <c r="D17" s="25"/>
      <c r="E17" s="28"/>
      <c r="F17" s="19"/>
      <c r="G17" s="28"/>
      <c r="H17" s="28"/>
      <c r="I17" s="82"/>
    </row>
    <row r="18" spans="1:9" x14ac:dyDescent="0.25">
      <c r="A18" s="14" t="s">
        <v>39</v>
      </c>
      <c r="B18" s="15"/>
      <c r="C18" s="26">
        <v>953669.25</v>
      </c>
      <c r="D18" s="26">
        <v>255154.68</v>
      </c>
      <c r="E18" s="28">
        <f t="shared" si="0"/>
        <v>-698514.57000000007</v>
      </c>
      <c r="F18" s="19"/>
      <c r="G18" s="28"/>
      <c r="H18" s="28"/>
      <c r="I18" s="82"/>
    </row>
    <row r="19" spans="1:9" x14ac:dyDescent="0.25">
      <c r="A19" s="14" t="s">
        <v>24</v>
      </c>
      <c r="B19" s="15"/>
      <c r="C19" s="25">
        <f>SUM(C9:C18)</f>
        <v>16181014.169999998</v>
      </c>
      <c r="D19" s="25">
        <f>SUM(D9:D18)</f>
        <v>10890285.549999999</v>
      </c>
      <c r="E19" s="28"/>
      <c r="F19" s="19"/>
      <c r="G19" s="28"/>
      <c r="H19" s="28"/>
      <c r="I19" s="82"/>
    </row>
    <row r="20" spans="1:9" x14ac:dyDescent="0.25">
      <c r="A20" s="16" t="s">
        <v>102</v>
      </c>
      <c r="B20" s="15"/>
      <c r="C20" s="25"/>
      <c r="D20" s="25"/>
      <c r="E20" s="28"/>
      <c r="F20" s="19"/>
      <c r="G20" s="28"/>
      <c r="H20" s="28"/>
      <c r="I20" s="82"/>
    </row>
    <row r="21" spans="1:9" x14ac:dyDescent="0.25">
      <c r="A21" s="14" t="s">
        <v>159</v>
      </c>
      <c r="B21" s="15"/>
      <c r="C21" s="25">
        <v>245076.35</v>
      </c>
      <c r="D21" s="25">
        <v>245076.35</v>
      </c>
      <c r="E21" s="28">
        <f t="shared" si="0"/>
        <v>0</v>
      </c>
      <c r="F21" s="19"/>
      <c r="G21" s="82"/>
      <c r="H21" s="28"/>
      <c r="I21" s="82"/>
    </row>
    <row r="22" spans="1:9" x14ac:dyDescent="0.25">
      <c r="A22" s="16" t="s">
        <v>25</v>
      </c>
      <c r="B22" s="15"/>
      <c r="C22" s="25"/>
      <c r="D22" s="25"/>
      <c r="E22" s="28"/>
      <c r="F22" s="19"/>
      <c r="G22" s="28"/>
      <c r="H22" s="28"/>
      <c r="I22" s="82"/>
    </row>
    <row r="23" spans="1:9" x14ac:dyDescent="0.25">
      <c r="A23" s="14" t="s">
        <v>49</v>
      </c>
      <c r="B23" s="15"/>
      <c r="C23" s="25">
        <v>80000</v>
      </c>
      <c r="D23" s="25">
        <v>80000</v>
      </c>
      <c r="E23" s="28">
        <f t="shared" si="0"/>
        <v>0</v>
      </c>
      <c r="F23" s="19"/>
      <c r="G23" s="28"/>
      <c r="H23" s="28"/>
      <c r="I23" s="82"/>
    </row>
    <row r="24" spans="1:9" x14ac:dyDescent="0.25">
      <c r="A24" s="14" t="s">
        <v>50</v>
      </c>
      <c r="B24" s="15"/>
      <c r="C24" s="25">
        <v>3368152.11</v>
      </c>
      <c r="D24" s="25">
        <v>3469125.05</v>
      </c>
      <c r="E24" s="28">
        <f t="shared" si="0"/>
        <v>100972.93999999994</v>
      </c>
      <c r="F24" s="19"/>
      <c r="G24" s="28"/>
      <c r="H24" s="28"/>
      <c r="I24" s="82"/>
    </row>
    <row r="25" spans="1:9" x14ac:dyDescent="0.25">
      <c r="A25" s="14" t="s">
        <v>51</v>
      </c>
      <c r="B25" s="15"/>
      <c r="C25" s="26">
        <v>-1285407.2</v>
      </c>
      <c r="D25" s="26">
        <v>-1816045.88</v>
      </c>
      <c r="E25" s="28">
        <f t="shared" si="0"/>
        <v>-530638.67999999993</v>
      </c>
      <c r="F25" s="19"/>
      <c r="G25" s="28"/>
      <c r="H25" s="28"/>
      <c r="I25" s="82"/>
    </row>
    <row r="26" spans="1:9" x14ac:dyDescent="0.25">
      <c r="A26" s="14" t="s">
        <v>26</v>
      </c>
      <c r="B26" s="15"/>
      <c r="C26" s="25">
        <f>SUM(C23:C25)</f>
        <v>2162744.91</v>
      </c>
      <c r="D26" s="25">
        <f>SUM(D23:D25)</f>
        <v>1733079.17</v>
      </c>
      <c r="E26" s="28"/>
      <c r="F26" s="19"/>
      <c r="G26" s="28"/>
      <c r="H26" s="28"/>
      <c r="I26" s="82"/>
    </row>
    <row r="27" spans="1:9" ht="15.75" thickBot="1" x14ac:dyDescent="0.3">
      <c r="A27" s="17" t="s">
        <v>27</v>
      </c>
      <c r="B27" s="15"/>
      <c r="C27" s="27">
        <f>C19+C21+C26</f>
        <v>18588835.43</v>
      </c>
      <c r="D27" s="27">
        <f>D19+D21+D26</f>
        <v>12868441.069999998</v>
      </c>
      <c r="E27" s="28"/>
      <c r="F27" s="19"/>
      <c r="G27" s="28"/>
      <c r="H27" s="29"/>
      <c r="I27" s="82"/>
    </row>
    <row r="28" spans="1:9" ht="15.75" thickTop="1" x14ac:dyDescent="0.25">
      <c r="A28" s="14"/>
      <c r="B28" s="15"/>
      <c r="C28" s="25"/>
      <c r="D28" s="25"/>
      <c r="E28" s="28"/>
      <c r="F28" s="19"/>
      <c r="G28" s="28"/>
      <c r="H28" s="28"/>
      <c r="I28" s="82"/>
    </row>
    <row r="29" spans="1:9" x14ac:dyDescent="0.25">
      <c r="A29" s="16" t="s">
        <v>28</v>
      </c>
      <c r="B29" s="15"/>
      <c r="C29" s="25"/>
      <c r="D29" s="25"/>
      <c r="E29" s="28"/>
      <c r="F29" s="19"/>
      <c r="G29" s="28"/>
      <c r="H29" s="28"/>
      <c r="I29" s="82"/>
    </row>
    <row r="30" spans="1:9" x14ac:dyDescent="0.25">
      <c r="A30" s="16" t="s">
        <v>19</v>
      </c>
      <c r="B30" s="15"/>
      <c r="C30" s="25"/>
      <c r="D30" s="25"/>
      <c r="E30" s="28"/>
      <c r="F30" s="19"/>
      <c r="G30" s="28"/>
      <c r="H30" s="28"/>
      <c r="I30" s="82"/>
    </row>
    <row r="31" spans="1:9" x14ac:dyDescent="0.25">
      <c r="A31" s="18" t="s">
        <v>41</v>
      </c>
      <c r="B31" s="15"/>
      <c r="C31" s="25">
        <v>916750.08</v>
      </c>
      <c r="D31" s="25">
        <v>2500000</v>
      </c>
      <c r="E31" s="28">
        <f t="shared" si="0"/>
        <v>1583249.92</v>
      </c>
      <c r="F31" s="19" t="s">
        <v>276</v>
      </c>
      <c r="G31" s="28"/>
      <c r="H31" s="28"/>
      <c r="I31" s="82"/>
    </row>
    <row r="32" spans="1:9" x14ac:dyDescent="0.25">
      <c r="A32" s="18" t="s">
        <v>105</v>
      </c>
      <c r="B32" s="15"/>
      <c r="C32" s="25">
        <v>173724.09</v>
      </c>
      <c r="D32" s="25">
        <v>56995.979999999996</v>
      </c>
      <c r="E32" s="28">
        <f t="shared" si="0"/>
        <v>-116728.11</v>
      </c>
      <c r="F32" s="19" t="s">
        <v>276</v>
      </c>
      <c r="G32" s="28"/>
      <c r="H32" s="28"/>
      <c r="I32" s="82"/>
    </row>
    <row r="33" spans="1:9" x14ac:dyDescent="0.25">
      <c r="A33" s="18" t="s">
        <v>257</v>
      </c>
      <c r="B33" s="15"/>
      <c r="C33" s="25">
        <v>0</v>
      </c>
      <c r="D33" s="25">
        <f>'ER Hist Dic11'!D36</f>
        <v>150108.37</v>
      </c>
      <c r="E33" s="28">
        <f t="shared" si="0"/>
        <v>150108.37</v>
      </c>
      <c r="F33" s="19"/>
      <c r="G33" s="28"/>
      <c r="H33" s="28"/>
      <c r="I33" s="82"/>
    </row>
    <row r="34" spans="1:9" x14ac:dyDescent="0.25">
      <c r="A34" s="18" t="s">
        <v>40</v>
      </c>
      <c r="B34" s="19"/>
      <c r="C34" s="25">
        <v>117846.18</v>
      </c>
      <c r="D34" s="25">
        <v>0</v>
      </c>
      <c r="E34" s="28">
        <f t="shared" si="0"/>
        <v>-117846.18</v>
      </c>
      <c r="F34" s="19" t="s">
        <v>276</v>
      </c>
      <c r="G34" s="28"/>
      <c r="H34" s="28"/>
      <c r="I34" s="82"/>
    </row>
    <row r="35" spans="1:9" x14ac:dyDescent="0.25">
      <c r="A35" s="18" t="s">
        <v>42</v>
      </c>
      <c r="B35" s="19"/>
      <c r="C35" s="26">
        <v>98095.17</v>
      </c>
      <c r="D35" s="26">
        <v>1771806.82</v>
      </c>
      <c r="E35" s="28">
        <f t="shared" si="0"/>
        <v>1673711.6500000001</v>
      </c>
      <c r="F35" s="19" t="s">
        <v>276</v>
      </c>
      <c r="G35" s="28"/>
      <c r="H35" s="28"/>
      <c r="I35" s="82"/>
    </row>
    <row r="36" spans="1:9" x14ac:dyDescent="0.25">
      <c r="A36" s="18" t="s">
        <v>43</v>
      </c>
      <c r="B36" s="19"/>
      <c r="C36" s="28">
        <f>SUM(C31:C35)</f>
        <v>1306415.5199999998</v>
      </c>
      <c r="D36" s="28">
        <f>SUM(D31:D35)</f>
        <v>4478911.17</v>
      </c>
      <c r="E36" s="28"/>
      <c r="F36" s="19"/>
      <c r="G36" s="28"/>
      <c r="H36" s="28"/>
      <c r="I36" s="82"/>
    </row>
    <row r="37" spans="1:9" x14ac:dyDescent="0.25">
      <c r="A37" s="16" t="s">
        <v>44</v>
      </c>
      <c r="B37" s="19"/>
      <c r="C37" s="28"/>
      <c r="D37" s="28"/>
      <c r="E37" s="28"/>
      <c r="F37" s="19"/>
      <c r="G37" s="28"/>
      <c r="H37" s="28"/>
      <c r="I37" s="82"/>
    </row>
    <row r="38" spans="1:9" x14ac:dyDescent="0.25">
      <c r="A38" s="18" t="s">
        <v>46</v>
      </c>
      <c r="B38" s="19"/>
      <c r="C38" s="25">
        <v>154229.99</v>
      </c>
      <c r="D38" s="25">
        <v>184931.39</v>
      </c>
      <c r="E38" s="28">
        <f t="shared" si="0"/>
        <v>30701.400000000023</v>
      </c>
      <c r="F38" s="19" t="s">
        <v>276</v>
      </c>
      <c r="G38" s="28"/>
      <c r="H38" s="28"/>
      <c r="I38" s="82"/>
    </row>
    <row r="39" spans="1:9" x14ac:dyDescent="0.25">
      <c r="A39" s="18" t="s">
        <v>47</v>
      </c>
      <c r="B39" s="19"/>
      <c r="C39" s="26">
        <v>18736541.349999998</v>
      </c>
      <c r="D39" s="26">
        <v>9644518.2899999991</v>
      </c>
      <c r="E39" s="28">
        <f t="shared" si="0"/>
        <v>-9092023.0599999987</v>
      </c>
      <c r="F39" s="19" t="s">
        <v>276</v>
      </c>
      <c r="G39" s="28"/>
      <c r="H39" s="28"/>
      <c r="I39" s="82"/>
    </row>
    <row r="40" spans="1:9" x14ac:dyDescent="0.25">
      <c r="A40" s="18" t="s">
        <v>45</v>
      </c>
      <c r="B40" s="19"/>
      <c r="C40" s="26">
        <f>SUM(C38:C39)</f>
        <v>18890771.339999996</v>
      </c>
      <c r="D40" s="26">
        <f>SUM(D38:D39)</f>
        <v>9829449.6799999997</v>
      </c>
      <c r="E40" s="28"/>
      <c r="F40" s="105"/>
      <c r="G40" s="29"/>
      <c r="H40" s="29"/>
      <c r="I40" s="82"/>
    </row>
    <row r="41" spans="1:9" ht="15.75" thickBot="1" x14ac:dyDescent="0.3">
      <c r="A41" s="17" t="s">
        <v>29</v>
      </c>
      <c r="B41" s="20"/>
      <c r="C41" s="27">
        <f>C36+C40</f>
        <v>20197186.859999996</v>
      </c>
      <c r="D41" s="27">
        <f>D36+D40</f>
        <v>14308360.85</v>
      </c>
      <c r="E41" s="28"/>
      <c r="F41" s="19"/>
      <c r="G41" s="28"/>
      <c r="H41" s="28"/>
      <c r="I41" s="82"/>
    </row>
    <row r="42" spans="1:9" ht="15.75" thickTop="1" x14ac:dyDescent="0.25">
      <c r="A42" s="14"/>
      <c r="B42" s="15"/>
      <c r="C42" s="25"/>
      <c r="D42" s="25"/>
      <c r="E42" s="28"/>
      <c r="F42" s="19"/>
      <c r="G42" s="28"/>
      <c r="H42" s="28"/>
      <c r="I42" s="82"/>
    </row>
    <row r="43" spans="1:9" x14ac:dyDescent="0.25">
      <c r="A43" s="16" t="s">
        <v>30</v>
      </c>
      <c r="B43" s="15"/>
      <c r="C43" s="25"/>
      <c r="D43" s="25"/>
      <c r="E43" s="28"/>
      <c r="F43" s="19"/>
      <c r="G43" s="28"/>
      <c r="H43" s="28"/>
      <c r="I43" s="82"/>
    </row>
    <row r="44" spans="1:9" x14ac:dyDescent="0.25">
      <c r="A44" s="14" t="s">
        <v>31</v>
      </c>
      <c r="B44" s="15"/>
      <c r="C44" s="25">
        <v>1000000</v>
      </c>
      <c r="D44" s="25">
        <v>1000000</v>
      </c>
      <c r="E44" s="28">
        <f t="shared" si="0"/>
        <v>0</v>
      </c>
      <c r="F44" s="19"/>
      <c r="G44" s="28"/>
      <c r="H44" s="28"/>
      <c r="I44" s="82"/>
    </row>
    <row r="45" spans="1:9" x14ac:dyDescent="0.25">
      <c r="A45" s="14" t="s">
        <v>106</v>
      </c>
      <c r="B45" s="15"/>
      <c r="C45" s="25">
        <v>616099.78</v>
      </c>
      <c r="D45" s="25">
        <v>-2771217.45</v>
      </c>
      <c r="E45" s="28">
        <f t="shared" si="0"/>
        <v>-3387317.2300000004</v>
      </c>
      <c r="F45" s="19"/>
      <c r="G45" s="28"/>
      <c r="H45" s="28"/>
      <c r="I45" s="82"/>
    </row>
    <row r="46" spans="1:9" x14ac:dyDescent="0.25">
      <c r="A46" s="14" t="s">
        <v>33</v>
      </c>
      <c r="B46" s="15"/>
      <c r="C46" s="25">
        <v>40808.649999999994</v>
      </c>
      <c r="D46" s="25">
        <v>69857.55</v>
      </c>
      <c r="E46" s="28">
        <f t="shared" si="0"/>
        <v>29048.900000000009</v>
      </c>
      <c r="F46" s="19"/>
      <c r="G46" s="28"/>
      <c r="H46" s="28"/>
      <c r="I46" s="82"/>
    </row>
    <row r="47" spans="1:9" x14ac:dyDescent="0.25">
      <c r="A47" s="14" t="s">
        <v>107</v>
      </c>
      <c r="B47" s="15"/>
      <c r="C47" s="26">
        <v>-3265259.86</v>
      </c>
      <c r="D47" s="26">
        <f>'ER Hist Dic11'!D40</f>
        <v>261440.11800000304</v>
      </c>
      <c r="E47" s="28">
        <f t="shared" si="0"/>
        <v>3526699.9780000029</v>
      </c>
      <c r="F47" s="105"/>
      <c r="G47" s="29"/>
      <c r="H47" s="29"/>
      <c r="I47" s="82"/>
    </row>
    <row r="48" spans="1:9" x14ac:dyDescent="0.25">
      <c r="A48" s="17" t="s">
        <v>34</v>
      </c>
      <c r="B48" s="20"/>
      <c r="C48" s="31">
        <f>SUM(C44:C47)</f>
        <v>-1608351.43</v>
      </c>
      <c r="D48" s="31">
        <f>SUM(D44:D47)</f>
        <v>-1439919.7819999971</v>
      </c>
      <c r="E48" s="28"/>
      <c r="F48" s="19"/>
      <c r="G48" s="28"/>
      <c r="H48" s="29"/>
      <c r="I48" s="82"/>
    </row>
    <row r="49" spans="1:9" ht="15.75" thickBot="1" x14ac:dyDescent="0.3">
      <c r="A49" s="17" t="s">
        <v>35</v>
      </c>
      <c r="B49" s="15"/>
      <c r="C49" s="27">
        <f>SUM(C41+C48)</f>
        <v>18588835.429999996</v>
      </c>
      <c r="D49" s="27">
        <f>SUM(D41+D48)</f>
        <v>12868441.068000002</v>
      </c>
      <c r="E49" s="28"/>
      <c r="F49" s="82"/>
      <c r="G49" s="82"/>
      <c r="H49" s="82"/>
      <c r="I49" s="82"/>
    </row>
    <row r="50" spans="1:9" ht="15.75" thickTop="1" x14ac:dyDescent="0.25">
      <c r="A50" s="14"/>
      <c r="B50" s="15"/>
      <c r="C50" s="15"/>
      <c r="D50" s="15"/>
      <c r="E50" s="82"/>
      <c r="F50" s="82"/>
      <c r="G50" s="82"/>
      <c r="H50" s="82"/>
      <c r="I50" s="82"/>
    </row>
    <row r="51" spans="1:9" x14ac:dyDescent="0.25">
      <c r="A51" s="14"/>
      <c r="B51" s="15"/>
      <c r="C51" s="15"/>
      <c r="D51" s="21"/>
      <c r="E51" s="82"/>
      <c r="F51" s="82"/>
      <c r="G51" s="82"/>
      <c r="H51" s="82"/>
      <c r="I51" s="82"/>
    </row>
    <row r="52" spans="1:9" x14ac:dyDescent="0.25">
      <c r="A52" s="134" t="s">
        <v>16</v>
      </c>
      <c r="B52" s="21"/>
      <c r="C52" s="21"/>
      <c r="D52" s="23"/>
      <c r="E52" s="82"/>
      <c r="F52" s="82"/>
      <c r="G52" s="82"/>
      <c r="H52" s="82"/>
      <c r="I52" s="82"/>
    </row>
    <row r="53" spans="1:9" x14ac:dyDescent="0.25">
      <c r="A53" s="132" t="str">
        <f>A1</f>
        <v>EJEMPLO, S.A.</v>
      </c>
      <c r="B53" s="23"/>
      <c r="C53" s="23"/>
    </row>
  </sheetData>
  <mergeCells count="5">
    <mergeCell ref="A1:D1"/>
    <mergeCell ref="A2:D2"/>
    <mergeCell ref="A3:D3"/>
    <mergeCell ref="C5:C6"/>
    <mergeCell ref="D5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D1"/>
    </sheetView>
  </sheetViews>
  <sheetFormatPr baseColWidth="10" defaultRowHeight="15" x14ac:dyDescent="0.25"/>
  <cols>
    <col min="1" max="1" width="51.42578125" customWidth="1"/>
    <col min="2" max="2" width="14.42578125" customWidth="1"/>
    <col min="3" max="3" width="16.28515625" customWidth="1"/>
    <col min="4" max="4" width="16.85546875" customWidth="1"/>
    <col min="6" max="6" width="12.85546875" bestFit="1" customWidth="1"/>
    <col min="7" max="7" width="12.28515625" bestFit="1" customWidth="1"/>
  </cols>
  <sheetData>
    <row r="1" spans="1:6" ht="15.75" x14ac:dyDescent="0.25">
      <c r="A1" s="185" t="s">
        <v>304</v>
      </c>
      <c r="B1" s="185"/>
      <c r="C1" s="185"/>
      <c r="D1" s="185"/>
    </row>
    <row r="2" spans="1:6" x14ac:dyDescent="0.25">
      <c r="A2" s="186" t="s">
        <v>67</v>
      </c>
      <c r="B2" s="186"/>
      <c r="C2" s="186"/>
      <c r="D2" s="186"/>
    </row>
    <row r="3" spans="1:6" x14ac:dyDescent="0.25">
      <c r="A3" s="186" t="s">
        <v>88</v>
      </c>
      <c r="B3" s="186"/>
      <c r="C3" s="186"/>
      <c r="D3" s="186"/>
    </row>
    <row r="4" spans="1:6" x14ac:dyDescent="0.25">
      <c r="A4" s="179" t="s">
        <v>1</v>
      </c>
      <c r="B4" s="179"/>
      <c r="C4" s="179"/>
      <c r="D4" s="179"/>
    </row>
    <row r="5" spans="1:6" x14ac:dyDescent="0.25">
      <c r="A5" s="1"/>
      <c r="B5" s="1"/>
      <c r="C5" s="1"/>
      <c r="D5" s="1"/>
    </row>
    <row r="6" spans="1:6" x14ac:dyDescent="0.25">
      <c r="A6" s="32" t="s">
        <v>68</v>
      </c>
      <c r="B6" s="1"/>
      <c r="C6" s="33"/>
      <c r="D6" s="33"/>
    </row>
    <row r="7" spans="1:6" x14ac:dyDescent="0.25">
      <c r="A7" s="13"/>
      <c r="B7" s="34"/>
      <c r="C7" s="35"/>
      <c r="D7" s="35"/>
    </row>
    <row r="8" spans="1:6" x14ac:dyDescent="0.25">
      <c r="A8" s="16" t="s">
        <v>69</v>
      </c>
      <c r="B8" s="1"/>
      <c r="C8" s="33"/>
      <c r="D8" s="33"/>
    </row>
    <row r="9" spans="1:6" x14ac:dyDescent="0.25">
      <c r="A9" s="14" t="s">
        <v>70</v>
      </c>
      <c r="B9" s="1"/>
      <c r="C9" s="36">
        <f>'ER Hist Dic11'!C11-'BG_Comp_Hist_11-10'!E11-'BG_Comp_Hist_11-10'!E12-('BG_Comp_Hist_11-10'!C39-'BG_Comp_Hist_11-10'!D39)</f>
        <v>9725880.1300000027</v>
      </c>
      <c r="D9" s="36"/>
    </row>
    <row r="10" spans="1:6" x14ac:dyDescent="0.25">
      <c r="A10" s="14" t="s">
        <v>71</v>
      </c>
      <c r="B10" s="1"/>
      <c r="C10" s="36">
        <f>-('ER Hist Dic11'!B14+'BG_Comp_Hist_11-10'!E13+'BG_Comp_Hist_11-10'!E15-('BG_Comp_Hist_11-10'!C16-'BG_Comp_Hist_11-10'!D16)-'BG_Comp_Hist_11-10'!E31+('BG_Comp_Hist_11-10'!C32-'BG_Comp_Hist_11-10'!D32)+'BG_Comp_Hist_11-10'!C34)</f>
        <v>-7885845.5599999996</v>
      </c>
      <c r="D10" s="36"/>
    </row>
    <row r="11" spans="1:6" x14ac:dyDescent="0.25">
      <c r="A11" s="14" t="s">
        <v>72</v>
      </c>
      <c r="B11" s="1"/>
      <c r="C11" s="36">
        <f>-(('ER Hist Dic11'!B21+'ER Hist Dic11'!B22)-'BG_Comp_Hist_11-10'!E35-'BG_Comp_Hist_11-10'!E38)</f>
        <v>119810.10000000021</v>
      </c>
      <c r="D11" s="36"/>
    </row>
    <row r="12" spans="1:6" ht="15.75" thickBot="1" x14ac:dyDescent="0.3">
      <c r="A12" s="14" t="s">
        <v>73</v>
      </c>
      <c r="B12" s="1"/>
      <c r="C12" s="36">
        <f>-('ER Hist Dic11'!B23+'ER Hist Dic11'!B25+'ER Hist Dic11'!B26+'ER Hist Dic11'!B27+'ER Hist Dic11'!B28+'ER Hist Dic11'!B29+'ER Hist Dic11'!B30+'ER Hist Dic11'!D36-'BG_Comp_Hist_11-10'!E33-('BG_Comp_Hist_11-10'!C18-'BG_Comp_Hist_11-10'!D18))</f>
        <v>-2035131.9400000002</v>
      </c>
      <c r="D12" s="36"/>
    </row>
    <row r="13" spans="1:6" x14ac:dyDescent="0.25">
      <c r="A13" s="189" t="s">
        <v>74</v>
      </c>
      <c r="B13" s="189"/>
      <c r="C13" s="38"/>
      <c r="D13" s="36">
        <f>SUM(C9:C12)</f>
        <v>-75287.269999996992</v>
      </c>
      <c r="F13" s="107"/>
    </row>
    <row r="14" spans="1:6" x14ac:dyDescent="0.25">
      <c r="A14" s="1"/>
      <c r="B14" s="1"/>
      <c r="C14" s="36"/>
      <c r="D14" s="36"/>
      <c r="F14" s="107"/>
    </row>
    <row r="15" spans="1:6" x14ac:dyDescent="0.25">
      <c r="A15" s="16" t="s">
        <v>75</v>
      </c>
      <c r="B15" s="1"/>
      <c r="C15" s="36"/>
      <c r="D15" s="36"/>
    </row>
    <row r="16" spans="1:6" x14ac:dyDescent="0.25">
      <c r="A16" t="s">
        <v>76</v>
      </c>
      <c r="B16" s="1"/>
      <c r="C16" s="36">
        <f>-'BG_Comp_Hist_11-10'!E24</f>
        <v>-100972.93999999994</v>
      </c>
      <c r="D16" s="36"/>
    </row>
    <row r="17" spans="1:7" ht="15.75" thickBot="1" x14ac:dyDescent="0.3">
      <c r="A17" s="1" t="s">
        <v>77</v>
      </c>
      <c r="B17" s="1"/>
      <c r="C17" s="36">
        <v>0</v>
      </c>
      <c r="D17" s="36"/>
    </row>
    <row r="18" spans="1:7" x14ac:dyDescent="0.25">
      <c r="A18" s="183" t="s">
        <v>78</v>
      </c>
      <c r="B18" s="183"/>
      <c r="C18" s="38"/>
      <c r="D18" s="36">
        <f>SUM(C16:C17)</f>
        <v>-100972.93999999994</v>
      </c>
    </row>
    <row r="19" spans="1:7" x14ac:dyDescent="0.25">
      <c r="A19" s="1"/>
      <c r="B19" s="1"/>
      <c r="C19" s="39"/>
      <c r="D19" s="36"/>
    </row>
    <row r="20" spans="1:7" x14ac:dyDescent="0.25">
      <c r="A20" s="16" t="s">
        <v>79</v>
      </c>
      <c r="B20" s="1"/>
      <c r="C20" s="36"/>
      <c r="D20" s="36"/>
    </row>
    <row r="21" spans="1:7" ht="15.75" thickBot="1" x14ac:dyDescent="0.3">
      <c r="A21" t="s">
        <v>277</v>
      </c>
      <c r="B21" s="1"/>
      <c r="C21" s="36">
        <f>'Calculos 2011'!F318</f>
        <v>-122057.37</v>
      </c>
      <c r="D21" s="36"/>
    </row>
    <row r="22" spans="1:7" ht="15.75" thickBot="1" x14ac:dyDescent="0.3">
      <c r="A22" s="189" t="s">
        <v>80</v>
      </c>
      <c r="B22" s="189"/>
      <c r="C22" s="38"/>
      <c r="D22" s="40">
        <f>SUM(C21:C21)</f>
        <v>-122057.37</v>
      </c>
    </row>
    <row r="23" spans="1:7" ht="15.75" thickTop="1" x14ac:dyDescent="0.25">
      <c r="A23" s="1"/>
      <c r="B23" s="1"/>
      <c r="C23" s="41"/>
      <c r="D23" s="36"/>
    </row>
    <row r="24" spans="1:7" ht="15.75" x14ac:dyDescent="0.25">
      <c r="A24" s="42" t="s">
        <v>81</v>
      </c>
      <c r="B24" s="43"/>
      <c r="C24" s="44"/>
      <c r="D24" s="44">
        <f>SUM(D13:D22)</f>
        <v>-298317.57999999693</v>
      </c>
    </row>
    <row r="25" spans="1:7" x14ac:dyDescent="0.25">
      <c r="A25" s="1"/>
      <c r="B25" s="1"/>
      <c r="C25" s="36"/>
      <c r="D25" s="36"/>
    </row>
    <row r="26" spans="1:7" ht="15.75" thickBot="1" x14ac:dyDescent="0.3">
      <c r="A26" s="45" t="s">
        <v>82</v>
      </c>
      <c r="B26" s="1"/>
      <c r="C26" s="36"/>
      <c r="D26" s="36">
        <f>'BG_Comp_Hist_11-10'!C9</f>
        <v>694019.9</v>
      </c>
    </row>
    <row r="27" spans="1:7" ht="15.75" thickTop="1" x14ac:dyDescent="0.25">
      <c r="A27" s="1"/>
      <c r="B27" s="1"/>
      <c r="C27" s="36"/>
      <c r="D27" s="46"/>
    </row>
    <row r="28" spans="1:7" x14ac:dyDescent="0.25">
      <c r="A28" s="190" t="s">
        <v>83</v>
      </c>
      <c r="B28" s="190"/>
      <c r="C28" s="47"/>
      <c r="D28" s="47">
        <f>SUM(D24:D26)</f>
        <v>395702.32000000309</v>
      </c>
      <c r="F28" s="107"/>
      <c r="G28" s="107"/>
    </row>
    <row r="29" spans="1:7" x14ac:dyDescent="0.25">
      <c r="A29" s="48"/>
      <c r="B29" s="48"/>
      <c r="C29" s="47"/>
      <c r="D29" s="47"/>
      <c r="F29" s="107"/>
    </row>
    <row r="30" spans="1:7" x14ac:dyDescent="0.25">
      <c r="A30" s="49" t="s">
        <v>84</v>
      </c>
      <c r="B30" s="1"/>
      <c r="C30" s="36"/>
      <c r="D30" s="36"/>
      <c r="F30" s="107"/>
    </row>
    <row r="31" spans="1:7" x14ac:dyDescent="0.25">
      <c r="A31" s="49" t="s">
        <v>85</v>
      </c>
      <c r="B31" s="1"/>
      <c r="C31" s="36"/>
      <c r="D31" s="36"/>
    </row>
    <row r="32" spans="1:7" x14ac:dyDescent="0.25">
      <c r="A32" s="190" t="s">
        <v>32</v>
      </c>
      <c r="B32" s="190"/>
      <c r="C32" s="47"/>
      <c r="D32" s="47">
        <f>'ER Hist Dic11'!D37</f>
        <v>290489.02000000339</v>
      </c>
    </row>
    <row r="33" spans="1:4" x14ac:dyDescent="0.25">
      <c r="A33" s="1" t="s">
        <v>86</v>
      </c>
      <c r="B33" s="48"/>
      <c r="C33" s="47"/>
      <c r="D33" s="36">
        <f>'ER Hist Dic11'!B24</f>
        <v>530638.68000000005</v>
      </c>
    </row>
    <row r="34" spans="1:4" x14ac:dyDescent="0.25">
      <c r="A34" t="s">
        <v>278</v>
      </c>
      <c r="B34" s="135"/>
      <c r="C34" s="47"/>
      <c r="D34" s="36">
        <f>-'BG_Comp_Hist_11-10'!E11</f>
        <v>-429146.75</v>
      </c>
    </row>
    <row r="35" spans="1:4" x14ac:dyDescent="0.25">
      <c r="A35" t="s">
        <v>279</v>
      </c>
      <c r="B35" s="135"/>
      <c r="C35" s="47"/>
      <c r="D35" s="36">
        <f>-'BG_Comp_Hist_11-10'!E12</f>
        <v>-188320.03000000003</v>
      </c>
    </row>
    <row r="36" spans="1:4" x14ac:dyDescent="0.25">
      <c r="A36" t="s">
        <v>280</v>
      </c>
      <c r="B36" s="135"/>
      <c r="C36" s="47"/>
      <c r="D36" s="36">
        <f>-'BG_Comp_Hist_11-10'!E13</f>
        <v>-288811.78000000026</v>
      </c>
    </row>
    <row r="37" spans="1:4" x14ac:dyDescent="0.25">
      <c r="A37" t="s">
        <v>281</v>
      </c>
      <c r="B37" s="13"/>
      <c r="C37" s="50"/>
      <c r="D37" s="36">
        <f>-'BG_Comp_Hist_11-10'!E15</f>
        <v>-1404010.09</v>
      </c>
    </row>
    <row r="38" spans="1:4" x14ac:dyDescent="0.25">
      <c r="A38" t="s">
        <v>282</v>
      </c>
      <c r="B38" s="13"/>
      <c r="C38" s="50"/>
      <c r="D38" s="36">
        <f>'BG_Comp_Hist_11-10'!C16-'BG_Comp_Hist_11-10'!D16</f>
        <v>6604185.1199999992</v>
      </c>
    </row>
    <row r="39" spans="1:4" x14ac:dyDescent="0.25">
      <c r="A39" t="s">
        <v>283</v>
      </c>
      <c r="B39" s="133"/>
      <c r="C39" s="50"/>
      <c r="D39" s="36">
        <f>'BG_Comp_Hist_11-10'!C18-'BG_Comp_Hist_11-10'!D18</f>
        <v>698514.57000000007</v>
      </c>
    </row>
    <row r="40" spans="1:4" x14ac:dyDescent="0.25">
      <c r="A40" t="s">
        <v>284</v>
      </c>
      <c r="B40" s="13"/>
      <c r="C40" s="50"/>
      <c r="D40" s="36">
        <f>'BG_Comp_Hist_11-10'!E31</f>
        <v>1583249.92</v>
      </c>
    </row>
    <row r="41" spans="1:4" x14ac:dyDescent="0.25">
      <c r="A41" t="s">
        <v>285</v>
      </c>
      <c r="B41" s="13"/>
      <c r="C41" s="50"/>
      <c r="D41" s="36">
        <f>'BG_Comp_Hist_11-10'!E32</f>
        <v>-116728.11</v>
      </c>
    </row>
    <row r="42" spans="1:4" x14ac:dyDescent="0.25">
      <c r="A42" t="s">
        <v>286</v>
      </c>
      <c r="B42" s="13"/>
      <c r="C42" s="50"/>
      <c r="D42" s="36">
        <f>'BG_Comp_Hist_11-10'!E33</f>
        <v>150108.37</v>
      </c>
    </row>
    <row r="43" spans="1:4" x14ac:dyDescent="0.25">
      <c r="A43" t="s">
        <v>287</v>
      </c>
      <c r="B43" s="13"/>
      <c r="C43" s="50"/>
      <c r="D43" s="36">
        <f>'BG_Comp_Hist_11-10'!E34</f>
        <v>-117846.18</v>
      </c>
    </row>
    <row r="44" spans="1:4" x14ac:dyDescent="0.25">
      <c r="A44" t="s">
        <v>288</v>
      </c>
      <c r="B44" s="13"/>
      <c r="C44" s="50"/>
      <c r="D44" s="36">
        <f>'BG_Comp_Hist_11-10'!E35</f>
        <v>1673711.6500000001</v>
      </c>
    </row>
    <row r="45" spans="1:4" x14ac:dyDescent="0.25">
      <c r="A45" t="s">
        <v>289</v>
      </c>
      <c r="B45" s="13"/>
      <c r="C45" s="50"/>
      <c r="D45" s="36">
        <f>'BG_Comp_Hist_11-10'!E38</f>
        <v>30701.400000000023</v>
      </c>
    </row>
    <row r="46" spans="1:4" ht="15.75" thickBot="1" x14ac:dyDescent="0.3">
      <c r="A46" t="s">
        <v>290</v>
      </c>
      <c r="B46" s="1"/>
      <c r="C46" s="36"/>
      <c r="D46" s="40">
        <f>'BG_Comp_Hist_11-10'!E39</f>
        <v>-9092023.0599999987</v>
      </c>
    </row>
    <row r="47" spans="1:4" ht="15.75" thickTop="1" x14ac:dyDescent="0.25">
      <c r="A47" s="191" t="s">
        <v>87</v>
      </c>
      <c r="B47" s="191"/>
      <c r="C47" s="36"/>
      <c r="D47" s="51">
        <f>SUM(D32:D46)</f>
        <v>-75287.269999995828</v>
      </c>
    </row>
    <row r="48" spans="1:4" x14ac:dyDescent="0.25">
      <c r="A48" s="1"/>
      <c r="B48" s="1"/>
      <c r="C48" s="1"/>
      <c r="D48" s="1"/>
    </row>
    <row r="49" spans="1:4" x14ac:dyDescent="0.25">
      <c r="A49" s="11" t="s">
        <v>16</v>
      </c>
      <c r="B49" s="1"/>
      <c r="C49" s="1"/>
      <c r="D49" s="1"/>
    </row>
    <row r="50" spans="1:4" x14ac:dyDescent="0.25">
      <c r="A50" s="22" t="str">
        <f>A1</f>
        <v>EJEMPLO, S.A.</v>
      </c>
      <c r="B50" s="52"/>
      <c r="C50" s="52"/>
      <c r="D50" s="52"/>
    </row>
    <row r="52" spans="1:4" x14ac:dyDescent="0.25">
      <c r="A52" s="24" t="s">
        <v>36</v>
      </c>
    </row>
  </sheetData>
  <mergeCells count="10">
    <mergeCell ref="A22:B22"/>
    <mergeCell ref="A28:B28"/>
    <mergeCell ref="A32:B32"/>
    <mergeCell ref="A47:B47"/>
    <mergeCell ref="A1:D1"/>
    <mergeCell ref="A2:D2"/>
    <mergeCell ref="A3:D3"/>
    <mergeCell ref="A4:D4"/>
    <mergeCell ref="A13:B13"/>
    <mergeCell ref="A18:B1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sqref="A1:F1"/>
    </sheetView>
  </sheetViews>
  <sheetFormatPr baseColWidth="10" defaultRowHeight="15" x14ac:dyDescent="0.25"/>
  <cols>
    <col min="1" max="1" width="22.140625" customWidth="1"/>
    <col min="2" max="2" width="15.42578125" customWidth="1"/>
    <col min="3" max="3" width="16.140625" customWidth="1"/>
    <col min="4" max="5" width="15" customWidth="1"/>
    <col min="6" max="6" width="16.85546875" customWidth="1"/>
  </cols>
  <sheetData>
    <row r="1" spans="1:6" ht="15.75" x14ac:dyDescent="0.25">
      <c r="A1" s="192" t="s">
        <v>304</v>
      </c>
      <c r="B1" s="192"/>
      <c r="C1" s="192"/>
      <c r="D1" s="192"/>
      <c r="E1" s="192"/>
      <c r="F1" s="192"/>
    </row>
    <row r="2" spans="1:6" x14ac:dyDescent="0.25">
      <c r="A2" s="186" t="s">
        <v>89</v>
      </c>
      <c r="B2" s="186"/>
      <c r="C2" s="186"/>
      <c r="D2" s="186"/>
      <c r="E2" s="186"/>
      <c r="F2" s="186"/>
    </row>
    <row r="3" spans="1:6" x14ac:dyDescent="0.25">
      <c r="A3" s="186" t="s">
        <v>88</v>
      </c>
      <c r="B3" s="186"/>
      <c r="C3" s="186"/>
      <c r="D3" s="186"/>
      <c r="E3" s="186"/>
      <c r="F3" s="186"/>
    </row>
    <row r="4" spans="1:6" x14ac:dyDescent="0.25">
      <c r="A4" s="179" t="s">
        <v>1</v>
      </c>
      <c r="B4" s="179"/>
      <c r="C4" s="179"/>
      <c r="D4" s="179"/>
      <c r="E4" s="179"/>
      <c r="F4" s="179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1"/>
      <c r="C12" s="1"/>
      <c r="D12" s="1"/>
      <c r="E12" s="1"/>
      <c r="F12" s="1"/>
    </row>
    <row r="13" spans="1:6" ht="30.75" thickBot="1" x14ac:dyDescent="0.3">
      <c r="A13" s="53" t="s">
        <v>90</v>
      </c>
      <c r="B13" s="54" t="s">
        <v>31</v>
      </c>
      <c r="C13" s="54" t="s">
        <v>263</v>
      </c>
      <c r="D13" s="54" t="s">
        <v>33</v>
      </c>
      <c r="E13" s="54" t="s">
        <v>91</v>
      </c>
      <c r="F13" s="55" t="s">
        <v>92</v>
      </c>
    </row>
    <row r="14" spans="1:6" x14ac:dyDescent="0.25">
      <c r="A14" s="56"/>
      <c r="B14" s="57"/>
      <c r="C14" s="57"/>
      <c r="D14" s="57"/>
      <c r="E14" s="57"/>
      <c r="F14" s="58"/>
    </row>
    <row r="15" spans="1:6" x14ac:dyDescent="0.25">
      <c r="A15" s="59" t="s">
        <v>95</v>
      </c>
      <c r="B15" s="60">
        <f>'BG Hist Dic10'!C43</f>
        <v>1000000</v>
      </c>
      <c r="C15" s="60">
        <f>'BG Hist Dic10'!C44+'BG Hist Dic10'!C46</f>
        <v>-2649160.08</v>
      </c>
      <c r="D15" s="60">
        <f>'BG Hist Dic10'!C45</f>
        <v>40808.649999999994</v>
      </c>
      <c r="E15" s="60">
        <v>0</v>
      </c>
      <c r="F15" s="61">
        <f>SUM(B15:E15)</f>
        <v>-1608351.4300000002</v>
      </c>
    </row>
    <row r="16" spans="1:6" x14ac:dyDescent="0.25">
      <c r="A16" s="62"/>
      <c r="B16" s="60"/>
      <c r="C16" s="60"/>
      <c r="D16" s="60"/>
      <c r="E16" s="60"/>
      <c r="F16" s="61"/>
    </row>
    <row r="17" spans="1:6" x14ac:dyDescent="0.25">
      <c r="A17" s="62" t="s">
        <v>93</v>
      </c>
      <c r="B17" s="60">
        <v>0</v>
      </c>
      <c r="C17" s="60">
        <f>'ER Hist Dic11'!D40</f>
        <v>261440.11800000304</v>
      </c>
      <c r="D17" s="60"/>
      <c r="E17" s="60">
        <v>0</v>
      </c>
      <c r="F17" s="61">
        <f>SUM(B17:E17)</f>
        <v>261440.11800000304</v>
      </c>
    </row>
    <row r="18" spans="1:6" x14ac:dyDescent="0.25">
      <c r="A18" s="62"/>
      <c r="B18" s="60"/>
      <c r="C18" s="60"/>
      <c r="D18" s="60"/>
      <c r="E18" s="60"/>
      <c r="F18" s="61"/>
    </row>
    <row r="19" spans="1:6" x14ac:dyDescent="0.25">
      <c r="A19" s="147" t="s">
        <v>273</v>
      </c>
      <c r="B19" s="60"/>
      <c r="C19" s="60">
        <f>'Calculos 2011'!F318</f>
        <v>-122057.37</v>
      </c>
      <c r="D19" s="60"/>
      <c r="E19" s="60"/>
      <c r="F19" s="61">
        <f>SUM(B19:E19)</f>
        <v>-122057.37</v>
      </c>
    </row>
    <row r="20" spans="1:6" x14ac:dyDescent="0.25">
      <c r="A20" s="62"/>
      <c r="B20" s="60"/>
      <c r="C20" s="60"/>
      <c r="D20" s="60"/>
      <c r="E20" s="60"/>
      <c r="F20" s="61"/>
    </row>
    <row r="21" spans="1:6" x14ac:dyDescent="0.25">
      <c r="A21" s="62" t="s">
        <v>94</v>
      </c>
      <c r="B21" s="60"/>
      <c r="C21" s="60"/>
      <c r="D21" s="60">
        <f>'ER Hist Dic11'!D38</f>
        <v>29048.90200000034</v>
      </c>
      <c r="E21" s="60"/>
      <c r="F21" s="61">
        <f>SUM(B21:E21)</f>
        <v>29048.90200000034</v>
      </c>
    </row>
    <row r="22" spans="1:6" ht="15.75" thickBot="1" x14ac:dyDescent="0.3">
      <c r="A22" s="63"/>
      <c r="B22" s="64"/>
      <c r="C22" s="64"/>
      <c r="D22" s="64"/>
      <c r="E22" s="64"/>
      <c r="F22" s="61"/>
    </row>
    <row r="23" spans="1:6" ht="16.5" thickBot="1" x14ac:dyDescent="0.3">
      <c r="A23" s="65" t="s">
        <v>274</v>
      </c>
      <c r="B23" s="66">
        <f>SUM(B15:B21)</f>
        <v>1000000</v>
      </c>
      <c r="C23" s="66">
        <f>SUM(C15:C21)</f>
        <v>-2509777.3319999971</v>
      </c>
      <c r="D23" s="66">
        <f>SUM(D15:D21)</f>
        <v>69857.552000000331</v>
      </c>
      <c r="E23" s="66">
        <f>SUM(E15:E21)</f>
        <v>0</v>
      </c>
      <c r="F23" s="67">
        <f>SUM(F15:F21)</f>
        <v>-1439919.779999997</v>
      </c>
    </row>
    <row r="24" spans="1:6" x14ac:dyDescent="0.25">
      <c r="A24" s="68"/>
      <c r="B24" s="69"/>
      <c r="C24" s="69"/>
      <c r="D24" s="69"/>
      <c r="E24" s="69"/>
      <c r="F24" s="70"/>
    </row>
    <row r="25" spans="1:6" x14ac:dyDescent="0.25">
      <c r="A25" s="68"/>
      <c r="B25" s="69"/>
      <c r="C25" s="69"/>
      <c r="D25" s="69"/>
      <c r="E25" s="69"/>
      <c r="F25" s="70"/>
    </row>
    <row r="26" spans="1:6" x14ac:dyDescent="0.25">
      <c r="A26" s="68"/>
      <c r="B26" s="69"/>
      <c r="C26" s="69"/>
      <c r="D26" s="69"/>
      <c r="E26" s="69"/>
      <c r="F26" s="70"/>
    </row>
    <row r="27" spans="1:6" x14ac:dyDescent="0.25">
      <c r="A27" s="68"/>
      <c r="B27" s="69"/>
      <c r="C27" s="69"/>
      <c r="D27" s="69"/>
      <c r="E27" s="69"/>
      <c r="F27" s="70"/>
    </row>
    <row r="28" spans="1:6" x14ac:dyDescent="0.25">
      <c r="A28" s="68"/>
      <c r="B28" s="69"/>
      <c r="C28" s="69"/>
      <c r="D28" s="69"/>
      <c r="E28" s="69"/>
      <c r="F28" s="70"/>
    </row>
    <row r="29" spans="1:6" x14ac:dyDescent="0.25">
      <c r="A29" s="68"/>
      <c r="B29" s="69"/>
      <c r="C29" s="69"/>
      <c r="D29" s="69"/>
      <c r="E29" s="69"/>
      <c r="F29" s="70"/>
    </row>
    <row r="30" spans="1:6" x14ac:dyDescent="0.25">
      <c r="A30" s="68"/>
      <c r="B30" s="69"/>
      <c r="C30" s="69"/>
      <c r="D30" s="69"/>
      <c r="E30" s="69"/>
      <c r="F30" s="70"/>
    </row>
    <row r="31" spans="1:6" x14ac:dyDescent="0.25">
      <c r="A31" s="1"/>
      <c r="B31" s="1"/>
      <c r="C31" s="1"/>
      <c r="D31" s="1"/>
      <c r="E31" s="1"/>
      <c r="F31" s="1"/>
    </row>
    <row r="36" spans="1:6" x14ac:dyDescent="0.25">
      <c r="B36" s="71" t="s">
        <v>16</v>
      </c>
    </row>
    <row r="37" spans="1:6" x14ac:dyDescent="0.25">
      <c r="B37" s="72" t="str">
        <f>A1</f>
        <v>EJEMPLO, S.A.</v>
      </c>
      <c r="C37" s="73"/>
      <c r="D37" s="73"/>
      <c r="E37" s="73"/>
      <c r="F37" s="73"/>
    </row>
    <row r="38" spans="1:6" x14ac:dyDescent="0.25">
      <c r="B38" s="74"/>
      <c r="C38" s="74"/>
      <c r="D38" s="74"/>
      <c r="E38" s="74"/>
      <c r="F38" s="74"/>
    </row>
    <row r="41" spans="1:6" x14ac:dyDescent="0.25">
      <c r="A41" s="24" t="s">
        <v>36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Calculos 2010</vt:lpstr>
      <vt:lpstr>Calculos 2011</vt:lpstr>
      <vt:lpstr>ER Hist Dic10</vt:lpstr>
      <vt:lpstr>BG Hist Dic10</vt:lpstr>
      <vt:lpstr>ER Hist Dic11</vt:lpstr>
      <vt:lpstr>BG Hist Dic11</vt:lpstr>
      <vt:lpstr>BG_Comp_Hist_11-10</vt:lpstr>
      <vt:lpstr>EFE Hist Dic11</vt:lpstr>
      <vt:lpstr>EMCP Hist Dic11</vt:lpstr>
      <vt:lpstr>BalanceGenral2010</vt:lpstr>
      <vt:lpstr>REME</vt:lpstr>
      <vt:lpstr>EdoResultados2011</vt:lpstr>
      <vt:lpstr>BalanceGeneral2011</vt:lpstr>
      <vt:lpstr>BG_Comparat_Rexp</vt:lpstr>
      <vt:lpstr>EFE_Act_Mon_Dic11</vt:lpstr>
      <vt:lpstr>EMCP_Act_Mon_Dic11</vt:lpstr>
      <vt:lpstr>Inmovilizar_y_Divisiones</vt:lpstr>
      <vt:lpstr>Inmovilizar_y_Divisiones!Área_de_impresión</vt:lpstr>
      <vt:lpstr>Inmovilizar_y_Divisiones!Títulos_a_imprimir</vt:lpstr>
    </vt:vector>
  </TitlesOfParts>
  <Company>cadi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rojas</dc:creator>
  <cp:lastModifiedBy>usuario local</cp:lastModifiedBy>
  <cp:lastPrinted>2012-03-23T14:25:45Z</cp:lastPrinted>
  <dcterms:created xsi:type="dcterms:W3CDTF">2012-03-18T22:06:31Z</dcterms:created>
  <dcterms:modified xsi:type="dcterms:W3CDTF">2019-11-16T15:49:48Z</dcterms:modified>
</cp:coreProperties>
</file>