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Costco Analysis" sheetId="2" r:id="rId5"/>
    <sheet state="visible" name="Walmart Analysis" sheetId="3" r:id="rId6"/>
    <sheet state="visible" name="Target Analysis" sheetId="4" r:id="rId7"/>
  </sheets>
  <definedNames/>
  <calcPr/>
  <extLst>
    <ext uri="GoogleSheetsCustomDataVersion2">
      <go:sheetsCustomData xmlns:go="http://customooxmlschemas.google.com/" r:id="rId8" roundtripDataChecksum="qv5mRfu8avqPRJwcuw4aSmMw2vv+Uu22X8QTRInYRz4="/>
    </ext>
  </extLst>
</workbook>
</file>

<file path=xl/sharedStrings.xml><?xml version="1.0" encoding="utf-8"?>
<sst xmlns="http://schemas.openxmlformats.org/spreadsheetml/2006/main" count="332" uniqueCount="107">
  <si>
    <t>Industry</t>
  </si>
  <si>
    <t>Retail</t>
  </si>
  <si>
    <t>Names</t>
  </si>
  <si>
    <t>GTID</t>
  </si>
  <si>
    <t>Companies</t>
  </si>
  <si>
    <t>Vidit Pokharna</t>
  </si>
  <si>
    <t>Costco</t>
  </si>
  <si>
    <t>Hunter Gotwalt</t>
  </si>
  <si>
    <t>Target</t>
  </si>
  <si>
    <t>Feixue Ouyang</t>
  </si>
  <si>
    <t>Walmart</t>
  </si>
  <si>
    <t xml:space="preserve">                                                                                                                                                                                                                                                                                                                                                                                                                                                                                                                                                                                                                                                                                                                                                                                                                                                                                                                                                                                                                                                                                                                                                                                                                                                                                                                                                                                                                                                                                                                                                                                                                                                                                                                                                                                                                                                                                                                                                                                                                                                                                                                                                                                                                                                                                                                                                                                                                                                                                                                                                                                                                                                                                                                                                                                                                                                                                                                                                                                                                                                                                                                                                                                                                                                                                                                                                                                                                                                                                                                                                                                                                                                                                                                                                                                                                                                                                                                                                                                                                                                                                                                                                                                                                                                                                                                                                                                                                                                                                                                                                                                                                                                                                                                                                                                                                                                                                                                                                                                                                                                                                                                                                                                                                                                                                                                                                                                                                                                                                                                                                                                                                                                                                                                                                                                                                                                                                                                                                                                                                                                                                                                                                                                                                                                                                                                                                                                                                                                                                                                                                                                                                                                                                                                                                                                                                                                                                                                                                                                                                                                                                                                                                                                                                                                                                                                                                                                                                                                                                                                                                                                                                                                                                                                                                                                                                                                                                                                                                                                                                                                                                                                                                                                                                                                                                                                                                                                                                                                                                                                                                                                                                                                                                                                                                                                                                                                                                                                                                                                                                                                                                                                                                                                                                                                                                                                                                                                                                                                                                                                                                                                                                                                                                                                                                                                                                                                                                                                                                                                                                                                                                                                                                                                                                                                                                                                                                                                                                                                                                                                                                                                                                                                                                                                                                                                                                                                                                                                                                                                                                                                                                                                                                                                                                 n n n</t>
  </si>
  <si>
    <t>Dividend Discount Model</t>
  </si>
  <si>
    <t>Equity discount rate using the CAPM formula</t>
  </si>
  <si>
    <t>Costco Current Stock Price:</t>
  </si>
  <si>
    <t>rf</t>
  </si>
  <si>
    <t>β</t>
  </si>
  <si>
    <t>E[rm]-rf</t>
  </si>
  <si>
    <t>E[r] for company (i.e., discount rate)</t>
  </si>
  <si>
    <t>Growth Model</t>
  </si>
  <si>
    <t>Reasoning behind dividend projections:</t>
  </si>
  <si>
    <t>2-Stage Growth</t>
  </si>
  <si>
    <t>Costco’s dividends have historically grown at about 12% annually, and I project 8% growth from 2025
 through 2029 to reflect the company’s maturity while still capturing its strong fundamentals. Beginning
 in 2030, I reduce the rate to a 2% terminal growth assumption, consistent with long-run economic
 growth. Special dividends are included in the historical figures, which explains the spike in 2023, but
 projections assume only regular dividend growth going forward. This structure reflects a two-stage
 growth model with moderate near-term growth transitioning to stable long-term growth.</t>
  </si>
  <si>
    <t>Firm's dividend and fundamental value</t>
  </si>
  <si>
    <t>Historical</t>
  </si>
  <si>
    <t>Projected</t>
  </si>
  <si>
    <t>2025-Pre</t>
  </si>
  <si>
    <t>2025-Post</t>
  </si>
  <si>
    <t>Annual Dividends Per Share</t>
  </si>
  <si>
    <t>Present Value of Dividend</t>
  </si>
  <si>
    <t>-</t>
  </si>
  <si>
    <t>Initial Growth Rate</t>
  </si>
  <si>
    <t>Terminal Growth Rate</t>
  </si>
  <si>
    <t>Terminal Value in 2034 (i.e., value of dividends from 2035 on in 2034)</t>
  </si>
  <si>
    <t>Present Value of Terminal Value</t>
  </si>
  <si>
    <t>Fundamental value</t>
  </si>
  <si>
    <t>Sensitivity test</t>
  </si>
  <si>
    <t>Discuss sensitivity analysis here:</t>
  </si>
  <si>
    <t>Different E[r] Values</t>
  </si>
  <si>
    <t>The sensitivity analysis shows that Costco’s valuation is highly dependent on the discount
rate and, to a lesser extent, on the terminal growth rate. When the discount rate decreases
 from 9.61% to 7.61%, the fundamental value rises sharply from $83.39 to $110.32, while
 increasing it to 11.61% lowers the value to $68.91. This demonstrates that even small 
changes in the cost of equity have a large impact on valuation. Varying the terminal growth
 rate from 1% to 3% produces a narrower range, with values between $78.06 and $90.33.
 Overall, the model highlights that assumptions about the discount rate are the most 
influential driver of the DDM output.</t>
  </si>
  <si>
    <t>a.</t>
  </si>
  <si>
    <t>Different terminal growth values</t>
  </si>
  <si>
    <t>b.</t>
  </si>
  <si>
    <t>Free cash flow models</t>
  </si>
  <si>
    <t>Free Cash Flow of the Firm</t>
  </si>
  <si>
    <t>Mkt Value Equity</t>
  </si>
  <si>
    <t>Book Value of Debt</t>
  </si>
  <si>
    <t>Total Value</t>
  </si>
  <si>
    <t>Cost of Debt</t>
  </si>
  <si>
    <t>Cost of Equity</t>
  </si>
  <si>
    <t>Tax Rate</t>
  </si>
  <si>
    <t>WACC Value</t>
  </si>
  <si>
    <t>Fundamental Value of the Firm</t>
  </si>
  <si>
    <t>Reasoning behind cash flow projections:</t>
  </si>
  <si>
    <t>Fundamental Value of Equity</t>
  </si>
  <si>
    <t>Costco’s FCFE projections assume steady growth in line with historical performance and analyst expectations. Cash flows are grown at ~2% long-term, consistent
 with sustainable economic growth, while near-term increases reflect Costco’s continued warehouse expansion and strong membership retention.</t>
  </si>
  <si>
    <t>Shares Outstanding</t>
  </si>
  <si>
    <t>Fundamental Value of Equity Per Share</t>
  </si>
  <si>
    <t>Free Cash Flow to Equity</t>
  </si>
  <si>
    <t>Reasoning behind cash flow projections</t>
  </si>
  <si>
    <t>Please justify your selection here. Can expand and or move this cell if needed.</t>
  </si>
  <si>
    <t>Sensitivity</t>
  </si>
  <si>
    <t>Different WACC Values</t>
  </si>
  <si>
    <t>The sensitivity analysis shows Costco’s valuation is highly dependent on discount rate and terminal growth assumptions. Lower WACC or 
higher growth rates raise the intrinsic value, while higher WACC or lower growth reduce it. Even under optimistic scenarios, the valuation 
remains well below the current market price, highlighting the premium investors assign to Costco beyond modeled fundamentals.</t>
  </si>
  <si>
    <t>Relative Valuation</t>
  </si>
  <si>
    <t>Trailing price to earnings ratio:</t>
  </si>
  <si>
    <t xml:space="preserve">    Current Stock Price</t>
  </si>
  <si>
    <t xml:space="preserve">    Past 1 year earnings per share</t>
  </si>
  <si>
    <t>Forward price to earnings ratio:</t>
  </si>
  <si>
    <t xml:space="preserve">    Projected earnings per share</t>
  </si>
  <si>
    <t>Price to sales ratio:</t>
  </si>
  <si>
    <t xml:space="preserve">    Total Revenue/Sales Per Share</t>
  </si>
  <si>
    <t>Present value of growth opportunities:</t>
  </si>
  <si>
    <t xml:space="preserve">    No-Growth Value of Share</t>
  </si>
  <si>
    <t>Walmart Current Stock Price:</t>
  </si>
  <si>
    <t>^ Find online</t>
  </si>
  <si>
    <t>2-stage</t>
  </si>
  <si>
    <t>Stage 1(2026-2030): 8% growth rate. Reasons: 1,Walmart announced a target dividend pershare to be 0.94 in 2026, 2, strong revenue growth(5.4% CAGR 2020–2025), 3,Conservative 25–30% payout ratio, 4, Improved profitability from e-commerce and digital initiatives. Stage 2(2029-2035): % growth rate. Reasons: 1,Walmart's mature growth phase. 2,A focus on maintaining a stable payout ratio while balancing reinvestment in the business.</t>
  </si>
  <si>
    <t>*Historical/Future Years may be off</t>
  </si>
  <si>
    <t>&lt;- you can modify</t>
  </si>
  <si>
    <t>Both discount rate and terminal growth rate have a significant influence on the model. The model is more sensitive to discount rate. When the risk free rate change or the market expected return change, the outcome of the model will change sharply.</t>
  </si>
  <si>
    <t>Fix terminal growth rate = 4%</t>
  </si>
  <si>
    <t>Fix E(r) = 7.9%</t>
  </si>
  <si>
    <t>In Millions of the reported currency, except per share items.</t>
  </si>
  <si>
    <t>*If you want, you can add rows for each line item used to calculate free cash flow. Up to you.</t>
  </si>
  <si>
    <t>Stage1(2026-2027), -8% to 0% growth: Walmart's capital expenditure increased by 3.7 billion in 2025, mainly for store expansion, supply chain optimization and digital transformation. Assuming that future capital expenditures continue this strategy, as capital investment gradually converts into cash flow, the rate of decline in cash flow gradually decreases. Stage2(2028-2033), 15% growth rate: High capital expenditures in the past have translated into strong cash flow growth. Stage3(3034-),5% growth rate: Walmart's past investments have ensured its leading position globally</t>
  </si>
  <si>
    <t>Stage 1(2026-2027), 2% growth rate: Free cash flow to equity in 2025 declined by 30% compared to 2024, as repayment outweighed the debt issue and increase capital expenditures. In the short term, companies can rapidly reduce the rate of cash flow decline by issuing debt. Stage 2(2028-2033), 12% growth rate: Relatively low growth rate compared to free cashflow, since debt need to be repaid. Stage 3(2034-), 5%: Walmart is expected to maintain balance in debt, so the growth rate is the same as free cashflow</t>
  </si>
  <si>
    <t>Both WACC and terminal growth rate have a significant influence on the model. The model is more sensitive to WACC. Walmart can actively utilize debt financing to reduce WACC to increase its fundemetnal value, since book value of debt is much smaller than market value equity, and debt have a lower cost and tax shield.</t>
  </si>
  <si>
    <t>Fix terminal growth rate = 5%</t>
  </si>
  <si>
    <t>Fix Wacc = 7.36%</t>
  </si>
  <si>
    <t>Current Stock Price</t>
  </si>
  <si>
    <t>Past 1 year earnings per share</t>
  </si>
  <si>
    <t>Projected earnings per share</t>
  </si>
  <si>
    <t>Total Revenue/Sales Per Share</t>
  </si>
  <si>
    <t>No-Growth Value of Share</t>
  </si>
  <si>
    <t>Target Current Stock Price:</t>
  </si>
  <si>
    <t>stable</t>
  </si>
  <si>
    <t>I chose to use the stable dividend growth model because Target s a mature company with a long operating history, consistent profitability, and a well-established dividend policy. The firm has demonstrated a long term history of steady dividend increases of 1.8% over time, noted in the 10-K filings. This reflects management’s commitment to returning value to shareholders. Target’s dividend growth has averaged around 1% annually in recent years, which suggests a sustainable but modest long-term growth rate. Target’s capital allocation strategy explicitly prioritizes maintaining and gradually growing a competitive quarterly dividend, ranking it just after reinvestment in the business. This disciplined approach, supported by a strong cash balance and conservative investment policy, underscores the stability and sustainability of its dividend growth.  Therefore, I chose to set the growth rate at 1.8% based on past trends.</t>
  </si>
  <si>
    <t>&lt;-choose values that are 1-2% different from CAPM E[r]</t>
  </si>
  <si>
    <t>When conducting the sensitivity test, it appears that the growth rate has a slightly greater impact on the valuation than the discount rate. For the discount rate, I adjusted it by ±2%, which resulted in a valuation spread of about $18. In contrast, the growth rate had less room to decrease, so I tested increases up to 4%, which raised the fair value by about $20. Comparing a scenario with a 3% growth rate and a discount rate of 8.42% highlights that changes in the growth rate tend to have a stronger effect on the valuation than equivalent changes in the discount rate.</t>
  </si>
  <si>
    <t>&lt;-choose values that are 1-2% different from initial growth rate</t>
  </si>
  <si>
    <t>I assume a steady long-term growth rate of approximately 1.2%, consistent with Target’s 2023–2024 results and projections for 2025. The sharp decline in free cash flow during 2022 was an outlier caused by supply chain disruptions and excess inventory, which led to heavier markdowns and tied up working capital. This is assumed because of Targets 2022 Inventory Optimization plan where they state they are cytting back on inventory and lower their operating margin from 6% to 2%. According to Target’s 2023 10-K, operating cash flow rebounded from $4.0 billion in 2022 to $8.6 billion in 2023, this reflects an improved working capital as year-end inventory fell from $13.5 billion to $11.9 billion. Management also noted supply chain improvements and better inventory alignment with sales trends, underscoring that cash flow has normalized. These factors support the use of a modest, steady growth assumption in the valuation model rather than one distorted by 2022’s exceptional conditions.</t>
  </si>
  <si>
    <t xml:space="preserve">For this cash flow model, I also assume a steady long-term growth rate of approximately 1.2%, which is consistent with the growth rate from 2023 to 2024, because it is assumed that Target will keep a balanced debt. The lower equity in 2022 further reinforces that 2022 was an outlier, and that long-term projections should rely more heavily on normalized results observed from 2023 onward. </t>
  </si>
  <si>
    <t>When conducting the sensitivity test, it is evident that the growth rate has a much greater influence on the valuation than the WACC. Even a modest 1% increase in the growth rate leads to a significant impact, with the price per share rising by nearly $40 when moving from 3.5% to 4.5%. In contrast, a 1% decrease in the WACC results in only about an $11 increase in the share price. This highlights how strongly the model responds to changes in growth assumptions compared to discount rate adjustments.</t>
  </si>
  <si>
    <t>&lt;- put alternate WACC values here</t>
  </si>
  <si>
    <t>&lt;- put the new fundamental value here</t>
  </si>
  <si>
    <t>&lt;-choose values that are 1-2% different from initial groth rate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</si>
</sst>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0.00"/>
    <numFmt numFmtId="165" formatCode="&quot;$&quot;#,##0.00_);[Red]\(&quot;$&quot;#,##0.00\)"/>
    <numFmt numFmtId="166" formatCode="_(&quot;$&quot;* #,##0.00_);_(&quot;$&quot;* \(#,##0.00\);_(&quot;$&quot;* &quot;-&quot;??_);_(@_)"/>
    <numFmt numFmtId="167" formatCode="&quot;$&quot;#,##0.00"/>
    <numFmt numFmtId="168" formatCode="0.0%"/>
    <numFmt numFmtId="169" formatCode="_(&quot;$&quot;* #,##0.0_);_(&quot;$&quot;* \(#,##0.0\);_(&quot;$&quot;* &quot;-&quot;??_);_(@_)"/>
  </numFmts>
  <fonts count="23">
    <font>
      <sz val="12.0"/>
      <color theme="1"/>
      <name val="Arial"/>
      <scheme val="minor"/>
    </font>
    <font>
      <sz val="12.0"/>
      <color theme="1"/>
      <name val="Calibri"/>
    </font>
    <font>
      <u/>
      <sz val="8.0"/>
      <color theme="1"/>
      <name val="Calibri"/>
    </font>
    <font>
      <b/>
      <sz val="11.0"/>
      <color theme="0"/>
      <name val="Calibri"/>
    </font>
    <font/>
    <font>
      <b/>
      <sz val="11.0"/>
      <color theme="1"/>
      <name val="Calibri"/>
    </font>
    <font>
      <b/>
      <u/>
      <sz val="12.0"/>
      <color theme="1"/>
      <name val="Calibri"/>
    </font>
    <font>
      <sz val="11.0"/>
      <color theme="1"/>
      <name val="Calibri"/>
    </font>
    <font>
      <sz val="11.0"/>
      <color theme="0"/>
      <name val="Calibri"/>
    </font>
    <font>
      <color theme="1"/>
      <name val="Arial"/>
      <scheme val="minor"/>
    </font>
    <font>
      <b/>
      <u/>
      <sz val="12.0"/>
      <color theme="1"/>
      <name val="Calibri"/>
    </font>
    <font>
      <b/>
      <u/>
      <sz val="12.0"/>
      <color theme="1"/>
      <name val="Calibri"/>
    </font>
    <font>
      <b/>
      <sz val="11.0"/>
      <color rgb="FFFFFFFF"/>
      <name val="等线"/>
    </font>
    <font>
      <sz val="12.0"/>
      <color rgb="FF000000"/>
      <name val="等线"/>
    </font>
    <font>
      <b/>
      <sz val="11.0"/>
      <color rgb="FF000000"/>
      <name val="等线"/>
    </font>
    <font>
      <b/>
      <u/>
      <sz val="12.0"/>
      <color rgb="FF000000"/>
      <name val="等线"/>
    </font>
    <font>
      <sz val="11.0"/>
      <color rgb="FF000000"/>
      <name val="等线"/>
    </font>
    <font>
      <sz val="11.0"/>
      <color rgb="FFFFFFFF"/>
      <name val="等线"/>
    </font>
    <font>
      <b/>
      <u/>
      <sz val="12.0"/>
      <color rgb="FF000000"/>
      <name val="等线"/>
    </font>
    <font>
      <b/>
      <u/>
      <sz val="12.0"/>
      <color rgb="FF000000"/>
      <name val="等线"/>
    </font>
    <font>
      <b/>
      <u/>
      <sz val="12.0"/>
      <color rgb="FF000000"/>
      <name val="等线"/>
    </font>
    <font>
      <b/>
      <u/>
      <sz val="12.0"/>
      <color rgb="FF000000"/>
      <name val="等线"/>
    </font>
    <font>
      <b/>
      <u/>
      <sz val="12.0"/>
      <color rgb="FF000000"/>
      <name val="等线"/>
    </font>
  </fonts>
  <fills count="20">
    <fill>
      <patternFill patternType="none"/>
    </fill>
    <fill>
      <patternFill patternType="lightGray"/>
    </fill>
    <fill>
      <patternFill patternType="solid">
        <fgColor theme="0"/>
        <bgColor theme="0"/>
      </patternFill>
    </fill>
    <fill>
      <patternFill patternType="solid">
        <fgColor rgb="FF8EAADB"/>
        <bgColor rgb="FF8EAADB"/>
      </patternFill>
    </fill>
    <fill>
      <patternFill patternType="solid">
        <fgColor theme="4"/>
        <bgColor theme="4"/>
      </patternFill>
    </fill>
    <fill>
      <patternFill patternType="solid">
        <fgColor rgb="FF1F3864"/>
        <bgColor rgb="FF1F3864"/>
      </patternFill>
    </fill>
    <fill>
      <patternFill patternType="solid">
        <fgColor rgb="FFD9E2F3"/>
        <bgColor rgb="FFD9E2F3"/>
      </patternFill>
    </fill>
    <fill>
      <patternFill patternType="solid">
        <fgColor rgb="FFD0CECE"/>
        <bgColor rgb="FFD0CECE"/>
      </patternFill>
    </fill>
    <fill>
      <patternFill patternType="solid">
        <fgColor rgb="FFFFE598"/>
        <bgColor rgb="FFFFE598"/>
      </patternFill>
    </fill>
    <fill>
      <patternFill patternType="solid">
        <fgColor rgb="FFD6DCE4"/>
        <bgColor rgb="FFD6DCE4"/>
      </patternFill>
    </fill>
    <fill>
      <patternFill patternType="solid">
        <fgColor rgb="FFB4C6E7"/>
        <bgColor rgb="FFB4C6E7"/>
      </patternFill>
    </fill>
    <fill>
      <patternFill patternType="solid">
        <fgColor rgb="FFFBE4D5"/>
        <bgColor rgb="FFFBE4D5"/>
      </patternFill>
    </fill>
    <fill>
      <patternFill patternType="solid">
        <fgColor rgb="FFF6B26B"/>
        <bgColor rgb="FFF6B26B"/>
      </patternFill>
    </fill>
    <fill>
      <patternFill patternType="solid">
        <fgColor rgb="FFFF0000"/>
        <bgColor rgb="FFFF0000"/>
      </patternFill>
    </fill>
    <fill>
      <patternFill patternType="solid">
        <fgColor rgb="FFD8D8D8"/>
        <bgColor rgb="FFD8D8D8"/>
      </patternFill>
    </fill>
    <fill>
      <patternFill patternType="solid">
        <fgColor rgb="FF203764"/>
        <bgColor rgb="FF203764"/>
      </patternFill>
    </fill>
    <fill>
      <patternFill patternType="solid">
        <fgColor rgb="FFD9E1F2"/>
        <bgColor rgb="FFD9E1F2"/>
      </patternFill>
    </fill>
    <fill>
      <patternFill patternType="solid">
        <fgColor rgb="FFFFE699"/>
        <bgColor rgb="FFFFE699"/>
      </patternFill>
    </fill>
    <fill>
      <patternFill patternType="solid">
        <fgColor rgb="FFFCE4D6"/>
        <bgColor rgb="FFFCE4D6"/>
      </patternFill>
    </fill>
    <fill>
      <patternFill patternType="solid">
        <fgColor rgb="FFD9D9D9"/>
        <bgColor rgb="FFD9D9D9"/>
      </patternFill>
    </fill>
  </fills>
  <borders count="41">
    <border/>
    <border>
      <left/>
      <right/>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rder>
    <border>
      <left style="medium">
        <color rgb="FF000000"/>
      </left>
      <right style="medium">
        <color rgb="FF000000"/>
      </right>
      <top style="medium">
        <color rgb="FF000000"/>
      </top>
    </border>
    <border>
      <left/>
      <top/>
      <bottom/>
    </border>
    <border>
      <left style="medium">
        <color rgb="FF000000"/>
      </left>
      <right style="medium">
        <color rgb="FF000000"/>
      </right>
    </border>
    <border>
      <right style="medium">
        <color rgb="FF000000"/>
      </right>
    </border>
    <border>
      <right/>
      <top/>
      <bottom/>
    </border>
    <border>
      <left style="medium">
        <color rgb="FF000000"/>
      </left>
      <right/>
      <bottom/>
    </border>
    <border>
      <left style="medium">
        <color rgb="FF000000"/>
      </left>
      <right style="medium">
        <color rgb="FF000000"/>
      </right>
      <bottom/>
    </border>
    <border>
      <left style="medium">
        <color rgb="FF000000"/>
      </left>
      <right/>
      <top/>
      <bottom style="medium">
        <color rgb="FF000000"/>
      </bottom>
    </border>
    <border>
      <left style="medium">
        <color rgb="FF000000"/>
      </left>
      <right style="medium">
        <color rgb="FF000000"/>
      </right>
      <top/>
      <bottom style="medium">
        <color rgb="FF000000"/>
      </bottom>
    </border>
    <border>
      <left/>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right style="thin">
        <color rgb="FF000000"/>
      </right>
    </border>
    <border>
      <left style="thin">
        <color rgb="FF000000"/>
      </left>
      <top style="thin">
        <color rgb="FF000000"/>
      </top>
      <bottom/>
    </border>
    <border>
      <top style="thin">
        <color rgb="FF000000"/>
      </top>
      <bottom/>
    </border>
    <border>
      <right/>
      <top style="thin">
        <color rgb="FF000000"/>
      </top>
      <bottom/>
    </border>
    <border>
      <top/>
      <bottom/>
    </border>
    <border>
      <left style="thin">
        <color rgb="FF000000"/>
      </left>
      <top/>
      <bottom/>
    </border>
    <border>
      <left style="thin">
        <color rgb="FF000000"/>
      </left>
      <right style="thin">
        <color rgb="FF000000"/>
      </right>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1" numFmtId="0" xfId="0" applyAlignment="1" applyBorder="1" applyFill="1" applyFont="1">
      <alignment horizontal="center" readingOrder="0"/>
    </xf>
    <xf borderId="3" fillId="3" fontId="1" numFmtId="0" xfId="0" applyAlignment="1" applyBorder="1" applyFont="1">
      <alignment horizontal="center"/>
    </xf>
    <xf borderId="4" fillId="3" fontId="1" numFmtId="0" xfId="0" applyAlignment="1" applyBorder="1" applyFont="1">
      <alignment horizontal="center" readingOrder="0"/>
    </xf>
    <xf borderId="5" fillId="4" fontId="1" numFmtId="0" xfId="0" applyAlignment="1" applyBorder="1" applyFill="1" applyFont="1">
      <alignment horizontal="center"/>
    </xf>
    <xf borderId="6" fillId="4" fontId="1" numFmtId="0" xfId="0" applyAlignment="1" applyBorder="1" applyFont="1">
      <alignment horizontal="center"/>
    </xf>
    <xf borderId="7" fillId="2" fontId="1" numFmtId="0" xfId="0" applyAlignment="1" applyBorder="1" applyFont="1">
      <alignment horizontal="center"/>
    </xf>
    <xf borderId="8" fillId="2" fontId="1" numFmtId="0" xfId="0" applyAlignment="1" applyBorder="1" applyFont="1">
      <alignment horizontal="center" readingOrder="0"/>
    </xf>
    <xf borderId="9" fillId="2" fontId="1" numFmtId="0" xfId="0" applyAlignment="1" applyBorder="1" applyFont="1">
      <alignment horizontal="center" readingOrder="0"/>
    </xf>
    <xf borderId="10" fillId="2" fontId="1" numFmtId="0" xfId="0" applyAlignment="1" applyBorder="1" applyFont="1">
      <alignment horizontal="center"/>
    </xf>
    <xf borderId="11" fillId="2" fontId="1" numFmtId="0" xfId="0" applyAlignment="1" applyBorder="1" applyFont="1">
      <alignment horizontal="center"/>
    </xf>
    <xf borderId="12" fillId="2" fontId="1" numFmtId="0" xfId="0" applyAlignment="1" applyBorder="1" applyFont="1">
      <alignment horizontal="center" readingOrder="0"/>
    </xf>
    <xf borderId="12" fillId="2" fontId="1" numFmtId="0" xfId="0" applyAlignment="1" applyBorder="1" applyFont="1">
      <alignment horizontal="center"/>
    </xf>
    <xf borderId="13" fillId="2" fontId="1" numFmtId="0" xfId="0" applyAlignment="1" applyBorder="1" applyFont="1">
      <alignment horizontal="center" readingOrder="0"/>
    </xf>
    <xf borderId="14" fillId="2" fontId="1" numFmtId="0" xfId="0" applyAlignment="1" applyBorder="1" applyFont="1">
      <alignment horizontal="center" readingOrder="0"/>
    </xf>
    <xf borderId="15" fillId="2" fontId="1" numFmtId="0" xfId="0" applyAlignment="1" applyBorder="1" applyFont="1">
      <alignment horizontal="center"/>
    </xf>
    <xf borderId="0" fillId="0" fontId="2" numFmtId="0" xfId="0" applyAlignment="1" applyFont="1">
      <alignment horizontal="center"/>
    </xf>
    <xf borderId="1" fillId="2" fontId="1" numFmtId="0" xfId="0" applyAlignment="1" applyBorder="1" applyFont="1">
      <alignment horizontal="center" readingOrder="0"/>
    </xf>
    <xf borderId="16" fillId="5" fontId="3" numFmtId="0" xfId="0" applyAlignment="1" applyBorder="1" applyFill="1" applyFont="1">
      <alignment horizontal="center"/>
    </xf>
    <xf borderId="17" fillId="0" fontId="4" numFmtId="0" xfId="0" applyBorder="1" applyFont="1"/>
    <xf borderId="18" fillId="0" fontId="4" numFmtId="0" xfId="0" applyBorder="1" applyFont="1"/>
    <xf borderId="16" fillId="6" fontId="5" numFmtId="0" xfId="0" applyAlignment="1" applyBorder="1" applyFill="1" applyFont="1">
      <alignment horizontal="center"/>
    </xf>
    <xf borderId="19" fillId="0" fontId="1" numFmtId="0" xfId="0" applyAlignment="1" applyBorder="1" applyFont="1">
      <alignment horizontal="center" readingOrder="0"/>
    </xf>
    <xf borderId="20" fillId="0" fontId="4" numFmtId="0" xfId="0" applyBorder="1" applyFont="1"/>
    <xf borderId="21" fillId="7" fontId="1" numFmtId="164" xfId="0" applyAlignment="1" applyBorder="1" applyFill="1" applyFont="1" applyNumberFormat="1">
      <alignment horizontal="center" readingOrder="0"/>
    </xf>
    <xf borderId="22" fillId="0" fontId="1" numFmtId="0" xfId="0" applyBorder="1" applyFont="1"/>
    <xf borderId="16" fillId="7" fontId="1" numFmtId="10" xfId="0" applyAlignment="1" applyBorder="1" applyFont="1" applyNumberFormat="1">
      <alignment horizontal="center" readingOrder="0"/>
    </xf>
    <xf borderId="16" fillId="7" fontId="1" numFmtId="0" xfId="0" applyAlignment="1" applyBorder="1" applyFont="1">
      <alignment horizontal="center" readingOrder="0"/>
    </xf>
    <xf borderId="16" fillId="0" fontId="1" numFmtId="9" xfId="0" applyAlignment="1" applyBorder="1" applyFont="1" applyNumberFormat="1">
      <alignment horizontal="center"/>
    </xf>
    <xf borderId="16" fillId="8" fontId="1" numFmtId="10" xfId="0" applyAlignment="1" applyBorder="1" applyFill="1" applyFont="1" applyNumberFormat="1">
      <alignment horizontal="center"/>
    </xf>
    <xf borderId="23" fillId="0" fontId="6" numFmtId="0" xfId="0" applyAlignment="1" applyBorder="1" applyFont="1">
      <alignment horizontal="center"/>
    </xf>
    <xf borderId="16" fillId="0" fontId="1" numFmtId="0" xfId="0" applyAlignment="1" applyBorder="1" applyFont="1">
      <alignment horizontal="center" readingOrder="0"/>
    </xf>
    <xf borderId="24" fillId="0" fontId="1" numFmtId="0" xfId="0" applyAlignment="1" applyBorder="1" applyFont="1">
      <alignment horizontal="center" readingOrder="0" vertical="center"/>
    </xf>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9" fillId="0" fontId="4" numFmtId="0" xfId="0" applyBorder="1" applyFont="1"/>
    <xf borderId="30" fillId="6" fontId="5" numFmtId="0" xfId="0" applyAlignment="1" applyBorder="1" applyFont="1">
      <alignment horizontal="center"/>
    </xf>
    <xf borderId="31" fillId="6" fontId="5" numFmtId="0" xfId="0" applyAlignment="1" applyBorder="1" applyFont="1">
      <alignment horizontal="center"/>
    </xf>
    <xf borderId="32" fillId="0" fontId="4" numFmtId="0" xfId="0" applyBorder="1" applyFont="1"/>
    <xf borderId="33" fillId="0" fontId="4" numFmtId="0" xfId="0" applyBorder="1" applyFont="1"/>
    <xf borderId="22" fillId="0" fontId="5" numFmtId="0" xfId="0" applyAlignment="1" applyBorder="1" applyFont="1">
      <alignment horizontal="left"/>
    </xf>
    <xf borderId="22" fillId="9" fontId="5" numFmtId="0" xfId="0" applyAlignment="1" applyBorder="1" applyFill="1" applyFont="1">
      <alignment horizontal="center"/>
    </xf>
    <xf borderId="22" fillId="9" fontId="5" numFmtId="0" xfId="0" applyAlignment="1" applyBorder="1" applyFont="1">
      <alignment horizontal="center" readingOrder="0"/>
    </xf>
    <xf borderId="22" fillId="10" fontId="5" numFmtId="0" xfId="0" applyAlignment="1" applyBorder="1" applyFill="1" applyFont="1">
      <alignment horizontal="center" readingOrder="0"/>
    </xf>
    <xf borderId="22" fillId="10" fontId="5" numFmtId="0" xfId="0" applyAlignment="1" applyBorder="1" applyFont="1">
      <alignment horizontal="center"/>
    </xf>
    <xf borderId="22" fillId="7" fontId="1" numFmtId="164" xfId="0" applyBorder="1" applyFont="1" applyNumberFormat="1"/>
    <xf borderId="22" fillId="11" fontId="1" numFmtId="164" xfId="0" applyBorder="1" applyFill="1" applyFont="1" applyNumberFormat="1"/>
    <xf borderId="22" fillId="11" fontId="7" numFmtId="164" xfId="0" applyBorder="1" applyFont="1" applyNumberFormat="1"/>
    <xf borderId="22" fillId="12" fontId="7" numFmtId="164" xfId="0" applyBorder="1" applyFill="1" applyFont="1" applyNumberFormat="1"/>
    <xf borderId="22" fillId="13" fontId="7" numFmtId="164" xfId="0" applyBorder="1" applyFill="1" applyFont="1" applyNumberFormat="1"/>
    <xf borderId="22" fillId="0" fontId="1" numFmtId="164" xfId="0" applyBorder="1" applyFont="1" applyNumberFormat="1"/>
    <xf borderId="22" fillId="0" fontId="1" numFmtId="164" xfId="0" applyAlignment="1" applyBorder="1" applyFont="1" applyNumberFormat="1">
      <alignment readingOrder="0"/>
    </xf>
    <xf borderId="22" fillId="8" fontId="1" numFmtId="164" xfId="0" applyBorder="1" applyFont="1" applyNumberFormat="1"/>
    <xf borderId="0" fillId="0" fontId="1" numFmtId="164" xfId="0" applyFont="1" applyNumberFormat="1"/>
    <xf borderId="0" fillId="0" fontId="8" numFmtId="164" xfId="0" applyFont="1" applyNumberFormat="1"/>
    <xf borderId="0" fillId="0" fontId="9" numFmtId="0" xfId="0" applyAlignment="1" applyFont="1">
      <alignment readingOrder="0"/>
    </xf>
    <xf borderId="1" fillId="11" fontId="1" numFmtId="9" xfId="0" applyAlignment="1" applyBorder="1" applyFont="1" applyNumberFormat="1">
      <alignment readingOrder="0"/>
    </xf>
    <xf borderId="0" fillId="0" fontId="1" numFmtId="0" xfId="0" applyAlignment="1" applyFont="1">
      <alignment horizontal="left"/>
    </xf>
    <xf borderId="1" fillId="12" fontId="1" numFmtId="9" xfId="0" applyBorder="1" applyFont="1" applyNumberFormat="1"/>
    <xf borderId="1" fillId="8" fontId="1" numFmtId="4" xfId="0" applyBorder="1" applyFont="1" applyNumberFormat="1"/>
    <xf borderId="16" fillId="8" fontId="5" numFmtId="165" xfId="0" applyAlignment="1" applyBorder="1" applyFont="1" applyNumberFormat="1">
      <alignment horizontal="center"/>
    </xf>
    <xf borderId="23" fillId="0" fontId="1" numFmtId="0" xfId="0" applyAlignment="1" applyBorder="1" applyFont="1">
      <alignment horizontal="center"/>
    </xf>
    <xf borderId="22" fillId="0" fontId="1" numFmtId="0" xfId="0" applyAlignment="1" applyBorder="1" applyFont="1">
      <alignment horizontal="center"/>
    </xf>
    <xf borderId="22" fillId="0" fontId="5" numFmtId="10" xfId="0" applyAlignment="1" applyBorder="1" applyFont="1" applyNumberFormat="1">
      <alignment readingOrder="0"/>
    </xf>
    <xf borderId="16" fillId="0" fontId="5" numFmtId="0" xfId="0" applyBorder="1" applyFont="1"/>
    <xf borderId="24" fillId="0" fontId="1" numFmtId="0" xfId="0" applyAlignment="1" applyBorder="1" applyFont="1">
      <alignment horizontal="center" readingOrder="0"/>
    </xf>
    <xf borderId="16" fillId="0" fontId="1" numFmtId="0" xfId="0" applyBorder="1" applyFont="1"/>
    <xf borderId="23" fillId="0" fontId="4" numFmtId="0" xfId="0" applyBorder="1" applyFont="1"/>
    <xf borderId="34" fillId="0" fontId="4" numFmtId="0" xfId="0" applyBorder="1" applyFont="1"/>
    <xf borderId="35" fillId="5" fontId="3" numFmtId="0" xfId="0" applyAlignment="1" applyBorder="1" applyFont="1">
      <alignment horizontal="center"/>
    </xf>
    <xf borderId="36" fillId="0" fontId="4" numFmtId="0" xfId="0" applyBorder="1" applyFont="1"/>
    <xf borderId="37" fillId="0" fontId="4" numFmtId="0" xfId="0" applyBorder="1" applyFont="1"/>
    <xf borderId="16" fillId="6" fontId="1" numFmtId="0" xfId="0" applyAlignment="1" applyBorder="1" applyFont="1">
      <alignment horizontal="center"/>
    </xf>
    <xf borderId="16" fillId="0" fontId="1" numFmtId="0" xfId="0" applyAlignment="1" applyBorder="1" applyFont="1">
      <alignment horizontal="center"/>
    </xf>
    <xf borderId="22" fillId="7" fontId="1" numFmtId="166" xfId="0" applyAlignment="1" applyBorder="1" applyFont="1" applyNumberFormat="1">
      <alignment horizontal="center"/>
    </xf>
    <xf borderId="22" fillId="7" fontId="1" numFmtId="166" xfId="0" applyBorder="1" applyFont="1" applyNumberFormat="1"/>
    <xf borderId="22" fillId="11" fontId="1" numFmtId="166" xfId="0" applyBorder="1" applyFont="1" applyNumberFormat="1"/>
    <xf borderId="22" fillId="13" fontId="1" numFmtId="166" xfId="0" applyBorder="1" applyFont="1" applyNumberFormat="1"/>
    <xf borderId="16" fillId="0" fontId="1" numFmtId="0" xfId="0" applyAlignment="1" applyBorder="1" applyFont="1">
      <alignment horizontal="left"/>
    </xf>
    <xf borderId="22" fillId="0" fontId="1" numFmtId="166" xfId="0" applyBorder="1" applyFont="1" applyNumberFormat="1"/>
    <xf borderId="22" fillId="0" fontId="1" numFmtId="166" xfId="0" applyAlignment="1" applyBorder="1" applyFont="1" applyNumberFormat="1">
      <alignment readingOrder="0"/>
    </xf>
    <xf borderId="22" fillId="0" fontId="1" numFmtId="0" xfId="0" applyAlignment="1" applyBorder="1" applyFont="1">
      <alignment horizontal="left"/>
    </xf>
    <xf borderId="1" fillId="11" fontId="1" numFmtId="9" xfId="0" applyBorder="1" applyFont="1" applyNumberFormat="1"/>
    <xf borderId="22" fillId="14" fontId="10" numFmtId="164" xfId="0" applyBorder="1" applyFill="1" applyFont="1" applyNumberFormat="1"/>
    <xf borderId="22" fillId="8" fontId="1" numFmtId="10" xfId="0" applyBorder="1" applyFont="1" applyNumberFormat="1"/>
    <xf borderId="22" fillId="7" fontId="1" numFmtId="4" xfId="0" applyAlignment="1" applyBorder="1" applyFont="1" applyNumberFormat="1">
      <alignment readingOrder="0"/>
    </xf>
    <xf borderId="22" fillId="7" fontId="1" numFmtId="0" xfId="0" applyBorder="1" applyFont="1"/>
    <xf borderId="22" fillId="7" fontId="1" numFmtId="10" xfId="0" applyAlignment="1" applyBorder="1" applyFont="1" applyNumberFormat="1">
      <alignment readingOrder="0"/>
    </xf>
    <xf borderId="22" fillId="0" fontId="1" numFmtId="10" xfId="0" applyBorder="1" applyFont="1" applyNumberFormat="1"/>
    <xf borderId="16" fillId="0" fontId="5" numFmtId="0" xfId="0" applyAlignment="1" applyBorder="1" applyFont="1">
      <alignment horizontal="center"/>
    </xf>
    <xf borderId="16" fillId="0" fontId="5" numFmtId="0" xfId="0" applyAlignment="1" applyBorder="1" applyFont="1">
      <alignment horizontal="left"/>
    </xf>
    <xf borderId="22" fillId="8" fontId="5" numFmtId="165" xfId="0" applyBorder="1" applyFont="1" applyNumberFormat="1"/>
    <xf borderId="23" fillId="0" fontId="1" numFmtId="0" xfId="0" applyBorder="1" applyFont="1"/>
    <xf borderId="23" fillId="0" fontId="1" numFmtId="0" xfId="0" applyAlignment="1" applyBorder="1" applyFont="1">
      <alignment horizontal="center" readingOrder="0" vertical="center"/>
    </xf>
    <xf borderId="22" fillId="7" fontId="1" numFmtId="166" xfId="0" applyAlignment="1" applyBorder="1" applyFont="1" applyNumberFormat="1">
      <alignment readingOrder="0"/>
    </xf>
    <xf borderId="0" fillId="0" fontId="11" numFmtId="164" xfId="0" applyAlignment="1" applyFont="1" applyNumberFormat="1">
      <alignment horizontal="center" vertical="center"/>
    </xf>
    <xf borderId="0" fillId="0" fontId="1" numFmtId="164" xfId="0" applyAlignment="1" applyFont="1" applyNumberFormat="1">
      <alignment shrinkToFit="0" vertical="center" wrapText="1"/>
    </xf>
    <xf borderId="0" fillId="0" fontId="5" numFmtId="0" xfId="0" applyFont="1"/>
    <xf borderId="7" fillId="5" fontId="3" numFmtId="0" xfId="0" applyAlignment="1" applyBorder="1" applyFont="1">
      <alignment horizontal="center"/>
    </xf>
    <xf borderId="38" fillId="0" fontId="4" numFmtId="0" xfId="0" applyBorder="1" applyFont="1"/>
    <xf borderId="10" fillId="0" fontId="4" numFmtId="0" xfId="0" applyBorder="1" applyFont="1"/>
    <xf borderId="1" fillId="5" fontId="3" numFmtId="0" xfId="0" applyBorder="1" applyFont="1"/>
    <xf borderId="0" fillId="0" fontId="3" numFmtId="0" xfId="0" applyFont="1"/>
    <xf borderId="0" fillId="0" fontId="1" numFmtId="0" xfId="0" applyAlignment="1" applyFont="1">
      <alignment horizontal="center"/>
    </xf>
    <xf borderId="22" fillId="0" fontId="5" numFmtId="0" xfId="0" applyBorder="1" applyFont="1"/>
    <xf borderId="23" fillId="0" fontId="5" numFmtId="0" xfId="0" applyBorder="1" applyFont="1"/>
    <xf borderId="22" fillId="8" fontId="5" numFmtId="165" xfId="0" applyAlignment="1" applyBorder="1" applyFont="1" applyNumberFormat="1">
      <alignment readingOrder="0"/>
    </xf>
    <xf borderId="39" fillId="5" fontId="3" numFmtId="0" xfId="0" applyAlignment="1" applyBorder="1" applyFont="1">
      <alignment horizontal="center"/>
    </xf>
    <xf borderId="22" fillId="8" fontId="5" numFmtId="4" xfId="0" applyBorder="1" applyFont="1" applyNumberFormat="1"/>
    <xf borderId="22" fillId="0" fontId="9" numFmtId="0" xfId="0" applyBorder="1" applyFont="1"/>
    <xf borderId="16" fillId="15" fontId="12" numFmtId="0" xfId="0" applyAlignment="1" applyBorder="1" applyFill="1" applyFont="1">
      <alignment horizontal="center" readingOrder="0" shrinkToFit="0" vertical="bottom" wrapText="0"/>
    </xf>
    <xf borderId="0" fillId="0" fontId="13" numFmtId="0" xfId="0" applyAlignment="1" applyFont="1">
      <alignment shrinkToFit="0" vertical="bottom" wrapText="0"/>
    </xf>
    <xf borderId="16" fillId="16" fontId="14" numFmtId="0" xfId="0" applyAlignment="1" applyBorder="1" applyFill="1" applyFont="1">
      <alignment horizontal="center" readingOrder="0" shrinkToFit="0" vertical="bottom" wrapText="0"/>
    </xf>
    <xf borderId="0" fillId="0" fontId="13" numFmtId="0" xfId="0" applyAlignment="1" applyFont="1">
      <alignment horizontal="center" readingOrder="0" shrinkToFit="0" vertical="bottom" wrapText="0"/>
    </xf>
    <xf borderId="22" fillId="7" fontId="13" numFmtId="167" xfId="0" applyAlignment="1" applyBorder="1" applyFont="1" applyNumberFormat="1">
      <alignment horizontal="right" readingOrder="0" shrinkToFit="0" vertical="bottom" wrapText="0"/>
    </xf>
    <xf borderId="22" fillId="0" fontId="13" numFmtId="0" xfId="0" applyAlignment="1" applyBorder="1" applyFont="1">
      <alignment shrinkToFit="0" vertical="bottom" wrapText="0"/>
    </xf>
    <xf borderId="22" fillId="0" fontId="13" numFmtId="0" xfId="0" applyAlignment="1" applyBorder="1" applyFont="1">
      <alignment readingOrder="0" shrinkToFit="0" vertical="bottom" wrapText="0"/>
    </xf>
    <xf borderId="16" fillId="7" fontId="13" numFmtId="10" xfId="0" applyAlignment="1" applyBorder="1" applyFont="1" applyNumberFormat="1">
      <alignment horizontal="center" readingOrder="0" shrinkToFit="0" vertical="bottom" wrapText="0"/>
    </xf>
    <xf borderId="0" fillId="0" fontId="13" numFmtId="0" xfId="0" applyAlignment="1" applyFont="1">
      <alignment readingOrder="0" shrinkToFit="0" vertical="bottom" wrapText="0"/>
    </xf>
    <xf borderId="17" fillId="7" fontId="13" numFmtId="0" xfId="0" applyAlignment="1" applyBorder="1" applyFont="1">
      <alignment horizontal="center" readingOrder="0" shrinkToFit="0" vertical="bottom" wrapText="0"/>
    </xf>
    <xf borderId="17" fillId="0" fontId="13" numFmtId="9" xfId="0" applyAlignment="1" applyBorder="1" applyFont="1" applyNumberFormat="1">
      <alignment horizontal="center" readingOrder="0" shrinkToFit="0" vertical="bottom" wrapText="0"/>
    </xf>
    <xf borderId="16" fillId="17" fontId="13" numFmtId="10" xfId="0" applyAlignment="1" applyBorder="1" applyFill="1" applyFont="1" applyNumberFormat="1">
      <alignment horizontal="center" readingOrder="0" shrinkToFit="0" vertical="bottom" wrapText="0"/>
    </xf>
    <xf borderId="0" fillId="0" fontId="15" numFmtId="0" xfId="0" applyAlignment="1" applyFont="1">
      <alignment horizontal="center" readingOrder="0" shrinkToFit="0" vertical="bottom" wrapText="0"/>
    </xf>
    <xf borderId="16" fillId="0" fontId="13" numFmtId="0" xfId="0" applyAlignment="1" applyBorder="1" applyFont="1">
      <alignment horizontal="center" readingOrder="0" shrinkToFit="0" vertical="bottom" wrapText="0"/>
    </xf>
    <xf borderId="23" fillId="0" fontId="13" numFmtId="0" xfId="0" applyAlignment="1" applyBorder="1" applyFont="1">
      <alignment horizontal="center" readingOrder="0" shrinkToFit="0" wrapText="0"/>
    </xf>
    <xf borderId="16" fillId="16" fontId="14" numFmtId="0" xfId="0" applyAlignment="1" applyBorder="1" applyFont="1">
      <alignment horizontal="center" shrinkToFit="0" vertical="bottom" wrapText="0"/>
    </xf>
    <xf borderId="28" fillId="16" fontId="14" numFmtId="0" xfId="0" applyAlignment="1" applyBorder="1" applyFont="1">
      <alignment horizontal="center" shrinkToFit="0" vertical="bottom" wrapText="0"/>
    </xf>
    <xf borderId="27" fillId="16" fontId="14" numFmtId="0" xfId="0" applyAlignment="1" applyBorder="1" applyFont="1">
      <alignment horizontal="center" readingOrder="0" shrinkToFit="0" vertical="bottom" wrapText="0"/>
    </xf>
    <xf borderId="22" fillId="0" fontId="14" numFmtId="0" xfId="0" applyAlignment="1" applyBorder="1" applyFont="1">
      <alignment horizontal="left" shrinkToFit="0" vertical="bottom" wrapText="0"/>
    </xf>
    <xf borderId="22" fillId="9" fontId="14" numFmtId="0" xfId="0" applyAlignment="1" applyBorder="1" applyFont="1">
      <alignment horizontal="center" readingOrder="0" shrinkToFit="0" vertical="bottom" wrapText="0"/>
    </xf>
    <xf borderId="22" fillId="10" fontId="14" numFmtId="0" xfId="0" applyAlignment="1" applyBorder="1" applyFont="1">
      <alignment horizontal="center" readingOrder="0" shrinkToFit="0" vertical="bottom" wrapText="0"/>
    </xf>
    <xf borderId="22" fillId="18" fontId="13" numFmtId="167" xfId="0" applyAlignment="1" applyBorder="1" applyFill="1" applyFont="1" applyNumberFormat="1">
      <alignment horizontal="right" readingOrder="0" shrinkToFit="0" vertical="bottom" wrapText="0"/>
    </xf>
    <xf borderId="22" fillId="18" fontId="16" numFmtId="167" xfId="0" applyAlignment="1" applyBorder="1" applyFont="1" applyNumberFormat="1">
      <alignment horizontal="right" readingOrder="0" shrinkToFit="0" vertical="bottom" wrapText="0"/>
    </xf>
    <xf borderId="22" fillId="17" fontId="13" numFmtId="167" xfId="0" applyAlignment="1" applyBorder="1" applyFont="1" applyNumberFormat="1">
      <alignment horizontal="right" readingOrder="0" shrinkToFit="0" vertical="bottom" wrapText="0"/>
    </xf>
    <xf borderId="22" fillId="0" fontId="13" numFmtId="167" xfId="0" applyAlignment="1" applyBorder="1" applyFont="1" applyNumberFormat="1">
      <alignment horizontal="right" readingOrder="0" shrinkToFit="0" vertical="bottom" wrapText="0"/>
    </xf>
    <xf borderId="28" fillId="0" fontId="13" numFmtId="0" xfId="0" applyAlignment="1" applyBorder="1" applyFont="1">
      <alignment readingOrder="0" shrinkToFit="0" vertical="bottom" wrapText="0"/>
    </xf>
    <xf borderId="0" fillId="0" fontId="17" numFmtId="0" xfId="0" applyAlignment="1" applyFont="1">
      <alignment horizontal="center" readingOrder="0" shrinkToFit="0" vertical="bottom" wrapText="0"/>
    </xf>
    <xf borderId="0" fillId="0" fontId="17" numFmtId="0" xfId="0" applyAlignment="1" applyFont="1">
      <alignment shrinkToFit="0" vertical="bottom" wrapText="0"/>
    </xf>
    <xf borderId="0" fillId="0" fontId="13" numFmtId="0" xfId="0" applyAlignment="1" applyFont="1">
      <alignment horizontal="left" readingOrder="0" shrinkToFit="0" vertical="bottom" wrapText="0"/>
    </xf>
    <xf borderId="0" fillId="18" fontId="13" numFmtId="9" xfId="0" applyAlignment="1" applyFont="1" applyNumberFormat="1">
      <alignment horizontal="right" readingOrder="0" shrinkToFit="0" vertical="bottom" wrapText="0"/>
    </xf>
    <xf borderId="0" fillId="17" fontId="13" numFmtId="167" xfId="0" applyAlignment="1" applyFont="1" applyNumberFormat="1">
      <alignment horizontal="right" readingOrder="0" shrinkToFit="0" vertical="bottom" wrapText="0"/>
    </xf>
    <xf borderId="28" fillId="0" fontId="13" numFmtId="0" xfId="0" applyAlignment="1" applyBorder="1" applyFont="1">
      <alignment horizontal="center" shrinkToFit="0" vertical="bottom" wrapText="0"/>
    </xf>
    <xf borderId="16" fillId="17" fontId="14" numFmtId="167" xfId="0" applyAlignment="1" applyBorder="1" applyFont="1" applyNumberFormat="1">
      <alignment horizontal="center" readingOrder="0" shrinkToFit="0" vertical="bottom" wrapText="0"/>
    </xf>
    <xf borderId="22" fillId="0" fontId="13" numFmtId="0" xfId="0" applyAlignment="1" applyBorder="1" applyFont="1">
      <alignment horizontal="center" shrinkToFit="0" vertical="bottom" wrapText="0"/>
    </xf>
    <xf borderId="22" fillId="0" fontId="13" numFmtId="0" xfId="0" applyAlignment="1" applyBorder="1" applyFont="1">
      <alignment horizontal="center" readingOrder="0" shrinkToFit="0" vertical="bottom" wrapText="0"/>
    </xf>
    <xf borderId="22" fillId="0" fontId="14" numFmtId="10" xfId="0" applyAlignment="1" applyBorder="1" applyFont="1" applyNumberFormat="1">
      <alignment horizontal="right" readingOrder="0" shrinkToFit="0" vertical="bottom" wrapText="0"/>
    </xf>
    <xf borderId="22" fillId="0" fontId="14" numFmtId="0" xfId="0" applyAlignment="1" applyBorder="1" applyFont="1">
      <alignment shrinkToFit="0" vertical="bottom" wrapText="0"/>
    </xf>
    <xf borderId="23" fillId="0" fontId="13" numFmtId="0" xfId="0" applyAlignment="1" applyBorder="1" applyFont="1">
      <alignment horizontal="center" readingOrder="0" shrinkToFit="0" vertical="bottom" wrapText="0"/>
    </xf>
    <xf borderId="24" fillId="15" fontId="12" numFmtId="0" xfId="0" applyAlignment="1" applyBorder="1" applyFont="1">
      <alignment horizontal="center" readingOrder="0" shrinkToFit="0" vertical="bottom" wrapText="0"/>
    </xf>
    <xf borderId="28" fillId="0" fontId="13" numFmtId="0" xfId="0" applyAlignment="1" applyBorder="1" applyFont="1">
      <alignment horizontal="center" readingOrder="0" shrinkToFit="0" vertical="bottom" wrapText="0"/>
    </xf>
    <xf borderId="16" fillId="16" fontId="13" numFmtId="0" xfId="0" applyAlignment="1" applyBorder="1" applyFont="1">
      <alignment horizontal="center" readingOrder="0" shrinkToFit="0" vertical="bottom" wrapText="0"/>
    </xf>
    <xf borderId="16" fillId="0" fontId="13" numFmtId="0" xfId="0" applyAlignment="1" applyBorder="1" applyFont="1">
      <alignment horizontal="center" shrinkToFit="0" vertical="bottom" wrapText="0"/>
    </xf>
    <xf borderId="22" fillId="7" fontId="13" numFmtId="0" xfId="0" applyAlignment="1" applyBorder="1" applyFont="1">
      <alignment horizontal="center" readingOrder="0" shrinkToFit="0" vertical="bottom" wrapText="0"/>
    </xf>
    <xf borderId="22" fillId="7" fontId="13" numFmtId="167" xfId="0" applyAlignment="1" applyBorder="1" applyFont="1" applyNumberFormat="1">
      <alignment readingOrder="0" shrinkToFit="0" vertical="bottom" wrapText="0"/>
    </xf>
    <xf borderId="16" fillId="0" fontId="13" numFmtId="0" xfId="0" applyAlignment="1" applyBorder="1" applyFont="1">
      <alignment horizontal="left" shrinkToFit="0" vertical="bottom" wrapText="0"/>
    </xf>
    <xf borderId="22" fillId="0" fontId="13" numFmtId="0" xfId="0" applyAlignment="1" applyBorder="1" applyFont="1">
      <alignment horizontal="left" shrinkToFit="0" vertical="bottom" wrapText="0"/>
    </xf>
    <xf borderId="22" fillId="19" fontId="18" numFmtId="0" xfId="0" applyAlignment="1" applyBorder="1" applyFill="1" applyFont="1">
      <alignment readingOrder="0" shrinkToFit="0" vertical="bottom" wrapText="0"/>
    </xf>
    <xf borderId="22" fillId="19" fontId="19" numFmtId="0" xfId="0" applyAlignment="1" applyBorder="1" applyFont="1">
      <alignment shrinkToFit="0" vertical="bottom" wrapText="0"/>
    </xf>
    <xf borderId="16" fillId="0" fontId="13" numFmtId="0" xfId="0" applyAlignment="1" applyBorder="1" applyFont="1">
      <alignment horizontal="left" readingOrder="0" shrinkToFit="0" vertical="bottom" wrapText="0"/>
    </xf>
    <xf borderId="22" fillId="17" fontId="13" numFmtId="10" xfId="0" applyAlignment="1" applyBorder="1" applyFont="1" applyNumberFormat="1">
      <alignment horizontal="right" readingOrder="0" shrinkToFit="0" vertical="bottom" wrapText="0"/>
    </xf>
    <xf borderId="22" fillId="7" fontId="13" numFmtId="0" xfId="0" applyAlignment="1" applyBorder="1" applyFont="1">
      <alignment horizontal="right" readingOrder="0" shrinkToFit="0" vertical="bottom" wrapText="0"/>
    </xf>
    <xf borderId="22" fillId="7" fontId="13" numFmtId="0" xfId="0" applyAlignment="1" applyBorder="1" applyFont="1">
      <alignment shrinkToFit="0" vertical="bottom" wrapText="0"/>
    </xf>
    <xf borderId="22" fillId="19" fontId="20" numFmtId="167" xfId="0" applyAlignment="1" applyBorder="1" applyFont="1" applyNumberFormat="1">
      <alignment horizontal="right" readingOrder="0" shrinkToFit="0" vertical="bottom" wrapText="0"/>
    </xf>
    <xf borderId="22" fillId="0" fontId="13" numFmtId="0" xfId="0" applyAlignment="1" applyBorder="1" applyFont="1">
      <alignment horizontal="right" readingOrder="0" shrinkToFit="0" vertical="bottom" wrapText="0"/>
    </xf>
    <xf borderId="16" fillId="0" fontId="14" numFmtId="0" xfId="0" applyAlignment="1" applyBorder="1" applyFont="1">
      <alignment horizontal="center" shrinkToFit="0" vertical="bottom" wrapText="0"/>
    </xf>
    <xf borderId="16" fillId="0" fontId="14" numFmtId="0" xfId="0" applyAlignment="1" applyBorder="1" applyFont="1">
      <alignment horizontal="left" readingOrder="0" shrinkToFit="0" vertical="bottom" wrapText="0"/>
    </xf>
    <xf borderId="22" fillId="17" fontId="14" numFmtId="167" xfId="0" applyAlignment="1" applyBorder="1" applyFont="1" applyNumberFormat="1">
      <alignment horizontal="right" readingOrder="0" shrinkToFit="0" vertical="bottom" wrapText="0"/>
    </xf>
    <xf borderId="23" fillId="0" fontId="21" numFmtId="0" xfId="0" applyAlignment="1" applyBorder="1" applyFont="1">
      <alignment horizontal="center" readingOrder="0" shrinkToFit="0" vertical="bottom" wrapText="0"/>
    </xf>
    <xf borderId="22" fillId="17" fontId="14" numFmtId="0" xfId="0" applyAlignment="1" applyBorder="1" applyFont="1">
      <alignment shrinkToFit="0" vertical="bottom" wrapText="0"/>
    </xf>
    <xf borderId="22" fillId="18" fontId="13" numFmtId="167" xfId="0" applyAlignment="1" applyBorder="1" applyFont="1" applyNumberFormat="1">
      <alignment readingOrder="0" shrinkToFit="0" vertical="bottom" wrapText="0"/>
    </xf>
    <xf borderId="22" fillId="18" fontId="16" numFmtId="167" xfId="0" applyAlignment="1" applyBorder="1" applyFont="1" applyNumberFormat="1">
      <alignment readingOrder="0" shrinkToFit="0" vertical="bottom" wrapText="0"/>
    </xf>
    <xf borderId="22" fillId="13" fontId="13" numFmtId="167" xfId="0" applyAlignment="1" applyBorder="1" applyFont="1" applyNumberFormat="1">
      <alignment readingOrder="0" shrinkToFit="0" vertical="bottom" wrapText="0"/>
    </xf>
    <xf borderId="22" fillId="17" fontId="13" numFmtId="167" xfId="0" applyAlignment="1" applyBorder="1" applyFont="1" applyNumberFormat="1">
      <alignment readingOrder="0" shrinkToFit="0" vertical="bottom" wrapText="0"/>
    </xf>
    <xf borderId="0" fillId="0" fontId="22" numFmtId="0" xfId="0" applyAlignment="1" applyFont="1">
      <alignment horizontal="center" readingOrder="0" shrinkToFit="0" wrapText="0"/>
    </xf>
    <xf borderId="0" fillId="0" fontId="13" numFmtId="0" xfId="0" applyAlignment="1" applyFont="1">
      <alignment readingOrder="0"/>
    </xf>
    <xf borderId="0" fillId="17" fontId="13" numFmtId="167" xfId="0" applyAlignment="1" applyFont="1" applyNumberFormat="1">
      <alignment readingOrder="0" shrinkToFit="0" vertical="bottom" wrapText="0"/>
    </xf>
    <xf borderId="0" fillId="0" fontId="14" numFmtId="0" xfId="0" applyAlignment="1" applyFont="1">
      <alignment shrinkToFit="0" vertical="bottom" wrapText="0"/>
    </xf>
    <xf borderId="0" fillId="15" fontId="12" numFmtId="0" xfId="0" applyAlignment="1" applyFont="1">
      <alignment horizontal="center" readingOrder="0" shrinkToFit="0" vertical="bottom" wrapText="0"/>
    </xf>
    <xf borderId="0" fillId="15" fontId="12" numFmtId="0" xfId="0" applyAlignment="1" applyFont="1">
      <alignment shrinkToFit="0" vertical="bottom" wrapText="0"/>
    </xf>
    <xf borderId="0" fillId="0" fontId="12" numFmtId="0" xfId="0" applyAlignment="1" applyFont="1">
      <alignment shrinkToFit="0" vertical="bottom" wrapText="0"/>
    </xf>
    <xf borderId="22" fillId="0" fontId="14" numFmtId="0" xfId="0" applyAlignment="1" applyBorder="1" applyFont="1">
      <alignment readingOrder="0" shrinkToFit="0" vertical="bottom" wrapText="0"/>
    </xf>
    <xf borderId="34" fillId="0" fontId="14" numFmtId="0" xfId="0" applyAlignment="1" applyBorder="1" applyFont="1">
      <alignment readingOrder="0" shrinkToFit="0" vertical="bottom" wrapText="0"/>
    </xf>
    <xf borderId="23" fillId="15" fontId="12" numFmtId="0" xfId="0" applyAlignment="1" applyBorder="1" applyFont="1">
      <alignment horizontal="center" readingOrder="0" shrinkToFit="0" vertical="bottom" wrapText="0"/>
    </xf>
    <xf borderId="22" fillId="17" fontId="14" numFmtId="0" xfId="0" applyAlignment="1" applyBorder="1" applyFont="1">
      <alignment horizontal="right" readingOrder="0" shrinkToFit="0" vertical="bottom" wrapText="0"/>
    </xf>
    <xf borderId="22" fillId="17" fontId="14" numFmtId="167" xfId="0" applyAlignment="1" applyBorder="1" applyFont="1" applyNumberFormat="1">
      <alignment readingOrder="0" shrinkToFit="0" vertical="bottom" wrapText="0"/>
    </xf>
    <xf borderId="40" fillId="0" fontId="13" numFmtId="0" xfId="0" applyAlignment="1" applyBorder="1" applyFont="1">
      <alignment readingOrder="0" shrinkToFit="0" vertical="bottom" wrapText="0"/>
    </xf>
    <xf borderId="0" fillId="0" fontId="1" numFmtId="0" xfId="0" applyAlignment="1" applyFont="1">
      <alignment horizontal="center" readingOrder="0"/>
    </xf>
    <xf borderId="16" fillId="7" fontId="1" numFmtId="10" xfId="0" applyAlignment="1" applyBorder="1" applyFont="1" applyNumberFormat="1">
      <alignment horizontal="center"/>
    </xf>
    <xf borderId="0" fillId="0" fontId="9" numFmtId="0" xfId="0" applyFont="1"/>
    <xf borderId="16" fillId="7" fontId="1" numFmtId="0" xfId="0" applyAlignment="1" applyBorder="1" applyFont="1">
      <alignment horizontal="center"/>
    </xf>
    <xf borderId="23" fillId="0" fontId="1" numFmtId="0" xfId="0" applyAlignment="1" applyBorder="1" applyFont="1">
      <alignment horizontal="center" readingOrder="0" shrinkToFit="0" vertical="center" wrapText="1"/>
    </xf>
    <xf borderId="22" fillId="13" fontId="1" numFmtId="164" xfId="0" applyBorder="1" applyFont="1" applyNumberFormat="1"/>
    <xf borderId="22" fillId="8" fontId="7" numFmtId="164" xfId="0" applyBorder="1" applyFont="1" applyNumberFormat="1"/>
    <xf borderId="1" fillId="11" fontId="1" numFmtId="168" xfId="0" applyAlignment="1" applyBorder="1" applyFont="1" applyNumberFormat="1">
      <alignment readingOrder="0"/>
    </xf>
    <xf borderId="1" fillId="8" fontId="1" numFmtId="164" xfId="0" applyBorder="1" applyFont="1" applyNumberFormat="1"/>
    <xf borderId="27" fillId="0" fontId="1" numFmtId="10" xfId="0" applyAlignment="1" applyBorder="1" applyFont="1" applyNumberFormat="1">
      <alignment horizontal="center"/>
    </xf>
    <xf borderId="22" fillId="0" fontId="5" numFmtId="10" xfId="0" applyBorder="1" applyFont="1" applyNumberFormat="1"/>
    <xf borderId="23" fillId="0" fontId="1" numFmtId="0" xfId="0" applyAlignment="1" applyBorder="1" applyFont="1">
      <alignment horizontal="center" shrinkToFit="0" wrapText="1"/>
    </xf>
    <xf borderId="22" fillId="8" fontId="1" numFmtId="167" xfId="0" applyBorder="1" applyFont="1" applyNumberFormat="1"/>
    <xf borderId="22" fillId="7" fontId="1" numFmtId="167" xfId="0" applyBorder="1" applyFont="1" applyNumberFormat="1"/>
    <xf borderId="22" fillId="11" fontId="1" numFmtId="167" xfId="0" applyBorder="1" applyFont="1" applyNumberFormat="1"/>
    <xf borderId="22" fillId="13" fontId="1" numFmtId="167" xfId="0" applyBorder="1" applyFont="1" applyNumberFormat="1"/>
    <xf borderId="22" fillId="0" fontId="1" numFmtId="169" xfId="0" applyBorder="1" applyFont="1" applyNumberFormat="1"/>
    <xf borderId="1" fillId="11" fontId="1" numFmtId="168" xfId="0" applyBorder="1" applyFont="1" applyNumberFormat="1"/>
    <xf borderId="1" fillId="8" fontId="1" numFmtId="167" xfId="0" applyBorder="1" applyFont="1" applyNumberFormat="1"/>
    <xf borderId="22" fillId="7" fontId="1" numFmtId="4" xfId="0" applyBorder="1" applyFont="1" applyNumberFormat="1"/>
    <xf borderId="22" fillId="7" fontId="1" numFmtId="10" xfId="0" applyBorder="1" applyFont="1" applyNumberFormat="1"/>
    <xf borderId="23" fillId="0" fontId="1" numFmtId="0" xfId="0" applyAlignment="1" applyBorder="1" applyFont="1">
      <alignment horizontal="center" readingOrder="0" shrinkToFit="0" vertical="center" wrapText="1"/>
    </xf>
    <xf borderId="0" fillId="0" fontId="1" numFmtId="164" xfId="0" applyAlignment="1" applyFont="1" applyNumberFormat="1">
      <alignment readingOrder="0" shrinkToFit="0" vertical="center" wrapText="1"/>
    </xf>
    <xf borderId="40" fillId="0" fontId="5" numFmtId="0" xfId="0" applyBorder="1" applyFont="1"/>
    <xf borderId="22" fillId="8" fontId="5" numFmtId="167" xfId="0" applyBorder="1" applyFont="1" applyNumberFormat="1"/>
    <xf borderId="40"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6.1"/>
    <col customWidth="1" min="2" max="2" width="17.2"/>
    <col customWidth="1" min="3" max="3" width="10.3"/>
    <col customWidth="1" min="4" max="4" width="15.3"/>
    <col customWidth="1" min="5" max="6" width="9.7"/>
    <col customWidth="1" min="7" max="26" width="9.5"/>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t="s">
        <v>0</v>
      </c>
      <c r="C2" s="3"/>
      <c r="D2" s="4" t="s">
        <v>1</v>
      </c>
      <c r="E2" s="1"/>
      <c r="F2" s="1"/>
      <c r="G2" s="1"/>
      <c r="H2" s="1"/>
      <c r="I2" s="1"/>
      <c r="J2" s="1"/>
      <c r="K2" s="1"/>
      <c r="L2" s="1"/>
      <c r="M2" s="1"/>
      <c r="N2" s="1"/>
      <c r="O2" s="1"/>
      <c r="P2" s="1"/>
      <c r="Q2" s="1"/>
      <c r="R2" s="1"/>
      <c r="S2" s="1"/>
      <c r="T2" s="1"/>
      <c r="U2" s="1"/>
      <c r="V2" s="1"/>
      <c r="W2" s="1"/>
      <c r="X2" s="1"/>
      <c r="Y2" s="1"/>
      <c r="Z2" s="1"/>
    </row>
    <row r="3" ht="15.75" customHeight="1">
      <c r="A3" s="1"/>
      <c r="B3" s="5" t="s">
        <v>2</v>
      </c>
      <c r="C3" s="6" t="s">
        <v>3</v>
      </c>
      <c r="D3" s="6" t="s">
        <v>4</v>
      </c>
      <c r="E3" s="1"/>
      <c r="F3" s="1"/>
      <c r="G3" s="1"/>
      <c r="H3" s="1"/>
      <c r="I3" s="1"/>
      <c r="J3" s="1"/>
      <c r="K3" s="1"/>
      <c r="L3" s="1"/>
      <c r="M3" s="1"/>
      <c r="N3" s="1"/>
      <c r="O3" s="1"/>
      <c r="P3" s="1"/>
      <c r="Q3" s="1"/>
      <c r="R3" s="1"/>
      <c r="S3" s="1"/>
      <c r="T3" s="1"/>
      <c r="U3" s="1"/>
      <c r="V3" s="1"/>
      <c r="W3" s="1"/>
      <c r="X3" s="1"/>
      <c r="Y3" s="1"/>
      <c r="Z3" s="1"/>
    </row>
    <row r="4" ht="15.75" customHeight="1">
      <c r="A4" s="7"/>
      <c r="B4" s="8" t="s">
        <v>5</v>
      </c>
      <c r="C4" s="9">
        <v>9.03772087E8</v>
      </c>
      <c r="D4" s="9" t="s">
        <v>6</v>
      </c>
      <c r="E4" s="10"/>
      <c r="F4" s="1"/>
      <c r="G4" s="1"/>
      <c r="H4" s="1"/>
      <c r="I4" s="1"/>
      <c r="J4" s="1"/>
      <c r="K4" s="1"/>
      <c r="L4" s="1"/>
      <c r="M4" s="1"/>
      <c r="N4" s="1"/>
      <c r="O4" s="1"/>
      <c r="P4" s="1"/>
      <c r="Q4" s="1"/>
      <c r="R4" s="1"/>
      <c r="S4" s="1"/>
      <c r="T4" s="1"/>
      <c r="U4" s="1"/>
      <c r="V4" s="1"/>
      <c r="W4" s="1"/>
      <c r="X4" s="1"/>
      <c r="Y4" s="1"/>
      <c r="Z4" s="1"/>
    </row>
    <row r="5" ht="15.75" customHeight="1">
      <c r="A5" s="1"/>
      <c r="B5" s="11" t="s">
        <v>7</v>
      </c>
      <c r="C5" s="12">
        <v>9.04124203E8</v>
      </c>
      <c r="D5" s="13" t="s">
        <v>8</v>
      </c>
      <c r="E5" s="1"/>
      <c r="F5" s="1"/>
      <c r="G5" s="1"/>
      <c r="H5" s="1"/>
      <c r="I5" s="1"/>
      <c r="J5" s="1"/>
      <c r="K5" s="1"/>
      <c r="L5" s="1"/>
      <c r="M5" s="1"/>
      <c r="N5" s="1"/>
      <c r="O5" s="1"/>
      <c r="P5" s="1"/>
      <c r="Q5" s="1"/>
      <c r="R5" s="1"/>
      <c r="S5" s="1"/>
      <c r="T5" s="1"/>
      <c r="U5" s="1"/>
      <c r="V5" s="1"/>
      <c r="W5" s="1"/>
      <c r="X5" s="1"/>
      <c r="Y5" s="1"/>
      <c r="Z5" s="1"/>
    </row>
    <row r="6" ht="15.75" customHeight="1">
      <c r="A6" s="1"/>
      <c r="B6" s="14" t="s">
        <v>9</v>
      </c>
      <c r="C6" s="15">
        <v>9.04141421E8</v>
      </c>
      <c r="D6" s="15" t="s">
        <v>10</v>
      </c>
      <c r="E6" s="1"/>
      <c r="F6" s="1"/>
      <c r="G6" s="1"/>
      <c r="H6" s="1"/>
      <c r="I6" s="1"/>
      <c r="J6" s="1"/>
      <c r="K6" s="1"/>
      <c r="L6" s="1"/>
      <c r="M6" s="1"/>
      <c r="N6" s="1"/>
      <c r="O6" s="1"/>
      <c r="P6" s="1"/>
      <c r="Q6" s="1"/>
      <c r="R6" s="1"/>
      <c r="S6" s="1"/>
      <c r="T6" s="1"/>
      <c r="U6" s="1"/>
      <c r="V6" s="1"/>
      <c r="W6" s="1"/>
      <c r="X6" s="1"/>
      <c r="Y6" s="1"/>
      <c r="Z6" s="1"/>
    </row>
    <row r="7" ht="15.75" customHeight="1">
      <c r="A7" s="1"/>
      <c r="B7" s="16"/>
      <c r="C7" s="16"/>
      <c r="D7" s="16"/>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7"/>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8" t="s">
        <v>11</v>
      </c>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0.6"/>
    <col customWidth="1" min="2" max="2" width="38.4"/>
    <col customWidth="1" min="3" max="3" width="13.2"/>
    <col customWidth="1" min="4" max="7" width="14.1"/>
    <col customWidth="1" min="8" max="8" width="38.0"/>
    <col customWidth="1" min="9" max="11" width="14.1"/>
    <col customWidth="1" min="12" max="12" width="21.6"/>
    <col customWidth="1" min="13" max="14" width="14.1"/>
    <col customWidth="1" min="15" max="15" width="30.1"/>
    <col customWidth="1" min="16" max="17" width="14.1"/>
    <col customWidth="1" min="18" max="18" width="12.9"/>
    <col customWidth="1" min="19" max="26" width="7.9"/>
  </cols>
  <sheetData>
    <row r="1" ht="15.75" customHeight="1">
      <c r="A1" s="19" t="s">
        <v>12</v>
      </c>
      <c r="B1" s="20"/>
      <c r="C1" s="20"/>
      <c r="D1" s="20"/>
      <c r="E1" s="20"/>
      <c r="F1" s="20"/>
      <c r="G1" s="20"/>
      <c r="H1" s="21"/>
    </row>
    <row r="2" ht="15.75" customHeight="1">
      <c r="A2" s="22" t="s">
        <v>13</v>
      </c>
      <c r="B2" s="20"/>
      <c r="C2" s="20"/>
      <c r="D2" s="20"/>
      <c r="E2" s="20"/>
      <c r="F2" s="20"/>
      <c r="G2" s="20"/>
      <c r="H2" s="21"/>
      <c r="J2" s="23" t="s">
        <v>14</v>
      </c>
      <c r="K2" s="24"/>
      <c r="L2" s="25">
        <f>IFERROR(__xludf.DUMMYFUNCTION("GOOGLEFINANCE(""NASDAQ:COST"", ""price"")"),960.62)</f>
        <v>960.62</v>
      </c>
    </row>
    <row r="3" ht="15.75" customHeight="1">
      <c r="A3" s="26"/>
      <c r="B3" s="26" t="s">
        <v>15</v>
      </c>
      <c r="C3" s="27">
        <v>0.0486</v>
      </c>
      <c r="D3" s="20"/>
      <c r="E3" s="20"/>
      <c r="F3" s="20"/>
      <c r="G3" s="20"/>
      <c r="H3" s="21"/>
    </row>
    <row r="4" ht="15.75" customHeight="1">
      <c r="A4" s="26"/>
      <c r="B4" s="26" t="s">
        <v>16</v>
      </c>
      <c r="C4" s="28">
        <v>0.95</v>
      </c>
      <c r="D4" s="20"/>
      <c r="E4" s="20"/>
      <c r="F4" s="20"/>
      <c r="G4" s="20"/>
      <c r="H4" s="21"/>
    </row>
    <row r="5" ht="15.75" customHeight="1">
      <c r="A5" s="26"/>
      <c r="B5" s="26" t="s">
        <v>17</v>
      </c>
      <c r="C5" s="29">
        <v>0.05</v>
      </c>
      <c r="D5" s="20"/>
      <c r="E5" s="20"/>
      <c r="F5" s="20"/>
      <c r="G5" s="20"/>
      <c r="H5" s="21"/>
    </row>
    <row r="6" ht="15.75" customHeight="1">
      <c r="A6" s="26"/>
      <c r="B6" s="26" t="s">
        <v>18</v>
      </c>
      <c r="C6" s="30">
        <f>C3+C4*C5</f>
        <v>0.0961</v>
      </c>
      <c r="D6" s="20"/>
      <c r="E6" s="20"/>
      <c r="F6" s="20"/>
      <c r="G6" s="20"/>
      <c r="H6" s="21"/>
    </row>
    <row r="7" ht="15.75" customHeight="1">
      <c r="A7" s="22" t="s">
        <v>19</v>
      </c>
      <c r="B7" s="20"/>
      <c r="C7" s="20"/>
      <c r="D7" s="20"/>
      <c r="E7" s="20"/>
      <c r="F7" s="20"/>
      <c r="G7" s="20"/>
      <c r="H7" s="21"/>
      <c r="I7" s="31" t="s">
        <v>20</v>
      </c>
    </row>
    <row r="8" ht="15.75" customHeight="1">
      <c r="A8" s="32" t="s">
        <v>21</v>
      </c>
      <c r="B8" s="20"/>
      <c r="C8" s="20"/>
      <c r="D8" s="20"/>
      <c r="E8" s="20"/>
      <c r="F8" s="20"/>
      <c r="G8" s="20"/>
      <c r="H8" s="21"/>
      <c r="I8" s="33" t="s">
        <v>22</v>
      </c>
      <c r="J8" s="34"/>
      <c r="K8" s="34"/>
      <c r="L8" s="34"/>
      <c r="M8" s="34"/>
      <c r="N8" s="34"/>
      <c r="O8" s="34"/>
      <c r="P8" s="34"/>
      <c r="Q8" s="35"/>
    </row>
    <row r="9" ht="78.0" customHeight="1">
      <c r="A9" s="22" t="s">
        <v>23</v>
      </c>
      <c r="B9" s="20"/>
      <c r="C9" s="20"/>
      <c r="D9" s="20"/>
      <c r="E9" s="20"/>
      <c r="F9" s="20"/>
      <c r="G9" s="20"/>
      <c r="H9" s="21"/>
      <c r="I9" s="36"/>
      <c r="J9" s="37"/>
      <c r="K9" s="37"/>
      <c r="L9" s="37"/>
      <c r="M9" s="37"/>
      <c r="N9" s="37"/>
      <c r="O9" s="37"/>
      <c r="P9" s="37"/>
      <c r="Q9" s="38"/>
    </row>
    <row r="10" ht="15.75" customHeight="1">
      <c r="A10" s="22"/>
      <c r="B10" s="21"/>
      <c r="C10" s="22" t="s">
        <v>24</v>
      </c>
      <c r="D10" s="20"/>
      <c r="E10" s="21"/>
      <c r="F10" s="39"/>
      <c r="G10" s="40" t="s">
        <v>25</v>
      </c>
      <c r="H10" s="41"/>
      <c r="I10" s="41"/>
      <c r="J10" s="41"/>
      <c r="K10" s="41"/>
      <c r="L10" s="41"/>
      <c r="M10" s="41"/>
      <c r="N10" s="41"/>
      <c r="O10" s="41"/>
      <c r="P10" s="41"/>
      <c r="Q10" s="42"/>
    </row>
    <row r="11" ht="15.75" customHeight="1">
      <c r="A11" s="43"/>
      <c r="B11" s="43"/>
      <c r="C11" s="44">
        <v>2021.0</v>
      </c>
      <c r="D11" s="44">
        <v>2022.0</v>
      </c>
      <c r="E11" s="44">
        <v>2023.0</v>
      </c>
      <c r="F11" s="45">
        <v>2024.0</v>
      </c>
      <c r="G11" s="46" t="s">
        <v>26</v>
      </c>
      <c r="H11" s="46" t="s">
        <v>27</v>
      </c>
      <c r="I11" s="47">
        <v>2026.0</v>
      </c>
      <c r="J11" s="47">
        <v>2027.0</v>
      </c>
      <c r="K11" s="47">
        <v>2028.0</v>
      </c>
      <c r="L11" s="47">
        <v>2029.0</v>
      </c>
      <c r="M11" s="47">
        <v>2030.0</v>
      </c>
      <c r="N11" s="47">
        <v>2031.0</v>
      </c>
      <c r="O11" s="47">
        <v>2032.0</v>
      </c>
      <c r="P11" s="47">
        <v>2033.0</v>
      </c>
      <c r="Q11" s="47">
        <v>2034.0</v>
      </c>
    </row>
    <row r="12" ht="15.75" customHeight="1">
      <c r="A12" s="26"/>
      <c r="B12" s="26" t="s">
        <v>28</v>
      </c>
      <c r="C12" s="48">
        <f>0.79+0.79+0.79+0.7</f>
        <v>3.07</v>
      </c>
      <c r="D12" s="48">
        <f>0.9+0.9+0.9+0.79</f>
        <v>3.49</v>
      </c>
      <c r="E12" s="48">
        <f>1.02+1.02+1.02+0.9+15</f>
        <v>18.96</v>
      </c>
      <c r="F12" s="48">
        <f>1.16+1.16+1.16+1.02</f>
        <v>4.5</v>
      </c>
      <c r="G12" s="48">
        <f>1.3+1.3+1.16</f>
        <v>3.76</v>
      </c>
      <c r="H12" s="49">
        <f>G12*4/3</f>
        <v>5.013333333</v>
      </c>
      <c r="I12" s="50">
        <f t="shared" ref="I12:M12" si="1">(1+$P$14)*H12</f>
        <v>5.4144</v>
      </c>
      <c r="J12" s="50">
        <f t="shared" si="1"/>
        <v>5.847552</v>
      </c>
      <c r="K12" s="50">
        <f t="shared" si="1"/>
        <v>6.31535616</v>
      </c>
      <c r="L12" s="50">
        <f t="shared" si="1"/>
        <v>6.820584653</v>
      </c>
      <c r="M12" s="50">
        <f t="shared" si="1"/>
        <v>7.366231425</v>
      </c>
      <c r="N12" s="51">
        <f t="shared" ref="N12:Q12" si="2">(1+$P$15)*M12</f>
        <v>7.513556054</v>
      </c>
      <c r="O12" s="51">
        <f t="shared" si="2"/>
        <v>7.663827175</v>
      </c>
      <c r="P12" s="51">
        <f t="shared" si="2"/>
        <v>7.817103718</v>
      </c>
      <c r="Q12" s="52">
        <f t="shared" si="2"/>
        <v>7.973445792</v>
      </c>
    </row>
    <row r="13" ht="15.75" customHeight="1">
      <c r="A13" s="26"/>
      <c r="B13" s="26" t="s">
        <v>29</v>
      </c>
      <c r="C13" s="53" t="s">
        <v>30</v>
      </c>
      <c r="D13" s="53" t="s">
        <v>30</v>
      </c>
      <c r="E13" s="53" t="s">
        <v>30</v>
      </c>
      <c r="F13" s="54" t="s">
        <v>30</v>
      </c>
      <c r="G13" s="54" t="s">
        <v>30</v>
      </c>
      <c r="H13" s="55">
        <f>H12/(1+$C$6)^1</f>
        <v>4.573791929</v>
      </c>
      <c r="I13" s="55">
        <f>I12/(1 + $C$6)^2</f>
        <v>4.506610057</v>
      </c>
      <c r="J13" s="55">
        <f>J12/(1 + $C$6)^3</f>
        <v>4.440414982</v>
      </c>
      <c r="K13" s="55">
        <f>K12/(1 + $C$6)^4</f>
        <v>4.375192209</v>
      </c>
      <c r="L13" s="55">
        <f>L12/(1 + $C$6)^5</f>
        <v>4.310927457</v>
      </c>
      <c r="M13" s="55">
        <f>M12/(1 + $C$6)^6</f>
        <v>4.247606654</v>
      </c>
      <c r="N13" s="55">
        <f>N12/(1 + $C$6)^7</f>
        <v>3.952703939</v>
      </c>
      <c r="O13" s="55">
        <f>O12/(1 + $C$6)^8</f>
        <v>3.678275721</v>
      </c>
      <c r="P13" s="55">
        <f>P12/(1 + $C$6)^9</f>
        <v>3.422900497</v>
      </c>
      <c r="Q13" s="55">
        <f>Q12/(1 + $C$6)^10</f>
        <v>3.185255458</v>
      </c>
    </row>
    <row r="14" ht="15.75" customHeight="1">
      <c r="A14" s="26"/>
      <c r="B14" s="56"/>
      <c r="C14" s="56"/>
      <c r="D14" s="56"/>
      <c r="E14" s="56"/>
      <c r="F14" s="56"/>
      <c r="G14" s="56"/>
      <c r="H14" s="56"/>
      <c r="I14" s="56"/>
      <c r="J14" s="57"/>
      <c r="M14" s="58" t="s">
        <v>31</v>
      </c>
      <c r="P14" s="59">
        <v>0.08</v>
      </c>
    </row>
    <row r="15" ht="15.75" customHeight="1">
      <c r="A15" s="26"/>
      <c r="B15" s="56"/>
      <c r="C15" s="56"/>
      <c r="D15" s="56"/>
      <c r="E15" s="56"/>
      <c r="F15" s="56"/>
      <c r="G15" s="56"/>
      <c r="H15" s="56"/>
      <c r="I15" s="56"/>
      <c r="J15" s="57"/>
      <c r="M15" s="60" t="s">
        <v>32</v>
      </c>
      <c r="P15" s="61">
        <v>0.02</v>
      </c>
    </row>
    <row r="16" ht="15.75" customHeight="1">
      <c r="A16" s="26"/>
      <c r="B16" s="56"/>
      <c r="C16" s="56"/>
      <c r="D16" s="56"/>
      <c r="E16" s="56"/>
      <c r="F16" s="56"/>
      <c r="G16" s="56"/>
      <c r="H16" s="56"/>
      <c r="I16" s="56"/>
      <c r="J16" s="57"/>
      <c r="M16" s="60" t="s">
        <v>33</v>
      </c>
      <c r="P16" s="62">
        <f>(Q12*(1+P15))/(C6-P15)</f>
        <v>106.8714154</v>
      </c>
    </row>
    <row r="17" ht="15.75" customHeight="1">
      <c r="A17" s="26"/>
      <c r="B17" s="56"/>
      <c r="C17" s="56"/>
      <c r="D17" s="56"/>
      <c r="E17" s="56"/>
      <c r="F17" s="56"/>
      <c r="G17" s="56"/>
      <c r="H17" s="56"/>
      <c r="I17" s="56"/>
      <c r="M17" s="60" t="s">
        <v>34</v>
      </c>
      <c r="N17" s="60"/>
      <c r="O17" s="60"/>
      <c r="P17" s="62">
        <f>P16/(1 + C6)^10</f>
        <v>42.69330574</v>
      </c>
    </row>
    <row r="18" ht="15.75" customHeight="1">
      <c r="A18" s="26"/>
      <c r="B18" s="26" t="s">
        <v>35</v>
      </c>
      <c r="C18" s="63">
        <f> SUM(H13:Q13) + P17</f>
        <v>83.38698464</v>
      </c>
      <c r="D18" s="20"/>
      <c r="E18" s="20"/>
      <c r="F18" s="20"/>
      <c r="G18" s="20"/>
      <c r="H18" s="21"/>
    </row>
    <row r="19" ht="15.75" customHeight="1">
      <c r="A19" s="22" t="s">
        <v>36</v>
      </c>
      <c r="B19" s="20"/>
      <c r="C19" s="20"/>
      <c r="D19" s="20"/>
      <c r="E19" s="20"/>
      <c r="F19" s="20"/>
      <c r="G19" s="20"/>
      <c r="H19" s="21"/>
      <c r="I19" s="64" t="s">
        <v>37</v>
      </c>
    </row>
    <row r="20" ht="30.0" customHeight="1">
      <c r="A20" s="65"/>
      <c r="B20" s="65" t="s">
        <v>38</v>
      </c>
      <c r="C20" s="66">
        <f>E20-0.02</f>
        <v>0.0761</v>
      </c>
      <c r="D20" s="66">
        <f>E20-0.01</f>
        <v>0.0861</v>
      </c>
      <c r="E20" s="66">
        <f>C6</f>
        <v>0.0961</v>
      </c>
      <c r="F20" s="66">
        <f>E20+0.01</f>
        <v>0.1061</v>
      </c>
      <c r="G20" s="66">
        <f>E20+0.02</f>
        <v>0.1161</v>
      </c>
      <c r="H20" s="67"/>
      <c r="I20" s="68" t="s">
        <v>39</v>
      </c>
      <c r="J20" s="34"/>
      <c r="K20" s="34"/>
      <c r="L20" s="34"/>
      <c r="M20" s="34"/>
      <c r="N20" s="35"/>
    </row>
    <row r="21" ht="30.0" customHeight="1">
      <c r="A21" s="26" t="s">
        <v>40</v>
      </c>
      <c r="B21" s="26" t="s">
        <v>35</v>
      </c>
      <c r="C21" s="55">
        <f t="shared" ref="C21:G21" si="3">sum($H$13:$Q$13)+(($Q$12*1.02)/(C20-0.02))/(1+C20)^10</f>
        <v>110.3173698</v>
      </c>
      <c r="D21" s="55">
        <f t="shared" si="3"/>
        <v>94.56363497</v>
      </c>
      <c r="E21" s="55">
        <f t="shared" si="3"/>
        <v>83.38698464</v>
      </c>
      <c r="F21" s="55">
        <f t="shared" si="3"/>
        <v>75.15239905</v>
      </c>
      <c r="G21" s="55">
        <f t="shared" si="3"/>
        <v>68.90943865</v>
      </c>
      <c r="H21" s="69"/>
      <c r="I21" s="70"/>
      <c r="N21" s="71"/>
    </row>
    <row r="22" ht="30.0" customHeight="1">
      <c r="A22" s="26"/>
      <c r="B22" s="65" t="s">
        <v>41</v>
      </c>
      <c r="C22" s="66">
        <f>E22-0.01</f>
        <v>0.01</v>
      </c>
      <c r="D22" s="66">
        <f>E22-0.005</f>
        <v>0.015</v>
      </c>
      <c r="E22" s="66">
        <f>P15</f>
        <v>0.02</v>
      </c>
      <c r="F22" s="66">
        <f>E22+0.005</f>
        <v>0.025</v>
      </c>
      <c r="G22" s="66">
        <f>E22+0.01</f>
        <v>0.03</v>
      </c>
      <c r="H22" s="67"/>
      <c r="I22" s="70"/>
      <c r="N22" s="71"/>
    </row>
    <row r="23" ht="30.0" customHeight="1">
      <c r="A23" s="26" t="s">
        <v>42</v>
      </c>
      <c r="B23" s="26" t="s">
        <v>35</v>
      </c>
      <c r="C23" s="55">
        <f t="shared" ref="C23:G23" si="4">sum($H$13:$Q$13)+(($Q$12*(1+C22))/(0.0961-C22))/(1+0.0961)^10</f>
        <v>78.05846418</v>
      </c>
      <c r="D23" s="55">
        <f t="shared" si="4"/>
        <v>80.55846669</v>
      </c>
      <c r="E23" s="55">
        <f t="shared" si="4"/>
        <v>83.38698464</v>
      </c>
      <c r="F23" s="55">
        <f t="shared" si="4"/>
        <v>86.61332509</v>
      </c>
      <c r="G23" s="55">
        <f t="shared" si="4"/>
        <v>90.32776546</v>
      </c>
      <c r="H23" s="69"/>
      <c r="I23" s="36"/>
      <c r="J23" s="37"/>
      <c r="K23" s="37"/>
      <c r="L23" s="37"/>
      <c r="M23" s="37"/>
      <c r="N23" s="38"/>
    </row>
    <row r="24" ht="15.75" customHeight="1">
      <c r="A24" s="72" t="s">
        <v>43</v>
      </c>
      <c r="B24" s="73"/>
      <c r="C24" s="73"/>
      <c r="D24" s="73"/>
      <c r="E24" s="73"/>
      <c r="F24" s="73"/>
      <c r="G24" s="73"/>
      <c r="H24" s="74"/>
    </row>
    <row r="25" ht="15.75" customHeight="1">
      <c r="A25" s="75" t="s">
        <v>44</v>
      </c>
      <c r="B25" s="21"/>
      <c r="C25" s="44" t="s">
        <v>30</v>
      </c>
      <c r="D25" s="44">
        <v>2021.0</v>
      </c>
      <c r="E25" s="44">
        <v>2022.0</v>
      </c>
      <c r="F25" s="44">
        <v>2023.0</v>
      </c>
      <c r="G25" s="47">
        <v>2024.0</v>
      </c>
      <c r="H25" s="47">
        <v>2025.0</v>
      </c>
      <c r="I25" s="47">
        <v>2026.0</v>
      </c>
      <c r="J25" s="47">
        <v>2027.0</v>
      </c>
      <c r="K25" s="47">
        <v>2028.0</v>
      </c>
      <c r="L25" s="47">
        <v>2029.0</v>
      </c>
      <c r="M25" s="47">
        <v>2030.0</v>
      </c>
      <c r="N25" s="47">
        <v>2031.0</v>
      </c>
      <c r="O25" s="47">
        <v>2032.0</v>
      </c>
      <c r="P25" s="47">
        <v>2033.0</v>
      </c>
      <c r="Q25" s="47">
        <v>2034.0</v>
      </c>
    </row>
    <row r="26" ht="15.75" customHeight="1">
      <c r="A26" s="76"/>
      <c r="B26" s="21"/>
      <c r="C26" s="77" t="s">
        <v>30</v>
      </c>
      <c r="D26" s="78">
        <f>5.37*10^9</f>
        <v>5370000000</v>
      </c>
      <c r="E26" s="78">
        <f>3.501*10^9</f>
        <v>3501000000</v>
      </c>
      <c r="F26" s="78">
        <f>6.745*10^9</f>
        <v>6745000000</v>
      </c>
      <c r="G26" s="78">
        <f>6.629*10^9</f>
        <v>6629000000</v>
      </c>
      <c r="H26" s="79">
        <f t="shared" ref="H26:Q26" si="5">G26*(1+$P$28)</f>
        <v>6761580000</v>
      </c>
      <c r="I26" s="79">
        <f t="shared" si="5"/>
        <v>6896811600</v>
      </c>
      <c r="J26" s="79">
        <f t="shared" si="5"/>
        <v>7034747832</v>
      </c>
      <c r="K26" s="79">
        <f t="shared" si="5"/>
        <v>7175442789</v>
      </c>
      <c r="L26" s="79">
        <f t="shared" si="5"/>
        <v>7318951644</v>
      </c>
      <c r="M26" s="79">
        <f t="shared" si="5"/>
        <v>7465330677</v>
      </c>
      <c r="N26" s="79">
        <f t="shared" si="5"/>
        <v>7614637291</v>
      </c>
      <c r="O26" s="79">
        <f t="shared" si="5"/>
        <v>7766930037</v>
      </c>
      <c r="P26" s="79">
        <f t="shared" si="5"/>
        <v>7922268637</v>
      </c>
      <c r="Q26" s="80">
        <f t="shared" si="5"/>
        <v>8080714010</v>
      </c>
    </row>
    <row r="27" ht="15.75" customHeight="1">
      <c r="A27" s="81"/>
      <c r="B27" s="21"/>
      <c r="C27" s="82" t="s">
        <v>30</v>
      </c>
      <c r="D27" s="82" t="s">
        <v>30</v>
      </c>
      <c r="E27" s="82" t="s">
        <v>30</v>
      </c>
      <c r="F27" s="83" t="s">
        <v>30</v>
      </c>
      <c r="G27" s="83" t="s">
        <v>30</v>
      </c>
      <c r="H27" s="55">
        <f>H26/(1+$C$6)^1</f>
        <v>6168761974</v>
      </c>
      <c r="I27" s="55">
        <f>I26/(1+$C$6)^2</f>
        <v>5740477341</v>
      </c>
      <c r="J27" s="55">
        <f>J26/(1+$C$6)^3</f>
        <v>5341927642</v>
      </c>
      <c r="K27" s="55">
        <f>K26/(1+$C$6)^4</f>
        <v>4971048440</v>
      </c>
      <c r="L27" s="55">
        <f>L26/(1+$C$6)^5</f>
        <v>4625918628</v>
      </c>
      <c r="M27" s="55">
        <f>M26/(1+$C$6)^6</f>
        <v>4304750480</v>
      </c>
      <c r="N27" s="55">
        <f>N26/(1+$C$6)^7</f>
        <v>4005880384</v>
      </c>
      <c r="O27" s="55">
        <f>O26/(1+$C$6)^8</f>
        <v>3727760234</v>
      </c>
      <c r="P27" s="55">
        <f>P26/(1+$C$6)^9</f>
        <v>3468949401</v>
      </c>
      <c r="Q27" s="55">
        <f>Q26/(1+$C$6)^10</f>
        <v>3228107279</v>
      </c>
    </row>
    <row r="28" ht="15.75" customHeight="1">
      <c r="A28" s="84"/>
      <c r="B28" s="84"/>
      <c r="C28" s="56"/>
      <c r="D28" s="56"/>
      <c r="E28" s="56"/>
      <c r="F28" s="56"/>
      <c r="G28" s="56"/>
      <c r="H28" s="56"/>
      <c r="I28" s="57"/>
      <c r="J28" s="57"/>
      <c r="M28" s="60" t="s">
        <v>32</v>
      </c>
      <c r="P28" s="85">
        <v>0.02</v>
      </c>
    </row>
    <row r="29" ht="15.75" customHeight="1">
      <c r="A29" s="76"/>
      <c r="B29" s="21"/>
      <c r="C29" s="53"/>
      <c r="D29" s="86" t="s">
        <v>45</v>
      </c>
      <c r="E29" s="86" t="s">
        <v>46</v>
      </c>
      <c r="F29" s="86"/>
      <c r="G29" s="86" t="s">
        <v>47</v>
      </c>
      <c r="H29" s="86" t="s">
        <v>48</v>
      </c>
      <c r="I29" s="86" t="s">
        <v>49</v>
      </c>
      <c r="J29" s="86" t="s">
        <v>50</v>
      </c>
      <c r="M29" s="60" t="s">
        <v>33</v>
      </c>
      <c r="P29" s="62">
        <f>Q26*(1+P28)/($C$30-P28)</f>
        <v>108310738656</v>
      </c>
    </row>
    <row r="30" ht="15.75" customHeight="1">
      <c r="A30" s="81" t="s">
        <v>51</v>
      </c>
      <c r="B30" s="21"/>
      <c r="C30" s="87">
        <f>(D30/G30)*I30+(E30/G30)*H30*(1-J30)</f>
        <v>0.09609890204</v>
      </c>
      <c r="D30" s="88">
        <f>C34*L2</f>
        <v>426034970000</v>
      </c>
      <c r="E30" s="88">
        <f>8358000</f>
        <v>8358000</v>
      </c>
      <c r="F30" s="89"/>
      <c r="G30" s="86">
        <f>D30+E30</f>
        <v>426043328000</v>
      </c>
      <c r="H30" s="90">
        <v>0.0508</v>
      </c>
      <c r="I30" s="91">
        <f>C6</f>
        <v>0.0961</v>
      </c>
      <c r="J30" s="91">
        <v>0.21</v>
      </c>
      <c r="M30" s="60" t="s">
        <v>34</v>
      </c>
      <c r="N30" s="60"/>
      <c r="O30" s="60"/>
      <c r="P30" s="62">
        <f>P29/(1+$C$30)^10</f>
        <v>43268724248</v>
      </c>
    </row>
    <row r="31" ht="15.75" customHeight="1">
      <c r="A31" s="92"/>
      <c r="B31" s="20"/>
      <c r="C31" s="21"/>
      <c r="D31" s="26"/>
      <c r="E31" s="26"/>
      <c r="F31" s="26"/>
      <c r="G31" s="26"/>
      <c r="H31" s="26"/>
      <c r="I31" s="26"/>
      <c r="J31" s="26"/>
      <c r="K31" s="26"/>
      <c r="L31" s="26"/>
      <c r="M31" s="26"/>
      <c r="N31" s="26"/>
      <c r="O31" s="26"/>
      <c r="P31" s="26"/>
    </row>
    <row r="32" ht="15.75" customHeight="1">
      <c r="A32" s="93" t="s">
        <v>52</v>
      </c>
      <c r="B32" s="21"/>
      <c r="C32" s="94">
        <f>P30+SUM(H27:Q27)</f>
        <v>88852306050</v>
      </c>
      <c r="D32" s="26"/>
      <c r="E32" s="26"/>
      <c r="F32" s="95"/>
      <c r="G32" s="31" t="s">
        <v>53</v>
      </c>
      <c r="P32" s="26"/>
    </row>
    <row r="33" ht="15.75" customHeight="1">
      <c r="A33" s="93" t="s">
        <v>54</v>
      </c>
      <c r="B33" s="21"/>
      <c r="C33" s="94">
        <f>C32-E30</f>
        <v>88843948050</v>
      </c>
      <c r="D33" s="26"/>
      <c r="E33" s="26"/>
      <c r="F33" s="95"/>
      <c r="G33" s="96" t="s">
        <v>55</v>
      </c>
      <c r="P33" s="26"/>
    </row>
    <row r="34" ht="15.75" customHeight="1">
      <c r="A34" s="93" t="s">
        <v>56</v>
      </c>
      <c r="B34" s="21"/>
      <c r="C34" s="89">
        <f>443500000</f>
        <v>443500000</v>
      </c>
      <c r="D34" s="26"/>
      <c r="E34" s="26"/>
      <c r="F34" s="95"/>
      <c r="G34" s="70"/>
      <c r="P34" s="26"/>
    </row>
    <row r="35" ht="15.75" customHeight="1">
      <c r="A35" s="93" t="s">
        <v>57</v>
      </c>
      <c r="B35" s="21"/>
      <c r="C35" s="94">
        <f>C33/C34</f>
        <v>200.3245728</v>
      </c>
      <c r="D35" s="26"/>
      <c r="E35" s="26"/>
      <c r="F35" s="26"/>
      <c r="G35" s="26"/>
      <c r="H35" s="26"/>
      <c r="I35" s="26"/>
      <c r="J35" s="26"/>
      <c r="K35" s="26"/>
      <c r="L35" s="26"/>
      <c r="M35" s="26"/>
      <c r="N35" s="26"/>
      <c r="O35" s="26"/>
      <c r="P35" s="26"/>
    </row>
    <row r="36" ht="15.75" customHeight="1">
      <c r="A36" s="75" t="s">
        <v>58</v>
      </c>
      <c r="B36" s="21"/>
      <c r="C36" s="44" t="s">
        <v>30</v>
      </c>
      <c r="D36" s="44">
        <v>2021.0</v>
      </c>
      <c r="E36" s="44">
        <v>2022.0</v>
      </c>
      <c r="F36" s="44">
        <v>2023.0</v>
      </c>
      <c r="G36" s="47">
        <v>2024.0</v>
      </c>
      <c r="H36" s="47">
        <v>2025.0</v>
      </c>
      <c r="I36" s="47">
        <v>2026.0</v>
      </c>
      <c r="J36" s="47">
        <v>2027.0</v>
      </c>
      <c r="K36" s="47">
        <v>2028.0</v>
      </c>
      <c r="L36" s="47">
        <v>2029.0</v>
      </c>
      <c r="M36" s="47">
        <v>2030.0</v>
      </c>
      <c r="N36" s="47">
        <v>2031.0</v>
      </c>
      <c r="O36" s="47">
        <v>2032.0</v>
      </c>
      <c r="P36" s="47">
        <v>2033.0</v>
      </c>
      <c r="Q36" s="47">
        <v>2034.0</v>
      </c>
    </row>
    <row r="37" ht="15.75" customHeight="1">
      <c r="A37" s="76"/>
      <c r="B37" s="21"/>
      <c r="C37" s="77" t="s">
        <v>30</v>
      </c>
      <c r="D37" s="97">
        <f>D26-171*10^6*(1-$J$30)-161*10^6</f>
        <v>5073910000</v>
      </c>
      <c r="E37" s="97">
        <f>E26-109*10^6*(1-$J$30)-980*10^6</f>
        <v>2434890000</v>
      </c>
      <c r="F37" s="97">
        <f>F26-114.5*10^6*(1-$J$30)-366*10^6</f>
        <v>6288545000</v>
      </c>
      <c r="G37" s="97">
        <f>G26-139.3*10^6*(1-$J$30)-716*10^6</f>
        <v>5802953000</v>
      </c>
      <c r="H37" s="79">
        <f t="shared" ref="H37:Q37" si="6">G37*(1+$P$39)</f>
        <v>5919012060</v>
      </c>
      <c r="I37" s="79">
        <f t="shared" si="6"/>
        <v>6037392301</v>
      </c>
      <c r="J37" s="79">
        <f t="shared" si="6"/>
        <v>6158140147</v>
      </c>
      <c r="K37" s="79">
        <f t="shared" si="6"/>
        <v>6281302950</v>
      </c>
      <c r="L37" s="79">
        <f t="shared" si="6"/>
        <v>6406929009</v>
      </c>
      <c r="M37" s="79">
        <f t="shared" si="6"/>
        <v>6535067589</v>
      </c>
      <c r="N37" s="79">
        <f t="shared" si="6"/>
        <v>6665768941</v>
      </c>
      <c r="O37" s="79">
        <f t="shared" si="6"/>
        <v>6799084320</v>
      </c>
      <c r="P37" s="79">
        <f t="shared" si="6"/>
        <v>6935066006</v>
      </c>
      <c r="Q37" s="80">
        <f t="shared" si="6"/>
        <v>7073767326</v>
      </c>
    </row>
    <row r="38" ht="15.75" customHeight="1">
      <c r="A38" s="81"/>
      <c r="B38" s="21"/>
      <c r="C38" s="82" t="s">
        <v>30</v>
      </c>
      <c r="D38" s="82" t="s">
        <v>30</v>
      </c>
      <c r="E38" s="82" t="s">
        <v>30</v>
      </c>
      <c r="F38" s="82" t="s">
        <v>30</v>
      </c>
      <c r="G38" s="82" t="s">
        <v>30</v>
      </c>
      <c r="H38" s="55">
        <f>H37/(1+$C$6)^1</f>
        <v>5400065742</v>
      </c>
      <c r="I38" s="55">
        <f>I37/(1+$C$6)^2</f>
        <v>5025150130</v>
      </c>
      <c r="J38" s="55">
        <f>J37/(1+$C$6)^3</f>
        <v>4676264148</v>
      </c>
      <c r="K38" s="55">
        <f>K37/(1+$C$6)^4</f>
        <v>4351600612</v>
      </c>
      <c r="L38" s="55">
        <f>L37/(1+$C$6)^5</f>
        <v>4049477807</v>
      </c>
      <c r="M38" s="55">
        <f>M37/(1+$C$6)^6</f>
        <v>3768330775</v>
      </c>
      <c r="N38" s="55">
        <f>N37/(1+$C$6)^7</f>
        <v>3506703212</v>
      </c>
      <c r="O38" s="55">
        <f>O37/(1+$C$6)^8</f>
        <v>3263239920</v>
      </c>
      <c r="P38" s="55">
        <f>P37/(1+$C$6)^9</f>
        <v>3036679791</v>
      </c>
      <c r="Q38" s="55">
        <f>Q37/(1+$C$6)^10</f>
        <v>2825849271</v>
      </c>
    </row>
    <row r="39" ht="15.75" customHeight="1">
      <c r="A39" s="84"/>
      <c r="B39" s="84"/>
      <c r="C39" s="56"/>
      <c r="D39" s="56"/>
      <c r="E39" s="56"/>
      <c r="F39" s="56"/>
      <c r="G39" s="56"/>
      <c r="H39" s="56"/>
      <c r="I39" s="57"/>
      <c r="J39" s="57"/>
      <c r="M39" s="60" t="s">
        <v>32</v>
      </c>
      <c r="P39" s="85">
        <v>0.02</v>
      </c>
    </row>
    <row r="40" ht="15.75" customHeight="1">
      <c r="A40" s="93" t="s">
        <v>54</v>
      </c>
      <c r="B40" s="21"/>
      <c r="C40" s="94">
        <f>sum(H38:Q38)+P41</f>
        <v>77780322213</v>
      </c>
      <c r="D40" s="56"/>
      <c r="E40" s="98" t="s">
        <v>59</v>
      </c>
      <c r="M40" s="60" t="s">
        <v>33</v>
      </c>
      <c r="P40" s="62">
        <f>Q37*(1+P39)/($C$30-P39)</f>
        <v>94814018074</v>
      </c>
    </row>
    <row r="41" ht="15.75" customHeight="1">
      <c r="A41" s="93" t="s">
        <v>56</v>
      </c>
      <c r="B41" s="21"/>
      <c r="C41" s="89">
        <f>443500000</f>
        <v>443500000</v>
      </c>
      <c r="D41" s="56"/>
      <c r="E41" s="99" t="s">
        <v>60</v>
      </c>
      <c r="M41" s="60" t="s">
        <v>34</v>
      </c>
      <c r="N41" s="60"/>
      <c r="O41" s="60"/>
      <c r="P41" s="62">
        <f>P40/(1+$C$30)^10</f>
        <v>37876960806</v>
      </c>
    </row>
    <row r="42" ht="15.75" customHeight="1">
      <c r="A42" s="93" t="s">
        <v>57</v>
      </c>
      <c r="B42" s="21"/>
      <c r="C42" s="94">
        <f>C40/C41</f>
        <v>175.3784041</v>
      </c>
      <c r="D42" s="56"/>
    </row>
    <row r="43" ht="15.75" customHeight="1">
      <c r="D43" s="100"/>
    </row>
    <row r="44" ht="15.75" customHeight="1">
      <c r="A44" s="101" t="s">
        <v>61</v>
      </c>
      <c r="B44" s="102"/>
      <c r="C44" s="102"/>
      <c r="D44" s="103"/>
      <c r="E44" s="104"/>
      <c r="F44" s="104"/>
      <c r="G44" s="104"/>
      <c r="H44" s="105"/>
      <c r="I44" s="105"/>
      <c r="L44" s="106" t="s">
        <v>37</v>
      </c>
    </row>
    <row r="45" ht="15.75" customHeight="1">
      <c r="A45" s="26"/>
      <c r="B45" s="26" t="s">
        <v>62</v>
      </c>
      <c r="C45" s="107"/>
      <c r="D45" s="107"/>
      <c r="E45" s="107"/>
      <c r="F45" s="107"/>
      <c r="G45" s="107"/>
      <c r="L45" s="68" t="s">
        <v>63</v>
      </c>
      <c r="M45" s="34"/>
      <c r="N45" s="34"/>
      <c r="O45" s="34"/>
      <c r="P45" s="34"/>
      <c r="Q45" s="35"/>
    </row>
    <row r="46" ht="15.75" customHeight="1">
      <c r="A46" s="26"/>
      <c r="B46" s="26" t="s">
        <v>51</v>
      </c>
      <c r="C46" s="66">
        <f>E46-0.02</f>
        <v>0.07609890204</v>
      </c>
      <c r="D46" s="66">
        <f>E46-0.01</f>
        <v>0.08609890204</v>
      </c>
      <c r="E46" s="66">
        <f>C30</f>
        <v>0.09609890204</v>
      </c>
      <c r="F46" s="66">
        <f>E46+0.01</f>
        <v>0.106098902</v>
      </c>
      <c r="G46" s="66">
        <f>E46+0.02</f>
        <v>0.116098902</v>
      </c>
      <c r="H46" s="108"/>
      <c r="L46" s="70"/>
      <c r="Q46" s="71"/>
    </row>
    <row r="47" ht="15.75" customHeight="1">
      <c r="A47" s="26"/>
      <c r="B47" s="107" t="s">
        <v>57</v>
      </c>
      <c r="C47" s="109">
        <f t="shared" ref="C47:G47" si="7"> ((SUMPRODUCT($H$37:$Q$37, 1/(1+C46)^{1,2,3,4,5,6,7,8,9,10}))+(($Q$37*(1+$P$39))/(C46-$P$39))/(1+C46)^10 ) / $C$41</f>
        <v>237.9037235</v>
      </c>
      <c r="D47" s="109">
        <f t="shared" si="7"/>
        <v>201.9116395</v>
      </c>
      <c r="E47" s="109">
        <f t="shared" si="7"/>
        <v>175.3788467</v>
      </c>
      <c r="F47" s="109">
        <f t="shared" si="7"/>
        <v>155.009383</v>
      </c>
      <c r="G47" s="109">
        <f t="shared" si="7"/>
        <v>138.87919</v>
      </c>
      <c r="H47" s="108"/>
      <c r="L47" s="70"/>
      <c r="Q47" s="71"/>
    </row>
    <row r="48" ht="15.75" customHeight="1">
      <c r="A48" s="26"/>
      <c r="B48" s="84" t="s">
        <v>41</v>
      </c>
      <c r="C48" s="66">
        <f>E48-0.01</f>
        <v>0.01</v>
      </c>
      <c r="D48" s="66">
        <f>E48-0.005</f>
        <v>0.015</v>
      </c>
      <c r="E48" s="66">
        <f>P39</f>
        <v>0.02</v>
      </c>
      <c r="F48" s="66">
        <f>E48+0.005</f>
        <v>0.025</v>
      </c>
      <c r="G48" s="66">
        <f>E48+0.01</f>
        <v>0.03</v>
      </c>
      <c r="H48" s="108"/>
      <c r="L48" s="70"/>
      <c r="Q48" s="71"/>
    </row>
    <row r="49" ht="15.75" customHeight="1">
      <c r="A49" s="26"/>
      <c r="B49" s="107" t="s">
        <v>57</v>
      </c>
      <c r="C49" s="109">
        <f t="shared" ref="C49:G49" si="8"> ((SUMPRODUCT($H$37:$Q$37, 1/(1+$C$30)^{1,2,3,4,5,6,7,8,9,10}))+(($Q$37*(1+C48))/($C$30-C48))/(1+$C$30)^10 ) / $C$41</f>
        <v>164.7194296</v>
      </c>
      <c r="D49" s="109">
        <f t="shared" si="8"/>
        <v>169.720545</v>
      </c>
      <c r="E49" s="109">
        <f t="shared" si="8"/>
        <v>175.3788467</v>
      </c>
      <c r="F49" s="109">
        <f t="shared" si="8"/>
        <v>181.8329838</v>
      </c>
      <c r="G49" s="109">
        <f t="shared" si="8"/>
        <v>189.2635571</v>
      </c>
      <c r="H49" s="108"/>
      <c r="L49" s="70"/>
      <c r="Q49" s="71"/>
    </row>
    <row r="50" ht="15.75" customHeight="1">
      <c r="L50" s="36"/>
      <c r="M50" s="37"/>
      <c r="N50" s="37"/>
      <c r="O50" s="37"/>
      <c r="P50" s="37"/>
      <c r="Q50" s="38"/>
    </row>
    <row r="51" ht="15.75" customHeight="1">
      <c r="A51" s="110" t="s">
        <v>64</v>
      </c>
      <c r="B51" s="102"/>
      <c r="C51" s="102"/>
      <c r="D51" s="102"/>
      <c r="E51" s="102"/>
      <c r="F51" s="102"/>
      <c r="G51" s="102"/>
      <c r="H51" s="103"/>
    </row>
    <row r="52" ht="15.75" customHeight="1">
      <c r="A52" s="81" t="s">
        <v>65</v>
      </c>
      <c r="B52" s="21"/>
      <c r="C52" s="111">
        <f>C53/C54</f>
        <v>54.51872872</v>
      </c>
    </row>
    <row r="53" ht="15.75" customHeight="1">
      <c r="A53" s="26"/>
      <c r="B53" s="26" t="s">
        <v>66</v>
      </c>
      <c r="C53" s="78">
        <f>L2</f>
        <v>960.62</v>
      </c>
    </row>
    <row r="54" ht="15.75" customHeight="1">
      <c r="A54" s="26"/>
      <c r="B54" s="26" t="s">
        <v>67</v>
      </c>
      <c r="C54" s="97">
        <v>17.62</v>
      </c>
    </row>
    <row r="55" ht="15.75" customHeight="1">
      <c r="A55" s="81" t="s">
        <v>68</v>
      </c>
      <c r="B55" s="21"/>
      <c r="C55" s="111">
        <f>C56/C57</f>
        <v>52.95589857</v>
      </c>
    </row>
    <row r="56" ht="15.75" customHeight="1">
      <c r="A56" s="26"/>
      <c r="B56" s="26" t="s">
        <v>66</v>
      </c>
      <c r="C56" s="78">
        <f>L2</f>
        <v>960.62</v>
      </c>
    </row>
    <row r="57" ht="15.75" customHeight="1">
      <c r="A57" s="26"/>
      <c r="B57" s="26" t="s">
        <v>69</v>
      </c>
      <c r="C57" s="97">
        <v>18.14</v>
      </c>
    </row>
    <row r="58" ht="15.75" customHeight="1">
      <c r="A58" s="81" t="s">
        <v>70</v>
      </c>
      <c r="B58" s="21"/>
      <c r="C58" s="111">
        <f>C59/C60</f>
        <v>2.253199545</v>
      </c>
    </row>
    <row r="59" ht="15.75" customHeight="1">
      <c r="A59" s="26"/>
      <c r="B59" s="26" t="s">
        <v>66</v>
      </c>
      <c r="C59" s="78">
        <f>L2</f>
        <v>960.62</v>
      </c>
    </row>
    <row r="60" ht="15.75" customHeight="1">
      <c r="A60" s="26"/>
      <c r="B60" s="26" t="s">
        <v>71</v>
      </c>
      <c r="C60" s="78">
        <f>189.08*10^9/C41</f>
        <v>426.3359639</v>
      </c>
    </row>
    <row r="61" ht="15.75" customHeight="1">
      <c r="A61" s="81" t="s">
        <v>72</v>
      </c>
      <c r="B61" s="21"/>
      <c r="C61" s="94">
        <f>C62-C63</f>
        <v>773.6251476</v>
      </c>
    </row>
    <row r="62" ht="15.75" customHeight="1">
      <c r="A62" s="112"/>
      <c r="B62" s="26" t="s">
        <v>66</v>
      </c>
      <c r="C62" s="78">
        <f>L2</f>
        <v>960.62</v>
      </c>
    </row>
    <row r="63" ht="15.75" customHeight="1">
      <c r="A63" s="112"/>
      <c r="B63" s="26" t="s">
        <v>73</v>
      </c>
      <c r="C63" s="78">
        <f>17.97/C30</f>
        <v>186.9948524</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4">
    <mergeCell ref="A1:H1"/>
    <mergeCell ref="A2:H2"/>
    <mergeCell ref="J2:K2"/>
    <mergeCell ref="C3:H3"/>
    <mergeCell ref="C4:H4"/>
    <mergeCell ref="C5:H5"/>
    <mergeCell ref="C6:H6"/>
    <mergeCell ref="A7:H7"/>
    <mergeCell ref="I7:Q7"/>
    <mergeCell ref="A8:H8"/>
    <mergeCell ref="A9:H9"/>
    <mergeCell ref="A10:B10"/>
    <mergeCell ref="C10:E10"/>
    <mergeCell ref="G10:Q10"/>
    <mergeCell ref="I8:Q9"/>
    <mergeCell ref="M15:O15"/>
    <mergeCell ref="M16:O16"/>
    <mergeCell ref="C18:H18"/>
    <mergeCell ref="A19:H19"/>
    <mergeCell ref="I19:N19"/>
    <mergeCell ref="I20:N23"/>
    <mergeCell ref="A24:H24"/>
    <mergeCell ref="A25:B25"/>
    <mergeCell ref="A26:B26"/>
    <mergeCell ref="A27:B27"/>
    <mergeCell ref="M28:O28"/>
    <mergeCell ref="A29:B29"/>
    <mergeCell ref="M29:O29"/>
    <mergeCell ref="A30:B30"/>
    <mergeCell ref="A31:C31"/>
    <mergeCell ref="A32:B32"/>
    <mergeCell ref="G32:O32"/>
    <mergeCell ref="A33:B33"/>
    <mergeCell ref="G33:O34"/>
    <mergeCell ref="A34:B34"/>
    <mergeCell ref="A35:B35"/>
    <mergeCell ref="A36:B36"/>
    <mergeCell ref="A37:B37"/>
    <mergeCell ref="A38:B38"/>
    <mergeCell ref="M39:O39"/>
    <mergeCell ref="E40:K40"/>
    <mergeCell ref="M40:O40"/>
    <mergeCell ref="A51:H51"/>
    <mergeCell ref="A52:B52"/>
    <mergeCell ref="A55:B55"/>
    <mergeCell ref="A58:B58"/>
    <mergeCell ref="A61:B61"/>
    <mergeCell ref="A40:B40"/>
    <mergeCell ref="A41:B41"/>
    <mergeCell ref="E41:K43"/>
    <mergeCell ref="A42:B42"/>
    <mergeCell ref="A44:D44"/>
    <mergeCell ref="L44:Q44"/>
    <mergeCell ref="L45:Q5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
      <c r="A1" s="113" t="s">
        <v>12</v>
      </c>
      <c r="B1" s="20"/>
      <c r="C1" s="20"/>
      <c r="D1" s="20"/>
      <c r="E1" s="20"/>
      <c r="F1" s="20"/>
      <c r="G1" s="20"/>
      <c r="H1" s="21"/>
      <c r="I1" s="114"/>
      <c r="J1" s="114"/>
      <c r="K1" s="114"/>
      <c r="L1" s="114"/>
      <c r="M1" s="114"/>
      <c r="N1" s="114"/>
      <c r="O1" s="114"/>
      <c r="P1" s="114"/>
      <c r="Q1" s="114"/>
      <c r="R1" s="114"/>
      <c r="S1" s="114"/>
      <c r="T1" s="114"/>
    </row>
    <row r="2">
      <c r="A2" s="115" t="s">
        <v>13</v>
      </c>
      <c r="B2" s="20"/>
      <c r="C2" s="20"/>
      <c r="D2" s="20"/>
      <c r="E2" s="20"/>
      <c r="F2" s="20"/>
      <c r="G2" s="20"/>
      <c r="H2" s="21"/>
      <c r="I2" s="114"/>
      <c r="J2" s="116" t="s">
        <v>74</v>
      </c>
      <c r="M2" s="117">
        <v>103.94</v>
      </c>
      <c r="N2" s="114"/>
      <c r="O2" s="114"/>
      <c r="P2" s="114"/>
      <c r="Q2" s="114"/>
      <c r="R2" s="114"/>
      <c r="S2" s="114"/>
      <c r="T2" s="114"/>
    </row>
    <row r="3">
      <c r="A3" s="118"/>
      <c r="B3" s="119" t="s">
        <v>15</v>
      </c>
      <c r="C3" s="120">
        <v>0.0465</v>
      </c>
      <c r="D3" s="20"/>
      <c r="E3" s="20"/>
      <c r="F3" s="20"/>
      <c r="G3" s="20"/>
      <c r="H3" s="21"/>
      <c r="I3" s="114"/>
      <c r="J3" s="114"/>
      <c r="K3" s="121" t="s">
        <v>75</v>
      </c>
      <c r="M3" s="114"/>
      <c r="N3" s="114"/>
      <c r="O3" s="114"/>
      <c r="P3" s="114"/>
      <c r="Q3" s="114"/>
      <c r="R3" s="114"/>
      <c r="S3" s="114"/>
      <c r="T3" s="114"/>
    </row>
    <row r="4">
      <c r="A4" s="118"/>
      <c r="B4" s="119" t="s">
        <v>16</v>
      </c>
      <c r="C4" s="122">
        <v>0.65</v>
      </c>
      <c r="D4" s="20"/>
      <c r="E4" s="20"/>
      <c r="F4" s="20"/>
      <c r="G4" s="20"/>
      <c r="H4" s="21"/>
      <c r="I4" s="114"/>
      <c r="J4" s="114"/>
      <c r="K4" s="114"/>
      <c r="L4" s="114"/>
      <c r="M4" s="114"/>
      <c r="N4" s="114"/>
      <c r="O4" s="114"/>
      <c r="P4" s="114"/>
      <c r="Q4" s="114"/>
      <c r="R4" s="114"/>
      <c r="S4" s="114"/>
      <c r="T4" s="114"/>
    </row>
    <row r="5">
      <c r="A5" s="118"/>
      <c r="B5" s="119" t="s">
        <v>17</v>
      </c>
      <c r="C5" s="123">
        <v>0.05</v>
      </c>
      <c r="D5" s="20"/>
      <c r="E5" s="20"/>
      <c r="F5" s="20"/>
      <c r="G5" s="20"/>
      <c r="H5" s="21"/>
      <c r="I5" s="114"/>
      <c r="J5" s="114"/>
      <c r="K5" s="114"/>
      <c r="L5" s="114"/>
      <c r="M5" s="114"/>
      <c r="N5" s="114"/>
      <c r="O5" s="114"/>
      <c r="P5" s="114"/>
      <c r="Q5" s="114"/>
      <c r="R5" s="114"/>
      <c r="S5" s="114"/>
      <c r="T5" s="114"/>
    </row>
    <row r="6">
      <c r="A6" s="118"/>
      <c r="B6" s="119" t="s">
        <v>18</v>
      </c>
      <c r="C6" s="124">
        <v>0.079</v>
      </c>
      <c r="D6" s="20"/>
      <c r="E6" s="20"/>
      <c r="F6" s="20"/>
      <c r="G6" s="20"/>
      <c r="H6" s="21"/>
      <c r="I6" s="114"/>
      <c r="J6" s="114"/>
      <c r="K6" s="114"/>
      <c r="L6" s="114"/>
      <c r="M6" s="114"/>
      <c r="N6" s="114"/>
      <c r="O6" s="114"/>
      <c r="P6" s="114"/>
      <c r="Q6" s="114"/>
      <c r="R6" s="114"/>
      <c r="S6" s="114"/>
      <c r="T6" s="114"/>
    </row>
    <row r="7">
      <c r="A7" s="115" t="s">
        <v>19</v>
      </c>
      <c r="B7" s="20"/>
      <c r="C7" s="20"/>
      <c r="D7" s="20"/>
      <c r="E7" s="20"/>
      <c r="F7" s="20"/>
      <c r="G7" s="20"/>
      <c r="H7" s="21"/>
      <c r="I7" s="125" t="s">
        <v>20</v>
      </c>
      <c r="R7" s="114"/>
      <c r="S7" s="114"/>
      <c r="T7" s="114"/>
    </row>
    <row r="8">
      <c r="A8" s="126" t="s">
        <v>76</v>
      </c>
      <c r="B8" s="20"/>
      <c r="C8" s="20"/>
      <c r="D8" s="20"/>
      <c r="E8" s="20"/>
      <c r="F8" s="20"/>
      <c r="G8" s="20"/>
      <c r="H8" s="21"/>
      <c r="I8" s="127" t="s">
        <v>77</v>
      </c>
      <c r="R8" s="114"/>
      <c r="S8" s="114"/>
      <c r="T8" s="114"/>
    </row>
    <row r="9">
      <c r="A9" s="115" t="s">
        <v>23</v>
      </c>
      <c r="B9" s="20"/>
      <c r="C9" s="20"/>
      <c r="D9" s="20"/>
      <c r="E9" s="20"/>
      <c r="F9" s="20"/>
      <c r="G9" s="20"/>
      <c r="H9" s="21"/>
      <c r="I9" s="70"/>
      <c r="R9" s="114"/>
      <c r="S9" s="114"/>
      <c r="T9" s="114"/>
    </row>
    <row r="10">
      <c r="A10" s="128"/>
      <c r="B10" s="21"/>
      <c r="C10" s="115" t="s">
        <v>24</v>
      </c>
      <c r="D10" s="20"/>
      <c r="E10" s="21"/>
      <c r="F10" s="129"/>
      <c r="G10" s="130" t="s">
        <v>25</v>
      </c>
      <c r="H10" s="37"/>
      <c r="I10" s="37"/>
      <c r="J10" s="37"/>
      <c r="K10" s="37"/>
      <c r="L10" s="37"/>
      <c r="M10" s="37"/>
      <c r="N10" s="37"/>
      <c r="O10" s="37"/>
      <c r="P10" s="37"/>
      <c r="Q10" s="37"/>
      <c r="R10" s="114"/>
      <c r="S10" s="114"/>
      <c r="T10" s="114"/>
    </row>
    <row r="11">
      <c r="A11" s="131"/>
      <c r="B11" s="131"/>
      <c r="C11" s="132">
        <v>2022.0</v>
      </c>
      <c r="D11" s="132">
        <v>2023.0</v>
      </c>
      <c r="E11" s="132">
        <v>2024.0</v>
      </c>
      <c r="F11" s="132" t="s">
        <v>26</v>
      </c>
      <c r="G11" s="133" t="s">
        <v>27</v>
      </c>
      <c r="H11" s="133">
        <v>2026.0</v>
      </c>
      <c r="I11" s="133">
        <v>2027.0</v>
      </c>
      <c r="J11" s="133">
        <v>2028.0</v>
      </c>
      <c r="K11" s="133">
        <v>2029.0</v>
      </c>
      <c r="L11" s="133">
        <v>2030.0</v>
      </c>
      <c r="M11" s="133">
        <v>2031.0</v>
      </c>
      <c r="N11" s="133">
        <v>2032.0</v>
      </c>
      <c r="O11" s="133">
        <v>2033.0</v>
      </c>
      <c r="P11" s="133">
        <v>2034.0</v>
      </c>
      <c r="Q11" s="133">
        <v>2035.0</v>
      </c>
      <c r="R11" s="121" t="s">
        <v>78</v>
      </c>
    </row>
    <row r="12">
      <c r="A12" s="118"/>
      <c r="B12" s="119" t="s">
        <v>28</v>
      </c>
      <c r="C12" s="117">
        <v>0.74</v>
      </c>
      <c r="D12" s="117">
        <v>0.76</v>
      </c>
      <c r="E12" s="117">
        <v>0.76</v>
      </c>
      <c r="F12" s="117">
        <v>0.83</v>
      </c>
      <c r="G12" s="134">
        <v>0.83</v>
      </c>
      <c r="H12" s="134">
        <v>0.94</v>
      </c>
      <c r="I12" s="135">
        <v>1.02</v>
      </c>
      <c r="J12" s="135">
        <v>1.1</v>
      </c>
      <c r="K12" s="135">
        <v>1.18</v>
      </c>
      <c r="L12" s="135">
        <v>1.28</v>
      </c>
      <c r="M12" s="134">
        <v>1.33</v>
      </c>
      <c r="N12" s="134">
        <v>1.38</v>
      </c>
      <c r="O12" s="134">
        <v>1.44</v>
      </c>
      <c r="P12" s="134">
        <v>1.5</v>
      </c>
      <c r="Q12" s="134">
        <v>39.9</v>
      </c>
      <c r="R12" s="114"/>
      <c r="S12" s="114"/>
      <c r="T12" s="114"/>
    </row>
    <row r="13">
      <c r="A13" s="118"/>
      <c r="B13" s="119" t="s">
        <v>29</v>
      </c>
      <c r="C13" s="119" t="s">
        <v>30</v>
      </c>
      <c r="D13" s="119" t="s">
        <v>30</v>
      </c>
      <c r="E13" s="119" t="s">
        <v>30</v>
      </c>
      <c r="F13" s="118"/>
      <c r="G13" s="136">
        <v>0.83</v>
      </c>
      <c r="H13" s="136">
        <v>0.87</v>
      </c>
      <c r="I13" s="136">
        <v>0.87</v>
      </c>
      <c r="J13" s="136">
        <v>0.87</v>
      </c>
      <c r="K13" s="136">
        <v>0.87</v>
      </c>
      <c r="L13" s="136">
        <v>0.87</v>
      </c>
      <c r="M13" s="136">
        <v>0.84</v>
      </c>
      <c r="N13" s="136">
        <v>0.81</v>
      </c>
      <c r="O13" s="136">
        <v>0.78</v>
      </c>
      <c r="P13" s="136">
        <v>0.75</v>
      </c>
      <c r="Q13" s="137">
        <v>18.65</v>
      </c>
      <c r="R13" s="114"/>
      <c r="S13" s="114"/>
      <c r="T13" s="114"/>
    </row>
    <row r="14">
      <c r="A14" s="118"/>
      <c r="B14" s="138" t="s">
        <v>30</v>
      </c>
      <c r="C14" s="114"/>
      <c r="D14" s="114"/>
      <c r="E14" s="114"/>
      <c r="F14" s="114"/>
      <c r="G14" s="114"/>
      <c r="H14" s="114"/>
      <c r="I14" s="139" t="e">
        <v>#VALUE!</v>
      </c>
      <c r="J14" s="140"/>
      <c r="K14" s="114"/>
      <c r="L14" s="114"/>
      <c r="M14" s="141" t="s">
        <v>32</v>
      </c>
      <c r="P14" s="142">
        <v>0.04</v>
      </c>
      <c r="Q14" s="121" t="s">
        <v>79</v>
      </c>
      <c r="S14" s="114"/>
      <c r="T14" s="114"/>
    </row>
    <row r="15">
      <c r="A15" s="118"/>
      <c r="B15" s="138" t="s">
        <v>30</v>
      </c>
      <c r="C15" s="114"/>
      <c r="D15" s="114"/>
      <c r="E15" s="114"/>
      <c r="F15" s="114"/>
      <c r="G15" s="114"/>
      <c r="H15" s="114"/>
      <c r="I15" s="140"/>
      <c r="J15" s="140"/>
      <c r="K15" s="114"/>
      <c r="L15" s="114"/>
      <c r="M15" s="141" t="s">
        <v>33</v>
      </c>
      <c r="P15" s="143">
        <v>39.9</v>
      </c>
      <c r="Q15" s="114"/>
      <c r="R15" s="114"/>
      <c r="S15" s="114"/>
      <c r="T15" s="114"/>
    </row>
    <row r="16">
      <c r="A16" s="118"/>
      <c r="B16" s="138" t="s">
        <v>30</v>
      </c>
      <c r="C16" s="114"/>
      <c r="D16" s="114"/>
      <c r="E16" s="114"/>
      <c r="F16" s="114"/>
      <c r="G16" s="114"/>
      <c r="H16" s="114"/>
      <c r="I16" s="140"/>
      <c r="J16" s="140"/>
      <c r="K16" s="114"/>
      <c r="L16" s="114"/>
      <c r="M16" s="141" t="s">
        <v>34</v>
      </c>
      <c r="P16" s="143">
        <v>18.65</v>
      </c>
      <c r="Q16" s="114"/>
      <c r="R16" s="114"/>
      <c r="S16" s="114"/>
      <c r="T16" s="114"/>
    </row>
    <row r="17">
      <c r="A17" s="118"/>
      <c r="B17" s="118"/>
      <c r="C17" s="144"/>
      <c r="D17" s="37"/>
      <c r="E17" s="37"/>
      <c r="F17" s="37"/>
      <c r="G17" s="37"/>
      <c r="H17" s="38"/>
      <c r="I17" s="114"/>
      <c r="J17" s="114"/>
      <c r="K17" s="114"/>
      <c r="L17" s="114"/>
      <c r="M17" s="114"/>
      <c r="N17" s="114"/>
      <c r="O17" s="114"/>
      <c r="P17" s="114"/>
      <c r="Q17" s="114"/>
      <c r="R17" s="114"/>
      <c r="S17" s="114"/>
      <c r="T17" s="114"/>
    </row>
    <row r="18">
      <c r="A18" s="118"/>
      <c r="B18" s="119" t="s">
        <v>35</v>
      </c>
      <c r="C18" s="145">
        <v>27.04</v>
      </c>
      <c r="D18" s="20"/>
      <c r="E18" s="20"/>
      <c r="F18" s="20"/>
      <c r="G18" s="20"/>
      <c r="H18" s="21"/>
      <c r="I18" s="114"/>
      <c r="J18" s="114"/>
      <c r="K18" s="114"/>
      <c r="L18" s="114"/>
      <c r="M18" s="114"/>
      <c r="N18" s="114"/>
      <c r="O18" s="114"/>
      <c r="P18" s="114"/>
      <c r="Q18" s="114"/>
      <c r="R18" s="114"/>
      <c r="S18" s="114"/>
      <c r="T18" s="114"/>
    </row>
    <row r="19">
      <c r="A19" s="115" t="s">
        <v>36</v>
      </c>
      <c r="B19" s="20"/>
      <c r="C19" s="20"/>
      <c r="D19" s="20"/>
      <c r="E19" s="20"/>
      <c r="F19" s="20"/>
      <c r="G19" s="20"/>
      <c r="H19" s="21"/>
      <c r="I19" s="116" t="s">
        <v>37</v>
      </c>
      <c r="O19" s="114"/>
      <c r="P19" s="114"/>
      <c r="Q19" s="114"/>
      <c r="R19" s="114"/>
      <c r="S19" s="114"/>
      <c r="T19" s="114"/>
    </row>
    <row r="20">
      <c r="A20" s="146"/>
      <c r="B20" s="147" t="s">
        <v>38</v>
      </c>
      <c r="C20" s="148">
        <v>0.069</v>
      </c>
      <c r="D20" s="148">
        <v>0.074</v>
      </c>
      <c r="E20" s="148">
        <v>0.079</v>
      </c>
      <c r="F20" s="148">
        <v>0.084</v>
      </c>
      <c r="G20" s="148">
        <v>0.089</v>
      </c>
      <c r="H20" s="149"/>
      <c r="I20" s="150" t="s">
        <v>80</v>
      </c>
      <c r="O20" s="114"/>
      <c r="P20" s="114"/>
      <c r="Q20" s="114"/>
      <c r="R20" s="114"/>
      <c r="S20" s="114"/>
      <c r="T20" s="114"/>
    </row>
    <row r="21">
      <c r="A21" s="119" t="s">
        <v>40</v>
      </c>
      <c r="B21" s="119" t="s">
        <v>35</v>
      </c>
      <c r="C21" s="136">
        <v>36.27</v>
      </c>
      <c r="D21" s="136">
        <v>30.97</v>
      </c>
      <c r="E21" s="136">
        <v>27.04</v>
      </c>
      <c r="F21" s="136">
        <v>24.0</v>
      </c>
      <c r="G21" s="136">
        <v>21.59</v>
      </c>
      <c r="H21" s="119" t="s">
        <v>81</v>
      </c>
      <c r="I21" s="70"/>
      <c r="O21" s="114"/>
      <c r="P21" s="114"/>
      <c r="Q21" s="114"/>
      <c r="R21" s="114"/>
      <c r="S21" s="114"/>
      <c r="T21" s="114"/>
    </row>
    <row r="22">
      <c r="A22" s="118"/>
      <c r="B22" s="147" t="s">
        <v>41</v>
      </c>
      <c r="C22" s="148">
        <v>0.03</v>
      </c>
      <c r="D22" s="148">
        <v>0.035</v>
      </c>
      <c r="E22" s="148">
        <v>0.04</v>
      </c>
      <c r="F22" s="148">
        <v>0.045</v>
      </c>
      <c r="G22" s="148">
        <v>0.05</v>
      </c>
      <c r="H22" s="149"/>
      <c r="I22" s="70"/>
      <c r="O22" s="114"/>
      <c r="P22" s="114"/>
      <c r="Q22" s="114"/>
      <c r="R22" s="114"/>
      <c r="S22" s="114"/>
      <c r="T22" s="114"/>
    </row>
    <row r="23">
      <c r="A23" s="119" t="s">
        <v>42</v>
      </c>
      <c r="B23" s="119" t="s">
        <v>35</v>
      </c>
      <c r="C23" s="136">
        <v>19.43</v>
      </c>
      <c r="D23" s="136">
        <v>20.8</v>
      </c>
      <c r="E23" s="136">
        <v>22.46</v>
      </c>
      <c r="F23" s="136">
        <v>24.49</v>
      </c>
      <c r="G23" s="136">
        <v>27.04</v>
      </c>
      <c r="H23" s="119" t="s">
        <v>82</v>
      </c>
      <c r="I23" s="70"/>
      <c r="O23" s="114"/>
      <c r="P23" s="114"/>
      <c r="Q23" s="114"/>
      <c r="R23" s="114"/>
      <c r="S23" s="114"/>
      <c r="T23" s="114"/>
    </row>
    <row r="24">
      <c r="A24" s="151" t="s">
        <v>43</v>
      </c>
      <c r="B24" s="34"/>
      <c r="C24" s="34"/>
      <c r="D24" s="34"/>
      <c r="E24" s="34"/>
      <c r="F24" s="34"/>
      <c r="G24" s="34"/>
      <c r="H24" s="34"/>
      <c r="I24" s="152" t="s">
        <v>83</v>
      </c>
      <c r="J24" s="37"/>
      <c r="K24" s="37"/>
      <c r="L24" s="37"/>
      <c r="M24" s="37"/>
      <c r="N24" s="37"/>
      <c r="O24" s="114"/>
      <c r="P24" s="114"/>
      <c r="Q24" s="114"/>
      <c r="R24" s="114"/>
      <c r="S24" s="114"/>
      <c r="T24" s="114"/>
    </row>
    <row r="25">
      <c r="A25" s="153" t="s">
        <v>44</v>
      </c>
      <c r="B25" s="21"/>
      <c r="C25" s="132" t="s">
        <v>30</v>
      </c>
      <c r="D25" s="132">
        <v>2022.0</v>
      </c>
      <c r="E25" s="132">
        <v>2023.0</v>
      </c>
      <c r="F25" s="132">
        <v>2024.0</v>
      </c>
      <c r="G25" s="133">
        <v>2025.0</v>
      </c>
      <c r="H25" s="133">
        <v>2026.0</v>
      </c>
      <c r="I25" s="133">
        <v>2027.0</v>
      </c>
      <c r="J25" s="133">
        <v>2028.0</v>
      </c>
      <c r="K25" s="133">
        <v>2029.0</v>
      </c>
      <c r="L25" s="133">
        <v>2030.0</v>
      </c>
      <c r="M25" s="133">
        <v>2031.0</v>
      </c>
      <c r="N25" s="133">
        <v>2032.0</v>
      </c>
      <c r="O25" s="133">
        <v>2033.0</v>
      </c>
      <c r="P25" s="133">
        <v>2034.0</v>
      </c>
      <c r="Q25" s="133">
        <v>2035.0</v>
      </c>
      <c r="R25" s="121" t="s">
        <v>78</v>
      </c>
    </row>
    <row r="26">
      <c r="A26" s="154"/>
      <c r="B26" s="21"/>
      <c r="C26" s="155" t="s">
        <v>30</v>
      </c>
      <c r="D26" s="156">
        <v>11075.0</v>
      </c>
      <c r="E26" s="117">
        <v>11984.0</v>
      </c>
      <c r="F26" s="117">
        <v>15120.0</v>
      </c>
      <c r="G26" s="134">
        <v>12660.0</v>
      </c>
      <c r="H26" s="134">
        <v>11647.2</v>
      </c>
      <c r="I26" s="134">
        <v>11647.2</v>
      </c>
      <c r="J26" s="134">
        <v>13394.28</v>
      </c>
      <c r="K26" s="135">
        <v>15403.42</v>
      </c>
      <c r="L26" s="135">
        <v>17713.94</v>
      </c>
      <c r="M26" s="135">
        <v>20371.03</v>
      </c>
      <c r="N26" s="135">
        <v>23426.68</v>
      </c>
      <c r="O26" s="135">
        <v>26940.68</v>
      </c>
      <c r="P26" s="135">
        <v>28018.31</v>
      </c>
      <c r="Q26" s="134">
        <v>867079.94</v>
      </c>
      <c r="R26" s="121" t="s">
        <v>84</v>
      </c>
    </row>
    <row r="27">
      <c r="A27" s="157"/>
      <c r="B27" s="21"/>
      <c r="C27" s="119" t="s">
        <v>30</v>
      </c>
      <c r="D27" s="119" t="s">
        <v>30</v>
      </c>
      <c r="E27" s="119" t="s">
        <v>30</v>
      </c>
      <c r="F27" s="118"/>
      <c r="G27" s="136">
        <v>12660.0</v>
      </c>
      <c r="H27" s="136">
        <v>10848.67</v>
      </c>
      <c r="I27" s="136">
        <v>10104.89</v>
      </c>
      <c r="J27" s="136">
        <v>10823.92</v>
      </c>
      <c r="K27" s="136">
        <v>11594.11</v>
      </c>
      <c r="L27" s="136">
        <v>12419.11</v>
      </c>
      <c r="M27" s="136">
        <v>13302.81</v>
      </c>
      <c r="N27" s="136">
        <v>14249.39</v>
      </c>
      <c r="O27" s="136">
        <v>15263.33</v>
      </c>
      <c r="P27" s="136">
        <v>14785.56</v>
      </c>
      <c r="Q27" s="136">
        <v>426196.68</v>
      </c>
      <c r="R27" s="114"/>
      <c r="S27" s="114"/>
      <c r="T27" s="114"/>
    </row>
    <row r="28">
      <c r="A28" s="158"/>
      <c r="B28" s="158"/>
      <c r="C28" s="114"/>
      <c r="D28" s="114"/>
      <c r="E28" s="114"/>
      <c r="F28" s="114"/>
      <c r="G28" s="114"/>
      <c r="H28" s="114"/>
      <c r="I28" s="140"/>
      <c r="J28" s="140"/>
      <c r="K28" s="114"/>
      <c r="L28" s="114"/>
      <c r="M28" s="141" t="s">
        <v>32</v>
      </c>
      <c r="P28" s="142">
        <v>0.04</v>
      </c>
      <c r="Q28" s="121" t="s">
        <v>79</v>
      </c>
      <c r="S28" s="114"/>
      <c r="T28" s="114"/>
    </row>
    <row r="29">
      <c r="A29" s="154"/>
      <c r="B29" s="21"/>
      <c r="C29" s="118"/>
      <c r="D29" s="159" t="s">
        <v>45</v>
      </c>
      <c r="E29" s="159" t="s">
        <v>46</v>
      </c>
      <c r="F29" s="160"/>
      <c r="G29" s="159" t="s">
        <v>47</v>
      </c>
      <c r="H29" s="159" t="s">
        <v>48</v>
      </c>
      <c r="I29" s="159" t="s">
        <v>49</v>
      </c>
      <c r="J29" s="159" t="s">
        <v>50</v>
      </c>
      <c r="K29" s="114"/>
      <c r="L29" s="114"/>
      <c r="M29" s="141" t="s">
        <v>33</v>
      </c>
      <c r="P29" s="143">
        <v>867079.94</v>
      </c>
      <c r="Q29" s="114"/>
      <c r="R29" s="114"/>
      <c r="S29" s="114"/>
      <c r="T29" s="114"/>
    </row>
    <row r="30">
      <c r="A30" s="161" t="s">
        <v>51</v>
      </c>
      <c r="B30" s="21"/>
      <c r="C30" s="162">
        <v>0.0736</v>
      </c>
      <c r="D30" s="117">
        <v>879644.22</v>
      </c>
      <c r="E30" s="163">
        <v>140751.0</v>
      </c>
      <c r="F30" s="164"/>
      <c r="G30" s="165">
        <v>1020395.22</v>
      </c>
      <c r="H30" s="163">
        <v>0.0505</v>
      </c>
      <c r="I30" s="166">
        <v>0.079</v>
      </c>
      <c r="J30" s="166">
        <v>0.21</v>
      </c>
      <c r="K30" s="114"/>
      <c r="L30" s="114"/>
      <c r="M30" s="141" t="s">
        <v>34</v>
      </c>
      <c r="P30" s="143">
        <v>426196.68</v>
      </c>
      <c r="Q30" s="114"/>
      <c r="R30" s="114"/>
      <c r="S30" s="114"/>
      <c r="T30" s="114"/>
    </row>
    <row r="31">
      <c r="A31" s="167"/>
      <c r="B31" s="20"/>
      <c r="C31" s="21"/>
      <c r="D31" s="118"/>
      <c r="E31" s="118"/>
      <c r="F31" s="118"/>
      <c r="G31" s="118"/>
      <c r="H31" s="118"/>
      <c r="I31" s="118"/>
      <c r="J31" s="118"/>
      <c r="K31" s="118"/>
      <c r="L31" s="118"/>
      <c r="M31" s="118"/>
      <c r="N31" s="118"/>
      <c r="O31" s="118"/>
      <c r="P31" s="118"/>
      <c r="Q31" s="114"/>
      <c r="R31" s="114"/>
      <c r="S31" s="114"/>
      <c r="T31" s="114"/>
    </row>
    <row r="32">
      <c r="A32" s="168" t="s">
        <v>52</v>
      </c>
      <c r="B32" s="21"/>
      <c r="C32" s="169">
        <v>552248.49</v>
      </c>
      <c r="D32" s="118"/>
      <c r="E32" s="118"/>
      <c r="F32" s="114"/>
      <c r="G32" s="170" t="s">
        <v>53</v>
      </c>
      <c r="P32" s="118"/>
      <c r="Q32" s="114"/>
      <c r="R32" s="114"/>
      <c r="S32" s="114"/>
      <c r="T32" s="114"/>
    </row>
    <row r="33">
      <c r="A33" s="168" t="s">
        <v>54</v>
      </c>
      <c r="B33" s="21"/>
      <c r="C33" s="171"/>
      <c r="D33" s="118"/>
      <c r="E33" s="118"/>
      <c r="F33" s="114"/>
      <c r="G33" s="127" t="s">
        <v>85</v>
      </c>
      <c r="P33" s="118"/>
      <c r="Q33" s="114"/>
      <c r="R33" s="114"/>
      <c r="S33" s="114"/>
      <c r="T33" s="114"/>
    </row>
    <row r="34">
      <c r="A34" s="168" t="s">
        <v>56</v>
      </c>
      <c r="B34" s="21"/>
      <c r="C34" s="163">
        <v>8463.0</v>
      </c>
      <c r="D34" s="118"/>
      <c r="E34" s="118"/>
      <c r="F34" s="114"/>
      <c r="G34" s="70"/>
      <c r="P34" s="118"/>
      <c r="Q34" s="114"/>
      <c r="R34" s="114"/>
      <c r="S34" s="114"/>
      <c r="T34" s="114"/>
    </row>
    <row r="35">
      <c r="A35" s="168" t="s">
        <v>57</v>
      </c>
      <c r="B35" s="21"/>
      <c r="C35" s="171"/>
      <c r="D35" s="118"/>
      <c r="E35" s="118"/>
      <c r="F35" s="118"/>
      <c r="G35" s="118"/>
      <c r="H35" s="118"/>
      <c r="I35" s="118"/>
      <c r="J35" s="118"/>
      <c r="K35" s="118"/>
      <c r="L35" s="118"/>
      <c r="M35" s="118"/>
      <c r="N35" s="118"/>
      <c r="O35" s="118"/>
      <c r="P35" s="118"/>
      <c r="Q35" s="114"/>
      <c r="R35" s="114"/>
      <c r="S35" s="114"/>
      <c r="T35" s="114"/>
    </row>
    <row r="36">
      <c r="A36" s="153" t="s">
        <v>58</v>
      </c>
      <c r="B36" s="21"/>
      <c r="C36" s="132" t="s">
        <v>30</v>
      </c>
      <c r="D36" s="132">
        <v>2022.0</v>
      </c>
      <c r="E36" s="132">
        <v>2023.0</v>
      </c>
      <c r="F36" s="132">
        <v>2024.0</v>
      </c>
      <c r="G36" s="133">
        <v>2025.0</v>
      </c>
      <c r="H36" s="133">
        <v>2026.0</v>
      </c>
      <c r="I36" s="133">
        <v>2027.0</v>
      </c>
      <c r="J36" s="133">
        <v>2028.0</v>
      </c>
      <c r="K36" s="133">
        <v>2029.0</v>
      </c>
      <c r="L36" s="133">
        <v>2030.0</v>
      </c>
      <c r="M36" s="133">
        <v>2031.0</v>
      </c>
      <c r="N36" s="133">
        <v>2032.0</v>
      </c>
      <c r="O36" s="133">
        <v>2033.0</v>
      </c>
      <c r="P36" s="133">
        <v>2034.0</v>
      </c>
      <c r="Q36" s="133">
        <v>2035.0</v>
      </c>
      <c r="R36" s="121" t="s">
        <v>78</v>
      </c>
    </row>
    <row r="37">
      <c r="A37" s="154"/>
      <c r="B37" s="21"/>
      <c r="C37" s="155" t="s">
        <v>30</v>
      </c>
      <c r="D37" s="156">
        <v>5203.0</v>
      </c>
      <c r="E37" s="156">
        <v>14302.0</v>
      </c>
      <c r="F37" s="156">
        <v>16382.0</v>
      </c>
      <c r="G37" s="172">
        <v>11404.0</v>
      </c>
      <c r="H37" s="172">
        <v>13684.8</v>
      </c>
      <c r="I37" s="172">
        <v>16421.76</v>
      </c>
      <c r="J37" s="173">
        <v>18063.94</v>
      </c>
      <c r="K37" s="173">
        <v>19870.33</v>
      </c>
      <c r="L37" s="173">
        <v>21857.36</v>
      </c>
      <c r="M37" s="173">
        <v>24043.1</v>
      </c>
      <c r="N37" s="173">
        <v>26447.41</v>
      </c>
      <c r="O37" s="173">
        <v>29092.15</v>
      </c>
      <c r="P37" s="172">
        <v>30255.84</v>
      </c>
      <c r="Q37" s="174">
        <v>936324.48</v>
      </c>
      <c r="R37" s="121" t="s">
        <v>84</v>
      </c>
    </row>
    <row r="38">
      <c r="A38" s="157"/>
      <c r="B38" s="21"/>
      <c r="C38" s="119" t="s">
        <v>30</v>
      </c>
      <c r="D38" s="119" t="s">
        <v>30</v>
      </c>
      <c r="E38" s="119" t="s">
        <v>30</v>
      </c>
      <c r="F38" s="118"/>
      <c r="G38" s="175">
        <v>11404.0</v>
      </c>
      <c r="H38" s="175">
        <v>12746.58</v>
      </c>
      <c r="I38" s="175">
        <v>14247.21</v>
      </c>
      <c r="J38" s="175">
        <v>14597.47</v>
      </c>
      <c r="K38" s="175">
        <v>14956.34</v>
      </c>
      <c r="L38" s="175">
        <v>15324.04</v>
      </c>
      <c r="M38" s="175">
        <v>15700.77</v>
      </c>
      <c r="N38" s="175">
        <v>16086.77</v>
      </c>
      <c r="O38" s="175">
        <v>16482.25</v>
      </c>
      <c r="P38" s="175">
        <v>15966.33</v>
      </c>
      <c r="Q38" s="175">
        <v>460232.52</v>
      </c>
      <c r="R38" s="114"/>
      <c r="S38" s="114"/>
      <c r="T38" s="114"/>
    </row>
    <row r="39">
      <c r="A39" s="158"/>
      <c r="B39" s="158"/>
      <c r="C39" s="114"/>
      <c r="D39" s="114"/>
      <c r="E39" s="114"/>
      <c r="F39" s="114"/>
      <c r="G39" s="114"/>
      <c r="H39" s="114"/>
      <c r="I39" s="140"/>
      <c r="J39" s="140"/>
      <c r="K39" s="114"/>
      <c r="L39" s="114"/>
      <c r="M39" s="141" t="s">
        <v>32</v>
      </c>
      <c r="P39" s="142">
        <v>0.04</v>
      </c>
      <c r="Q39" s="121" t="s">
        <v>79</v>
      </c>
      <c r="S39" s="114"/>
      <c r="T39" s="114"/>
    </row>
    <row r="40">
      <c r="A40" s="168" t="s">
        <v>54</v>
      </c>
      <c r="B40" s="21"/>
      <c r="C40" s="169">
        <v>607744.28</v>
      </c>
      <c r="D40" s="114"/>
      <c r="E40" s="176" t="s">
        <v>59</v>
      </c>
      <c r="L40" s="114"/>
      <c r="M40" s="141" t="s">
        <v>33</v>
      </c>
      <c r="P40" s="143">
        <v>936324.48</v>
      </c>
      <c r="Q40" s="114"/>
      <c r="R40" s="114"/>
      <c r="S40" s="114"/>
      <c r="T40" s="114"/>
    </row>
    <row r="41">
      <c r="A41" s="168" t="s">
        <v>56</v>
      </c>
      <c r="B41" s="21"/>
      <c r="C41" s="163">
        <v>8463.0</v>
      </c>
      <c r="D41" s="114"/>
      <c r="E41" s="177" t="s">
        <v>86</v>
      </c>
      <c r="L41" s="114"/>
      <c r="M41" s="141" t="s">
        <v>34</v>
      </c>
      <c r="P41" s="178">
        <v>460232.52</v>
      </c>
      <c r="Q41" s="114"/>
      <c r="R41" s="114"/>
      <c r="S41" s="114"/>
      <c r="T41" s="114"/>
    </row>
    <row r="42">
      <c r="A42" s="168" t="s">
        <v>57</v>
      </c>
      <c r="B42" s="21"/>
      <c r="C42" s="169">
        <v>71.81</v>
      </c>
      <c r="D42" s="114"/>
      <c r="L42" s="114"/>
      <c r="M42" s="114"/>
      <c r="N42" s="114"/>
      <c r="O42" s="114"/>
      <c r="P42" s="114"/>
      <c r="Q42" s="114"/>
      <c r="R42" s="114"/>
      <c r="S42" s="114"/>
      <c r="T42" s="114"/>
    </row>
    <row r="43">
      <c r="A43" s="114"/>
      <c r="B43" s="114"/>
      <c r="C43" s="114"/>
      <c r="D43" s="179"/>
      <c r="L43" s="114"/>
      <c r="M43" s="114"/>
      <c r="N43" s="114"/>
      <c r="O43" s="114"/>
      <c r="P43" s="114"/>
      <c r="Q43" s="114"/>
      <c r="R43" s="114"/>
      <c r="S43" s="114"/>
      <c r="T43" s="114"/>
    </row>
    <row r="44">
      <c r="A44" s="180" t="s">
        <v>61</v>
      </c>
      <c r="E44" s="181"/>
      <c r="F44" s="181"/>
      <c r="G44" s="181"/>
      <c r="H44" s="182"/>
      <c r="I44" s="182"/>
      <c r="J44" s="114"/>
      <c r="K44" s="114"/>
      <c r="L44" s="150" t="s">
        <v>37</v>
      </c>
      <c r="R44" s="114"/>
      <c r="S44" s="114"/>
      <c r="T44" s="114"/>
    </row>
    <row r="45">
      <c r="A45" s="118"/>
      <c r="B45" s="119" t="s">
        <v>62</v>
      </c>
      <c r="C45" s="149"/>
      <c r="D45" s="149"/>
      <c r="E45" s="149"/>
      <c r="F45" s="149"/>
      <c r="G45" s="149"/>
      <c r="H45" s="114"/>
      <c r="I45" s="114"/>
      <c r="J45" s="114"/>
      <c r="K45" s="114"/>
      <c r="L45" s="150" t="s">
        <v>87</v>
      </c>
      <c r="R45" s="114"/>
      <c r="S45" s="114"/>
      <c r="T45" s="114"/>
    </row>
    <row r="46">
      <c r="A46" s="118"/>
      <c r="B46" s="119" t="s">
        <v>51</v>
      </c>
      <c r="C46" s="148">
        <v>0.0636</v>
      </c>
      <c r="D46" s="148">
        <v>0.0686</v>
      </c>
      <c r="E46" s="148">
        <v>0.0736</v>
      </c>
      <c r="F46" s="148">
        <v>0.0786</v>
      </c>
      <c r="G46" s="148">
        <v>0.0836</v>
      </c>
      <c r="H46" s="149"/>
      <c r="I46" s="114"/>
      <c r="J46" s="114"/>
      <c r="K46" s="114"/>
      <c r="L46" s="70"/>
      <c r="R46" s="114"/>
      <c r="S46" s="114"/>
      <c r="T46" s="114"/>
    </row>
    <row r="47">
      <c r="A47" s="118"/>
      <c r="B47" s="183" t="s">
        <v>57</v>
      </c>
      <c r="C47" s="169">
        <v>168.67</v>
      </c>
      <c r="D47" s="169">
        <v>122.79</v>
      </c>
      <c r="E47" s="169">
        <v>96.39</v>
      </c>
      <c r="F47" s="169">
        <v>79.25</v>
      </c>
      <c r="G47" s="169">
        <v>67.23</v>
      </c>
      <c r="H47" s="184" t="s">
        <v>88</v>
      </c>
      <c r="I47" s="114"/>
      <c r="J47" s="114"/>
      <c r="K47" s="114"/>
      <c r="L47" s="70"/>
      <c r="R47" s="114"/>
      <c r="S47" s="114"/>
      <c r="T47" s="114"/>
    </row>
    <row r="48">
      <c r="A48" s="118"/>
      <c r="B48" s="147" t="s">
        <v>41</v>
      </c>
      <c r="C48" s="148">
        <v>0.03</v>
      </c>
      <c r="D48" s="148">
        <v>0.035</v>
      </c>
      <c r="E48" s="148">
        <v>0.04</v>
      </c>
      <c r="F48" s="148">
        <v>0.045</v>
      </c>
      <c r="G48" s="148">
        <v>0.05</v>
      </c>
      <c r="H48" s="149"/>
      <c r="I48" s="114"/>
      <c r="J48" s="114"/>
      <c r="K48" s="114"/>
      <c r="L48" s="70"/>
      <c r="R48" s="114"/>
      <c r="S48" s="114"/>
      <c r="T48" s="114"/>
    </row>
    <row r="49">
      <c r="A49" s="118"/>
      <c r="B49" s="183" t="s">
        <v>57</v>
      </c>
      <c r="C49" s="136">
        <v>58.52</v>
      </c>
      <c r="D49" s="136">
        <v>64.31</v>
      </c>
      <c r="E49" s="136">
        <v>71.81</v>
      </c>
      <c r="F49" s="136">
        <v>81.94</v>
      </c>
      <c r="G49" s="136">
        <v>96.39</v>
      </c>
      <c r="H49" s="119" t="s">
        <v>89</v>
      </c>
      <c r="I49" s="114"/>
      <c r="J49" s="114"/>
      <c r="K49" s="114"/>
      <c r="L49" s="70"/>
      <c r="R49" s="114"/>
      <c r="S49" s="114"/>
      <c r="T49" s="114"/>
    </row>
    <row r="50">
      <c r="A50" s="114"/>
      <c r="B50" s="114"/>
      <c r="C50" s="114"/>
      <c r="D50" s="114"/>
      <c r="E50" s="114"/>
      <c r="F50" s="114"/>
      <c r="G50" s="114"/>
      <c r="H50" s="114"/>
      <c r="I50" s="114"/>
      <c r="J50" s="114"/>
      <c r="K50" s="114"/>
      <c r="L50" s="70"/>
      <c r="R50" s="114"/>
      <c r="S50" s="114"/>
      <c r="T50" s="114"/>
    </row>
    <row r="51">
      <c r="A51" s="185" t="s">
        <v>64</v>
      </c>
      <c r="I51" s="114"/>
      <c r="J51" s="114"/>
      <c r="K51" s="114"/>
      <c r="L51" s="114"/>
      <c r="M51" s="114"/>
      <c r="N51" s="114"/>
      <c r="O51" s="114"/>
      <c r="P51" s="114"/>
      <c r="Q51" s="114"/>
      <c r="R51" s="114"/>
      <c r="S51" s="114"/>
      <c r="T51" s="114"/>
    </row>
    <row r="52">
      <c r="A52" s="161" t="s">
        <v>65</v>
      </c>
      <c r="B52" s="21"/>
      <c r="C52" s="186">
        <v>41.41035857</v>
      </c>
      <c r="D52" s="114"/>
      <c r="E52" s="114"/>
      <c r="F52" s="114"/>
      <c r="G52" s="114"/>
      <c r="H52" s="114"/>
      <c r="I52" s="114"/>
      <c r="J52" s="114"/>
      <c r="K52" s="114"/>
      <c r="L52" s="114"/>
      <c r="M52" s="114"/>
      <c r="N52" s="114"/>
      <c r="O52" s="114"/>
      <c r="P52" s="114"/>
      <c r="Q52" s="114"/>
      <c r="R52" s="114"/>
      <c r="S52" s="114"/>
      <c r="T52" s="114"/>
    </row>
    <row r="53">
      <c r="A53" s="118"/>
      <c r="B53" s="119" t="s">
        <v>90</v>
      </c>
      <c r="C53" s="156">
        <v>103.94</v>
      </c>
      <c r="D53" s="114"/>
      <c r="E53" s="114"/>
      <c r="F53" s="114"/>
      <c r="G53" s="114"/>
      <c r="H53" s="114"/>
      <c r="I53" s="114"/>
      <c r="J53" s="114"/>
      <c r="K53" s="114"/>
      <c r="L53" s="114"/>
      <c r="M53" s="114"/>
      <c r="N53" s="114"/>
      <c r="O53" s="114"/>
      <c r="P53" s="114"/>
      <c r="Q53" s="114"/>
      <c r="R53" s="114"/>
      <c r="S53" s="114"/>
      <c r="T53" s="114"/>
    </row>
    <row r="54">
      <c r="A54" s="118"/>
      <c r="B54" s="119" t="s">
        <v>91</v>
      </c>
      <c r="C54" s="156">
        <v>2.51</v>
      </c>
      <c r="D54" s="114"/>
      <c r="E54" s="114"/>
      <c r="F54" s="114"/>
      <c r="G54" s="114"/>
      <c r="H54" s="114"/>
      <c r="I54" s="114"/>
      <c r="J54" s="114"/>
      <c r="K54" s="114"/>
      <c r="L54" s="114"/>
      <c r="M54" s="114"/>
      <c r="N54" s="114"/>
      <c r="O54" s="114"/>
      <c r="P54" s="114"/>
      <c r="Q54" s="114"/>
      <c r="R54" s="114"/>
      <c r="S54" s="114"/>
      <c r="T54" s="114"/>
    </row>
    <row r="55">
      <c r="A55" s="161" t="s">
        <v>68</v>
      </c>
      <c r="B55" s="21"/>
      <c r="C55" s="186">
        <v>34.76254181</v>
      </c>
      <c r="D55" s="114"/>
      <c r="E55" s="114"/>
      <c r="F55" s="114"/>
      <c r="G55" s="114"/>
      <c r="H55" s="114"/>
      <c r="I55" s="114"/>
      <c r="J55" s="114"/>
      <c r="K55" s="114"/>
      <c r="L55" s="114"/>
      <c r="M55" s="114"/>
      <c r="N55" s="114"/>
      <c r="O55" s="114"/>
      <c r="P55" s="114"/>
      <c r="Q55" s="114"/>
      <c r="R55" s="114"/>
      <c r="S55" s="114"/>
      <c r="T55" s="114"/>
    </row>
    <row r="56">
      <c r="A56" s="118"/>
      <c r="B56" s="119" t="s">
        <v>90</v>
      </c>
      <c r="C56" s="156">
        <v>103.94</v>
      </c>
      <c r="D56" s="114"/>
      <c r="E56" s="114"/>
      <c r="F56" s="114"/>
      <c r="G56" s="114"/>
      <c r="H56" s="114"/>
      <c r="I56" s="114"/>
      <c r="J56" s="114"/>
      <c r="K56" s="114"/>
      <c r="L56" s="114"/>
      <c r="M56" s="114"/>
      <c r="N56" s="114"/>
      <c r="O56" s="114"/>
      <c r="P56" s="114"/>
      <c r="Q56" s="114"/>
      <c r="R56" s="114"/>
      <c r="S56" s="114"/>
      <c r="T56" s="114"/>
    </row>
    <row r="57">
      <c r="A57" s="118"/>
      <c r="B57" s="119" t="s">
        <v>92</v>
      </c>
      <c r="C57" s="156">
        <v>2.99</v>
      </c>
      <c r="D57" s="114"/>
      <c r="E57" s="114"/>
      <c r="F57" s="114"/>
      <c r="G57" s="114"/>
      <c r="H57" s="114"/>
      <c r="I57" s="114"/>
      <c r="J57" s="114"/>
      <c r="K57" s="114"/>
      <c r="L57" s="114"/>
      <c r="M57" s="114"/>
      <c r="N57" s="114"/>
      <c r="O57" s="114"/>
      <c r="P57" s="114"/>
      <c r="Q57" s="114"/>
      <c r="R57" s="114"/>
      <c r="S57" s="114"/>
      <c r="T57" s="114"/>
    </row>
    <row r="58">
      <c r="A58" s="161" t="s">
        <v>70</v>
      </c>
      <c r="B58" s="21"/>
      <c r="C58" s="186">
        <v>1.224696595</v>
      </c>
      <c r="D58" s="114"/>
      <c r="E58" s="114"/>
      <c r="F58" s="114"/>
      <c r="G58" s="114"/>
      <c r="H58" s="114"/>
      <c r="I58" s="114"/>
      <c r="J58" s="114"/>
      <c r="K58" s="114"/>
      <c r="L58" s="114"/>
      <c r="M58" s="114"/>
      <c r="N58" s="114"/>
      <c r="O58" s="114"/>
      <c r="P58" s="114"/>
      <c r="Q58" s="114"/>
      <c r="R58" s="114"/>
      <c r="S58" s="114"/>
      <c r="T58" s="114"/>
    </row>
    <row r="59">
      <c r="A59" s="118"/>
      <c r="B59" s="119" t="s">
        <v>90</v>
      </c>
      <c r="C59" s="156">
        <v>103.94</v>
      </c>
      <c r="D59" s="114"/>
      <c r="E59" s="114"/>
      <c r="F59" s="114"/>
      <c r="G59" s="114"/>
      <c r="H59" s="114"/>
      <c r="I59" s="114"/>
      <c r="J59" s="114"/>
      <c r="K59" s="114"/>
      <c r="L59" s="114"/>
      <c r="M59" s="114"/>
      <c r="N59" s="114"/>
      <c r="O59" s="114"/>
      <c r="P59" s="114"/>
      <c r="Q59" s="114"/>
      <c r="R59" s="114"/>
      <c r="S59" s="114"/>
      <c r="T59" s="114"/>
    </row>
    <row r="60">
      <c r="A60" s="118"/>
      <c r="B60" s="119" t="s">
        <v>93</v>
      </c>
      <c r="C60" s="156">
        <v>84.87</v>
      </c>
      <c r="D60" s="114"/>
      <c r="E60" s="114"/>
      <c r="F60" s="114"/>
      <c r="G60" s="114"/>
      <c r="H60" s="114"/>
      <c r="I60" s="114"/>
      <c r="J60" s="114"/>
      <c r="K60" s="114"/>
      <c r="L60" s="114"/>
      <c r="M60" s="114"/>
      <c r="N60" s="114"/>
      <c r="O60" s="114"/>
      <c r="P60" s="114"/>
      <c r="Q60" s="114"/>
      <c r="R60" s="114"/>
      <c r="S60" s="114"/>
      <c r="T60" s="114"/>
    </row>
    <row r="61">
      <c r="A61" s="161" t="s">
        <v>72</v>
      </c>
      <c r="B61" s="21"/>
      <c r="C61" s="187">
        <v>78.56</v>
      </c>
      <c r="D61" s="114"/>
      <c r="E61" s="114"/>
      <c r="F61" s="114"/>
      <c r="G61" s="114"/>
      <c r="H61" s="114"/>
      <c r="I61" s="114"/>
      <c r="J61" s="114"/>
      <c r="K61" s="114"/>
      <c r="L61" s="114"/>
      <c r="M61" s="114"/>
      <c r="N61" s="114"/>
      <c r="O61" s="114"/>
      <c r="P61" s="114"/>
      <c r="Q61" s="114"/>
      <c r="R61" s="114"/>
      <c r="S61" s="114"/>
      <c r="T61" s="114"/>
    </row>
    <row r="62">
      <c r="A62" s="114"/>
      <c r="B62" s="188" t="s">
        <v>90</v>
      </c>
      <c r="C62" s="156">
        <v>103.94</v>
      </c>
      <c r="D62" s="114"/>
      <c r="E62" s="114"/>
      <c r="F62" s="114"/>
      <c r="G62" s="114"/>
      <c r="H62" s="114"/>
      <c r="I62" s="114"/>
      <c r="J62" s="114"/>
      <c r="K62" s="114"/>
      <c r="L62" s="114"/>
      <c r="M62" s="114"/>
      <c r="N62" s="114"/>
      <c r="O62" s="114"/>
      <c r="P62" s="114"/>
      <c r="Q62" s="114"/>
      <c r="R62" s="114"/>
      <c r="S62" s="114"/>
      <c r="T62" s="114"/>
    </row>
    <row r="63">
      <c r="A63" s="114"/>
      <c r="B63" s="188" t="s">
        <v>94</v>
      </c>
      <c r="C63" s="156">
        <v>25.38</v>
      </c>
      <c r="D63" s="114"/>
      <c r="E63" s="114"/>
      <c r="F63" s="114"/>
      <c r="G63" s="114"/>
      <c r="H63" s="114"/>
      <c r="I63" s="114"/>
      <c r="J63" s="114"/>
      <c r="K63" s="114"/>
      <c r="L63" s="114"/>
      <c r="M63" s="114"/>
      <c r="N63" s="114"/>
      <c r="O63" s="114"/>
      <c r="P63" s="114"/>
      <c r="Q63" s="114"/>
      <c r="R63" s="114"/>
      <c r="S63" s="114"/>
      <c r="T63" s="114"/>
    </row>
  </sheetData>
  <mergeCells count="68">
    <mergeCell ref="A30:B30"/>
    <mergeCell ref="M30:O30"/>
    <mergeCell ref="A31:C31"/>
    <mergeCell ref="A32:B32"/>
    <mergeCell ref="G32:O32"/>
    <mergeCell ref="A33:B33"/>
    <mergeCell ref="G33:O34"/>
    <mergeCell ref="A34:B34"/>
    <mergeCell ref="A35:B35"/>
    <mergeCell ref="A36:B36"/>
    <mergeCell ref="R36:T36"/>
    <mergeCell ref="A37:B37"/>
    <mergeCell ref="R37:T37"/>
    <mergeCell ref="A38:B38"/>
    <mergeCell ref="A41:B41"/>
    <mergeCell ref="A42:B42"/>
    <mergeCell ref="A44:D44"/>
    <mergeCell ref="M39:O39"/>
    <mergeCell ref="Q39:R39"/>
    <mergeCell ref="A40:B40"/>
    <mergeCell ref="E40:K40"/>
    <mergeCell ref="M40:O40"/>
    <mergeCell ref="E41:K43"/>
    <mergeCell ref="M41:O41"/>
    <mergeCell ref="A1:H1"/>
    <mergeCell ref="A2:H2"/>
    <mergeCell ref="J2:L2"/>
    <mergeCell ref="C3:H3"/>
    <mergeCell ref="K3:L3"/>
    <mergeCell ref="C4:H4"/>
    <mergeCell ref="C5:H5"/>
    <mergeCell ref="C6:H6"/>
    <mergeCell ref="A7:H7"/>
    <mergeCell ref="I7:Q7"/>
    <mergeCell ref="A8:H8"/>
    <mergeCell ref="I8:Q9"/>
    <mergeCell ref="A9:H9"/>
    <mergeCell ref="A10:B10"/>
    <mergeCell ref="C10:E10"/>
    <mergeCell ref="G10:Q10"/>
    <mergeCell ref="R11:T11"/>
    <mergeCell ref="M14:O14"/>
    <mergeCell ref="Q14:R14"/>
    <mergeCell ref="M15:O15"/>
    <mergeCell ref="M16:O16"/>
    <mergeCell ref="C17:H17"/>
    <mergeCell ref="C18:H18"/>
    <mergeCell ref="A19:H19"/>
    <mergeCell ref="I19:N19"/>
    <mergeCell ref="I20:N23"/>
    <mergeCell ref="A24:H24"/>
    <mergeCell ref="I24:N24"/>
    <mergeCell ref="M28:O28"/>
    <mergeCell ref="M29:O29"/>
    <mergeCell ref="A25:B25"/>
    <mergeCell ref="R25:T25"/>
    <mergeCell ref="A26:B26"/>
    <mergeCell ref="R26:T26"/>
    <mergeCell ref="A27:B27"/>
    <mergeCell ref="Q28:R28"/>
    <mergeCell ref="A29:B29"/>
    <mergeCell ref="L44:Q44"/>
    <mergeCell ref="L45:Q50"/>
    <mergeCell ref="A51:H51"/>
    <mergeCell ref="A52:B52"/>
    <mergeCell ref="A55:B55"/>
    <mergeCell ref="A58:B58"/>
    <mergeCell ref="A61:B6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0.6"/>
    <col customWidth="1" min="2" max="2" width="38.4"/>
    <col customWidth="1" min="3" max="3" width="17.4"/>
    <col customWidth="1" min="4" max="5" width="16.5"/>
    <col customWidth="1" min="6" max="6" width="16.2"/>
    <col customWidth="1" min="7" max="7" width="17.2"/>
    <col customWidth="1" min="8" max="8" width="15.6"/>
    <col customWidth="1" min="9" max="9" width="17.7"/>
    <col customWidth="1" min="10" max="11" width="15.9"/>
    <col customWidth="1" min="12" max="12" width="16.2"/>
    <col customWidth="1" min="13" max="13" width="15.6"/>
    <col customWidth="1" min="14" max="14" width="16.5"/>
    <col customWidth="1" min="15" max="15" width="15.7"/>
    <col customWidth="1" min="16" max="16" width="17.5"/>
    <col customWidth="1" min="17" max="17" width="15.6"/>
    <col customWidth="1" min="18" max="18" width="12.9"/>
    <col customWidth="1" min="19" max="26" width="7.9"/>
  </cols>
  <sheetData>
    <row r="1" ht="15.75" customHeight="1">
      <c r="A1" s="19" t="s">
        <v>12</v>
      </c>
      <c r="B1" s="20"/>
      <c r="C1" s="20"/>
      <c r="D1" s="20"/>
      <c r="E1" s="20"/>
      <c r="F1" s="20"/>
      <c r="G1" s="20"/>
      <c r="H1" s="21"/>
    </row>
    <row r="2" ht="15.75" customHeight="1">
      <c r="A2" s="22" t="s">
        <v>13</v>
      </c>
      <c r="B2" s="20"/>
      <c r="C2" s="20"/>
      <c r="D2" s="20"/>
      <c r="E2" s="20"/>
      <c r="F2" s="20"/>
      <c r="G2" s="20"/>
      <c r="H2" s="21"/>
      <c r="J2" s="189" t="s">
        <v>95</v>
      </c>
      <c r="M2" s="48">
        <v>90.16</v>
      </c>
    </row>
    <row r="3" ht="15.75" customHeight="1">
      <c r="A3" s="26"/>
      <c r="B3" s="26" t="s">
        <v>15</v>
      </c>
      <c r="C3" s="190">
        <v>0.0467</v>
      </c>
      <c r="D3" s="20"/>
      <c r="E3" s="20"/>
      <c r="F3" s="20"/>
      <c r="G3" s="20"/>
      <c r="H3" s="21"/>
      <c r="K3" s="191" t="s">
        <v>75</v>
      </c>
    </row>
    <row r="4" ht="15.75" customHeight="1">
      <c r="A4" s="26"/>
      <c r="B4" s="26" t="s">
        <v>16</v>
      </c>
      <c r="C4" s="192">
        <v>1.15</v>
      </c>
      <c r="D4" s="20"/>
      <c r="E4" s="20"/>
      <c r="F4" s="20"/>
      <c r="G4" s="20"/>
      <c r="H4" s="21"/>
    </row>
    <row r="5" ht="15.75" customHeight="1">
      <c r="A5" s="26"/>
      <c r="B5" s="26" t="s">
        <v>17</v>
      </c>
      <c r="C5" s="29">
        <v>0.05</v>
      </c>
      <c r="D5" s="20"/>
      <c r="E5" s="20"/>
      <c r="F5" s="20"/>
      <c r="G5" s="20"/>
      <c r="H5" s="21"/>
    </row>
    <row r="6" ht="16.5" customHeight="1">
      <c r="A6" s="26"/>
      <c r="B6" s="26" t="s">
        <v>18</v>
      </c>
      <c r="C6" s="30">
        <f>C3+(C4*C5)</f>
        <v>0.1042</v>
      </c>
      <c r="D6" s="20"/>
      <c r="E6" s="20"/>
      <c r="F6" s="20"/>
      <c r="G6" s="20"/>
      <c r="H6" s="21"/>
    </row>
    <row r="7" ht="15.75" customHeight="1">
      <c r="A7" s="22" t="s">
        <v>19</v>
      </c>
      <c r="B7" s="20"/>
      <c r="C7" s="20"/>
      <c r="D7" s="20"/>
      <c r="E7" s="20"/>
      <c r="F7" s="20"/>
      <c r="G7" s="20"/>
      <c r="H7" s="21"/>
      <c r="I7" s="31" t="s">
        <v>20</v>
      </c>
    </row>
    <row r="8" ht="24.75" customHeight="1">
      <c r="A8" s="76" t="s">
        <v>96</v>
      </c>
      <c r="B8" s="20"/>
      <c r="C8" s="20"/>
      <c r="D8" s="20"/>
      <c r="E8" s="20"/>
      <c r="F8" s="20"/>
      <c r="G8" s="20"/>
      <c r="H8" s="21"/>
      <c r="I8" s="193" t="s">
        <v>97</v>
      </c>
    </row>
    <row r="9" ht="51.75" customHeight="1">
      <c r="A9" s="22" t="s">
        <v>23</v>
      </c>
      <c r="B9" s="20"/>
      <c r="C9" s="20"/>
      <c r="D9" s="20"/>
      <c r="E9" s="20"/>
      <c r="F9" s="20"/>
      <c r="G9" s="20"/>
      <c r="H9" s="21"/>
      <c r="I9" s="70"/>
    </row>
    <row r="10" ht="15.75" customHeight="1">
      <c r="A10" s="22"/>
      <c r="B10" s="21"/>
      <c r="C10" s="22" t="s">
        <v>24</v>
      </c>
      <c r="D10" s="20"/>
      <c r="E10" s="21"/>
      <c r="F10" s="39"/>
      <c r="G10" s="40" t="s">
        <v>25</v>
      </c>
      <c r="H10" s="41"/>
      <c r="I10" s="41"/>
      <c r="J10" s="41"/>
      <c r="K10" s="41"/>
      <c r="L10" s="41"/>
      <c r="M10" s="41"/>
      <c r="N10" s="41"/>
      <c r="O10" s="41"/>
      <c r="P10" s="41"/>
      <c r="Q10" s="42"/>
    </row>
    <row r="11" ht="15.75" customHeight="1">
      <c r="A11" s="43"/>
      <c r="B11" s="43"/>
      <c r="C11" s="44">
        <v>2022.0</v>
      </c>
      <c r="D11" s="44">
        <v>2023.0</v>
      </c>
      <c r="E11" s="44">
        <v>2024.0</v>
      </c>
      <c r="F11" s="44" t="s">
        <v>26</v>
      </c>
      <c r="G11" s="47" t="s">
        <v>27</v>
      </c>
      <c r="H11" s="47">
        <v>2026.0</v>
      </c>
      <c r="I11" s="47">
        <v>2027.0</v>
      </c>
      <c r="J11" s="47">
        <v>2028.0</v>
      </c>
      <c r="K11" s="47">
        <v>2029.0</v>
      </c>
      <c r="L11" s="47">
        <v>2030.0</v>
      </c>
      <c r="M11" s="47">
        <v>2031.0</v>
      </c>
      <c r="N11" s="47">
        <v>2032.0</v>
      </c>
      <c r="O11" s="47">
        <v>2033.0</v>
      </c>
      <c r="P11" s="47">
        <v>2034.0</v>
      </c>
      <c r="Q11" s="47">
        <v>2035.0</v>
      </c>
      <c r="R11" s="191" t="s">
        <v>78</v>
      </c>
    </row>
    <row r="12" ht="15.75" customHeight="1">
      <c r="A12" s="26"/>
      <c r="B12" s="26" t="s">
        <v>28</v>
      </c>
      <c r="C12" s="48">
        <v>3.96</v>
      </c>
      <c r="D12" s="48">
        <v>4.36</v>
      </c>
      <c r="E12" s="48">
        <v>4.44</v>
      </c>
      <c r="F12" s="48">
        <v>4.48</v>
      </c>
      <c r="G12" s="49">
        <v>4.52</v>
      </c>
      <c r="H12" s="49">
        <f>G12*(1+P14)</f>
        <v>4.60136</v>
      </c>
      <c r="I12" s="49">
        <f>H12*(1+P14)</f>
        <v>4.68418448</v>
      </c>
      <c r="J12" s="49">
        <f>I12*(1+P14)</f>
        <v>4.768499801</v>
      </c>
      <c r="K12" s="49">
        <f>J12*(1+P14)</f>
        <v>4.854332797</v>
      </c>
      <c r="L12" s="49">
        <f>K12*(1+P14)</f>
        <v>4.941710787</v>
      </c>
      <c r="M12" s="49">
        <f>L12*(1+P14)</f>
        <v>5.030661582</v>
      </c>
      <c r="N12" s="49">
        <f>M12*(1+P14)</f>
        <v>5.12121349</v>
      </c>
      <c r="O12" s="49">
        <f>N12*(1+P14)</f>
        <v>5.213395333</v>
      </c>
      <c r="P12" s="49">
        <f>O12*(1+P14)</f>
        <v>5.307236449</v>
      </c>
      <c r="Q12" s="194">
        <f>P12*(1+P14)</f>
        <v>5.402766705</v>
      </c>
    </row>
    <row r="13" ht="15.75" customHeight="1">
      <c r="A13" s="26"/>
      <c r="B13" s="26" t="s">
        <v>29</v>
      </c>
      <c r="C13" s="53" t="s">
        <v>30</v>
      </c>
      <c r="D13" s="53" t="s">
        <v>30</v>
      </c>
      <c r="E13" s="53" t="s">
        <v>30</v>
      </c>
      <c r="F13" s="53"/>
      <c r="G13" s="55">
        <f>G12/(1+C6)^1</f>
        <v>4.093461329</v>
      </c>
      <c r="H13" s="55">
        <f>H12/(1+C6)^2</f>
        <v>3.773902946</v>
      </c>
      <c r="I13" s="195">
        <f>I12/(1+C6)^3</f>
        <v>3.47929107</v>
      </c>
      <c r="J13" s="195">
        <f>J12/(1+C6)^4</f>
        <v>3.207678237</v>
      </c>
      <c r="K13" s="55">
        <f>K12/(1+C6)^5</f>
        <v>2.957269014</v>
      </c>
      <c r="L13" s="55">
        <f>L12/(1+C6)^6</f>
        <v>2.726408129</v>
      </c>
      <c r="M13" s="55">
        <f>M12/(1+C6)^7</f>
        <v>2.51356953</v>
      </c>
      <c r="N13" s="55">
        <f>N12/(1+C6)^8</f>
        <v>2.317346298</v>
      </c>
      <c r="O13" s="55">
        <f>O12/(1+C6)^9</f>
        <v>2.136441343</v>
      </c>
      <c r="P13" s="55">
        <f>P12/(1+C6)^10</f>
        <v>1.969658837</v>
      </c>
      <c r="Q13" s="26" t="s">
        <v>30</v>
      </c>
    </row>
    <row r="14" ht="15.75" customHeight="1">
      <c r="A14" s="26"/>
      <c r="B14" s="69" t="s">
        <v>30</v>
      </c>
      <c r="C14" s="56"/>
      <c r="D14" s="56"/>
      <c r="E14" s="56"/>
      <c r="F14" s="56"/>
      <c r="G14" s="56"/>
      <c r="H14" s="56"/>
      <c r="I14" s="57"/>
      <c r="J14" s="57"/>
      <c r="M14" s="60" t="s">
        <v>32</v>
      </c>
      <c r="P14" s="196">
        <v>0.018</v>
      </c>
      <c r="Q14" s="191" t="s">
        <v>79</v>
      </c>
    </row>
    <row r="15" ht="15.75" customHeight="1">
      <c r="A15" s="26"/>
      <c r="B15" s="69" t="s">
        <v>30</v>
      </c>
      <c r="C15" s="56"/>
      <c r="D15" s="56"/>
      <c r="E15" s="56"/>
      <c r="F15" s="56"/>
      <c r="G15" s="56"/>
      <c r="H15" s="56"/>
      <c r="I15" s="57"/>
      <c r="J15" s="57"/>
      <c r="M15" s="60" t="s">
        <v>33</v>
      </c>
      <c r="P15" s="197">
        <f>(Q12)/(C6-P14)</f>
        <v>62.67710795</v>
      </c>
    </row>
    <row r="16" ht="15.75" customHeight="1">
      <c r="A16" s="26"/>
      <c r="B16" s="69" t="s">
        <v>30</v>
      </c>
      <c r="C16" s="56"/>
      <c r="D16" s="56"/>
      <c r="E16" s="56"/>
      <c r="F16" s="56"/>
      <c r="G16" s="56"/>
      <c r="H16" s="56"/>
      <c r="I16" s="57"/>
      <c r="J16" s="57"/>
      <c r="M16" s="60" t="s">
        <v>34</v>
      </c>
      <c r="N16" s="60"/>
      <c r="O16" s="60"/>
      <c r="P16" s="197">
        <f>P15/(1+C6)^11</f>
        <v>21.06608238</v>
      </c>
    </row>
    <row r="17" ht="15.75" customHeight="1">
      <c r="A17" s="26"/>
      <c r="B17" s="26"/>
      <c r="C17" s="198"/>
      <c r="D17" s="37"/>
      <c r="E17" s="37"/>
      <c r="F17" s="37"/>
      <c r="G17" s="37"/>
      <c r="H17" s="38"/>
    </row>
    <row r="18" ht="15.75" customHeight="1">
      <c r="A18" s="26"/>
      <c r="B18" s="26" t="s">
        <v>35</v>
      </c>
      <c r="C18" s="63">
        <f>SUM(G13:P13) + P16</f>
        <v>50.24110911</v>
      </c>
      <c r="D18" s="20"/>
      <c r="E18" s="20"/>
      <c r="F18" s="20"/>
      <c r="G18" s="20"/>
      <c r="H18" s="21"/>
    </row>
    <row r="19" ht="12.75" customHeight="1">
      <c r="A19" s="22" t="s">
        <v>36</v>
      </c>
      <c r="B19" s="20"/>
      <c r="C19" s="20"/>
      <c r="D19" s="20"/>
      <c r="E19" s="20"/>
      <c r="F19" s="20"/>
      <c r="G19" s="20"/>
      <c r="H19" s="21"/>
      <c r="I19" s="64" t="s">
        <v>37</v>
      </c>
    </row>
    <row r="20" ht="15.75" customHeight="1">
      <c r="A20" s="65"/>
      <c r="B20" s="65" t="s">
        <v>38</v>
      </c>
      <c r="C20" s="199">
        <v>0.0842</v>
      </c>
      <c r="D20" s="199">
        <v>0.0942</v>
      </c>
      <c r="E20" s="199">
        <v>0.1042</v>
      </c>
      <c r="F20" s="199">
        <v>0.1142</v>
      </c>
      <c r="G20" s="199">
        <v>0.1242</v>
      </c>
      <c r="H20" s="107" t="s">
        <v>98</v>
      </c>
      <c r="I20" s="200" t="s">
        <v>99</v>
      </c>
    </row>
    <row r="21" ht="15.75" customHeight="1">
      <c r="A21" s="26" t="s">
        <v>40</v>
      </c>
      <c r="B21" s="26" t="s">
        <v>35</v>
      </c>
      <c r="C21" s="55">
        <v>54.99</v>
      </c>
      <c r="D21" s="55">
        <v>48.81</v>
      </c>
      <c r="E21" s="55">
        <v>46.13</v>
      </c>
      <c r="F21" s="55">
        <v>39.88</v>
      </c>
      <c r="G21" s="55">
        <v>36.55</v>
      </c>
      <c r="H21" s="26"/>
      <c r="I21" s="70"/>
    </row>
    <row r="22" ht="24.0" customHeight="1">
      <c r="A22" s="26"/>
      <c r="B22" s="65" t="s">
        <v>41</v>
      </c>
      <c r="C22" s="199">
        <v>0.005</v>
      </c>
      <c r="D22" s="199">
        <v>0.01</v>
      </c>
      <c r="E22" s="199">
        <v>0.02</v>
      </c>
      <c r="F22" s="199">
        <v>0.03</v>
      </c>
      <c r="G22" s="199">
        <v>0.04</v>
      </c>
      <c r="H22" s="107" t="s">
        <v>100</v>
      </c>
      <c r="I22" s="70"/>
    </row>
    <row r="23" ht="27.75" customHeight="1">
      <c r="A23" s="26" t="s">
        <v>42</v>
      </c>
      <c r="B23" s="26" t="s">
        <v>35</v>
      </c>
      <c r="C23" s="201">
        <v>43.89</v>
      </c>
      <c r="D23" s="201">
        <v>46.13</v>
      </c>
      <c r="E23" s="201">
        <v>51.83</v>
      </c>
      <c r="F23" s="201">
        <v>58.05</v>
      </c>
      <c r="G23" s="201">
        <v>66.76</v>
      </c>
      <c r="H23" s="26"/>
      <c r="I23" s="70"/>
    </row>
    <row r="24" ht="15.75" customHeight="1">
      <c r="A24" s="72" t="s">
        <v>43</v>
      </c>
      <c r="B24" s="73"/>
      <c r="C24" s="73"/>
      <c r="D24" s="73"/>
      <c r="E24" s="73"/>
      <c r="F24" s="73"/>
      <c r="G24" s="73"/>
      <c r="H24" s="74"/>
    </row>
    <row r="25" ht="15.75" customHeight="1">
      <c r="A25" s="75" t="s">
        <v>44</v>
      </c>
      <c r="B25" s="21"/>
      <c r="C25" s="44" t="s">
        <v>30</v>
      </c>
      <c r="D25" s="44">
        <v>2022.0</v>
      </c>
      <c r="E25" s="44">
        <v>2023.0</v>
      </c>
      <c r="F25" s="44">
        <v>2024.0</v>
      </c>
      <c r="G25" s="47">
        <v>2025.0</v>
      </c>
      <c r="H25" s="47">
        <v>2026.0</v>
      </c>
      <c r="I25" s="47">
        <v>2027.0</v>
      </c>
      <c r="J25" s="47">
        <v>2028.0</v>
      </c>
      <c r="K25" s="47">
        <v>2029.0</v>
      </c>
      <c r="L25" s="47">
        <v>2030.0</v>
      </c>
      <c r="M25" s="47">
        <v>2031.0</v>
      </c>
      <c r="N25" s="47">
        <v>2032.0</v>
      </c>
      <c r="O25" s="47">
        <v>2033.0</v>
      </c>
      <c r="P25" s="47">
        <v>2034.0</v>
      </c>
      <c r="Q25" s="47">
        <v>2035.0</v>
      </c>
      <c r="R25" s="191" t="s">
        <v>78</v>
      </c>
    </row>
    <row r="26" ht="15.75" customHeight="1">
      <c r="A26" s="76"/>
      <c r="B26" s="21"/>
      <c r="C26" s="77" t="s">
        <v>30</v>
      </c>
      <c r="D26" s="202">
        <f>-1.502*10^9</f>
        <v>-1502000000</v>
      </c>
      <c r="E26" s="202">
        <f>3.839*10^9</f>
        <v>3839000000</v>
      </c>
      <c r="F26" s="202">
        <f>4.479*10^9</f>
        <v>4479000000</v>
      </c>
      <c r="G26" s="203">
        <f>F26*(1+P28)</f>
        <v>4532748000</v>
      </c>
      <c r="H26" s="203">
        <f>G26*(1+P28)</f>
        <v>4587140976</v>
      </c>
      <c r="I26" s="203">
        <f>H26*(1+P28)</f>
        <v>4642186668</v>
      </c>
      <c r="J26" s="203">
        <f>I26*(1+P28)</f>
        <v>4697892908</v>
      </c>
      <c r="K26" s="203">
        <f>J26*(1+P28)</f>
        <v>4754267623</v>
      </c>
      <c r="L26" s="203">
        <f>K26*(1+P28)</f>
        <v>4811318834</v>
      </c>
      <c r="M26" s="203">
        <f>L26*(1+P28)</f>
        <v>4869054660</v>
      </c>
      <c r="N26" s="203">
        <f>M26*(1+P28)</f>
        <v>4927483316</v>
      </c>
      <c r="O26" s="203">
        <f>N26*(1+P28)</f>
        <v>4986613116</v>
      </c>
      <c r="P26" s="203">
        <f>O26*(1+P28)</f>
        <v>5046452473</v>
      </c>
      <c r="Q26" s="204">
        <f>P26*(1+P28)</f>
        <v>5107009903</v>
      </c>
      <c r="R26" s="191" t="s">
        <v>84</v>
      </c>
    </row>
    <row r="27" ht="15.75" customHeight="1">
      <c r="A27" s="81"/>
      <c r="B27" s="21"/>
      <c r="C27" s="82" t="s">
        <v>30</v>
      </c>
      <c r="D27" s="205" t="s">
        <v>30</v>
      </c>
      <c r="E27" s="82" t="s">
        <v>30</v>
      </c>
      <c r="F27" s="82"/>
      <c r="G27" s="201">
        <f>G26/(1+C6)^1</f>
        <v>4105006339</v>
      </c>
      <c r="H27" s="201">
        <f>H26/(1+C6)^2</f>
        <v>3762240912</v>
      </c>
      <c r="I27" s="201">
        <f>I26/(1+C6)^3</f>
        <v>3448096181</v>
      </c>
      <c r="J27" s="201">
        <f>J26/(1+C6)^4</f>
        <v>3160182336</v>
      </c>
      <c r="K27" s="201">
        <f>K26/(1+C6)^5</f>
        <v>2896309114</v>
      </c>
      <c r="L27" s="201">
        <f>L26/(1+C6)^6</f>
        <v>2654469139</v>
      </c>
      <c r="M27" s="201">
        <f>M26/(1+C6)^7</f>
        <v>2432822649</v>
      </c>
      <c r="N27" s="201">
        <f>N26/(1+C6)^8</f>
        <v>2229683500</v>
      </c>
      <c r="O27" s="201">
        <f>O26/(1+C6)^8</f>
        <v>2256439702</v>
      </c>
      <c r="P27" s="201">
        <f>P26/(1+C6)^9</f>
        <v>2068028417</v>
      </c>
      <c r="Q27" s="82" t="s">
        <v>30</v>
      </c>
    </row>
    <row r="28" ht="15.75" customHeight="1">
      <c r="A28" s="84"/>
      <c r="B28" s="84"/>
      <c r="C28" s="56"/>
      <c r="D28" s="56"/>
      <c r="E28" s="56"/>
      <c r="F28" s="56"/>
      <c r="G28" s="56"/>
      <c r="H28" s="56"/>
      <c r="I28" s="57"/>
      <c r="J28" s="57"/>
      <c r="M28" s="60" t="s">
        <v>32</v>
      </c>
      <c r="P28" s="206">
        <v>0.012</v>
      </c>
      <c r="Q28" s="191" t="s">
        <v>79</v>
      </c>
    </row>
    <row r="29" ht="15.75" customHeight="1">
      <c r="A29" s="76"/>
      <c r="B29" s="21"/>
      <c r="C29" s="53"/>
      <c r="D29" s="86" t="s">
        <v>45</v>
      </c>
      <c r="E29" s="86" t="s">
        <v>46</v>
      </c>
      <c r="F29" s="86"/>
      <c r="G29" s="86" t="s">
        <v>47</v>
      </c>
      <c r="H29" s="86" t="s">
        <v>48</v>
      </c>
      <c r="I29" s="86" t="s">
        <v>49</v>
      </c>
      <c r="J29" s="86" t="s">
        <v>50</v>
      </c>
      <c r="M29" s="60" t="s">
        <v>33</v>
      </c>
      <c r="P29" s="207">
        <f>(Q26)/(C30-P28)</f>
        <v>69209901884</v>
      </c>
    </row>
    <row r="30" ht="15.75" customHeight="1">
      <c r="A30" s="81" t="s">
        <v>51</v>
      </c>
      <c r="B30" s="21"/>
      <c r="C30" s="87">
        <f>(D30/G30)*I30+(E30/G30)*H30*(1-J30)</f>
        <v>0.08579016245</v>
      </c>
      <c r="D30" s="208">
        <f>C34*M2</f>
        <v>40968704000</v>
      </c>
      <c r="E30" s="208">
        <f>(1139 + 15380) * 10^6</f>
        <v>16519000000</v>
      </c>
      <c r="F30" s="89"/>
      <c r="G30" s="86">
        <f>D30+E30</f>
        <v>57487704000</v>
      </c>
      <c r="H30" s="209">
        <v>0.0508</v>
      </c>
      <c r="I30" s="91">
        <f>C6</f>
        <v>0.1042</v>
      </c>
      <c r="J30" s="91">
        <v>0.21</v>
      </c>
      <c r="M30" s="60" t="s">
        <v>34</v>
      </c>
      <c r="N30" s="60"/>
      <c r="O30" s="60"/>
      <c r="P30" s="207">
        <f>P29/(1+C6)^11</f>
        <v>23261786357</v>
      </c>
    </row>
    <row r="31" ht="15.75" customHeight="1">
      <c r="A31" s="92"/>
      <c r="B31" s="20"/>
      <c r="C31" s="21"/>
      <c r="D31" s="26"/>
      <c r="E31" s="26"/>
      <c r="F31" s="26"/>
      <c r="G31" s="26"/>
      <c r="H31" s="26"/>
      <c r="I31" s="26"/>
      <c r="J31" s="26"/>
      <c r="K31" s="26"/>
      <c r="L31" s="26"/>
      <c r="M31" s="26"/>
      <c r="N31" s="26"/>
      <c r="O31" s="26"/>
      <c r="P31" s="26"/>
    </row>
    <row r="32" ht="18.75" customHeight="1">
      <c r="A32" s="93" t="s">
        <v>52</v>
      </c>
      <c r="B32" s="21"/>
      <c r="C32" s="94">
        <f>SUM(G27:P27) + P30</f>
        <v>52275064648</v>
      </c>
      <c r="D32" s="26"/>
      <c r="E32" s="26"/>
      <c r="F32" s="95"/>
      <c r="G32" s="31" t="s">
        <v>53</v>
      </c>
      <c r="P32" s="26"/>
    </row>
    <row r="33" ht="47.25" customHeight="1">
      <c r="A33" s="93" t="s">
        <v>54</v>
      </c>
      <c r="B33" s="21"/>
      <c r="C33" s="94">
        <f>C32-E30</f>
        <v>35756064648</v>
      </c>
      <c r="D33" s="26"/>
      <c r="E33" s="26"/>
      <c r="F33" s="95"/>
      <c r="G33" s="210" t="s">
        <v>101</v>
      </c>
      <c r="P33" s="26"/>
    </row>
    <row r="34" ht="71.25" customHeight="1">
      <c r="A34" s="93" t="s">
        <v>56</v>
      </c>
      <c r="B34" s="21"/>
      <c r="C34" s="208">
        <f>454.4*10^6</f>
        <v>454400000</v>
      </c>
      <c r="D34" s="26"/>
      <c r="E34" s="26"/>
      <c r="F34" s="95"/>
      <c r="G34" s="70"/>
      <c r="P34" s="26"/>
    </row>
    <row r="35" ht="15.75" customHeight="1">
      <c r="A35" s="93" t="s">
        <v>57</v>
      </c>
      <c r="B35" s="21"/>
      <c r="C35" s="94">
        <f>C33/C34</f>
        <v>78.68852255</v>
      </c>
      <c r="D35" s="26"/>
      <c r="E35" s="26"/>
      <c r="F35" s="26"/>
      <c r="G35" s="26"/>
      <c r="H35" s="26"/>
      <c r="I35" s="26"/>
      <c r="J35" s="26"/>
      <c r="K35" s="26"/>
      <c r="L35" s="26"/>
      <c r="M35" s="26"/>
      <c r="N35" s="26"/>
      <c r="O35" s="26"/>
      <c r="P35" s="26"/>
    </row>
    <row r="36" ht="15.75" customHeight="1">
      <c r="A36" s="75" t="s">
        <v>58</v>
      </c>
      <c r="B36" s="21"/>
      <c r="C36" s="44" t="s">
        <v>30</v>
      </c>
      <c r="D36" s="44">
        <v>2022.0</v>
      </c>
      <c r="E36" s="44">
        <v>2023.0</v>
      </c>
      <c r="F36" s="44">
        <v>2024.0</v>
      </c>
      <c r="G36" s="47">
        <v>2025.0</v>
      </c>
      <c r="H36" s="47">
        <v>2026.0</v>
      </c>
      <c r="I36" s="47">
        <v>2027.0</v>
      </c>
      <c r="J36" s="47">
        <v>2028.0</v>
      </c>
      <c r="K36" s="47">
        <v>2029.0</v>
      </c>
      <c r="L36" s="47">
        <v>2030.0</v>
      </c>
      <c r="M36" s="47">
        <v>2031.0</v>
      </c>
      <c r="N36" s="47">
        <v>2032.0</v>
      </c>
      <c r="O36" s="47">
        <v>2033.0</v>
      </c>
      <c r="P36" s="47">
        <v>2034.0</v>
      </c>
      <c r="Q36" s="47">
        <v>2035.0</v>
      </c>
      <c r="R36" s="191" t="s">
        <v>78</v>
      </c>
    </row>
    <row r="37" ht="15.75" customHeight="1">
      <c r="A37" s="76"/>
      <c r="B37" s="21"/>
      <c r="C37" s="77" t="s">
        <v>30</v>
      </c>
      <c r="D37" s="202">
        <f>D26-(421*10^6) * (1-J30) + (1147*10^6)</f>
        <v>-687590000</v>
      </c>
      <c r="E37" s="202">
        <f>E26-(478*10^6) * (1-J30) + (163*10^6)</f>
        <v>3624380000</v>
      </c>
      <c r="F37" s="202">
        <f>F26-(502*10^6) * (1-J30) + (147*10^6)</f>
        <v>4229420000</v>
      </c>
      <c r="G37" s="203">
        <f>F37*(1+P28)</f>
        <v>4280173040</v>
      </c>
      <c r="H37" s="203">
        <f>G37*(1+P28)</f>
        <v>4331535116</v>
      </c>
      <c r="I37" s="203">
        <f>H37*(1+P28)</f>
        <v>4383513538</v>
      </c>
      <c r="J37" s="203">
        <f>I37*(1+P28)</f>
        <v>4436115700</v>
      </c>
      <c r="K37" s="203">
        <f>J37*(1+P28)</f>
        <v>4489349089</v>
      </c>
      <c r="L37" s="203">
        <f>K37*(1+P28)</f>
        <v>4543221278</v>
      </c>
      <c r="M37" s="203">
        <f>L37*(1+P28)</f>
        <v>4597739933</v>
      </c>
      <c r="N37" s="203">
        <f>M37*(1+P28)</f>
        <v>4652912812</v>
      </c>
      <c r="O37" s="203">
        <f>N37*(1+P28)</f>
        <v>4708747766</v>
      </c>
      <c r="P37" s="203">
        <f>O37*(1+P28)</f>
        <v>4765252739</v>
      </c>
      <c r="Q37" s="204">
        <f>P37*(1+P28)</f>
        <v>4822435772</v>
      </c>
      <c r="R37" s="191" t="s">
        <v>84</v>
      </c>
    </row>
    <row r="38" ht="15.75" customHeight="1">
      <c r="A38" s="81"/>
      <c r="B38" s="21"/>
      <c r="C38" s="82" t="s">
        <v>30</v>
      </c>
      <c r="D38" s="82" t="s">
        <v>30</v>
      </c>
      <c r="E38" s="82" t="s">
        <v>30</v>
      </c>
      <c r="F38" s="82"/>
      <c r="G38" s="201">
        <f>G37/(1+C6)^1</f>
        <v>3876266111</v>
      </c>
      <c r="H38" s="201">
        <f>H37/(1+C6)^2</f>
        <v>3552600348</v>
      </c>
      <c r="I38" s="201">
        <f>I37/(1+C6)^3</f>
        <v>3255960471</v>
      </c>
      <c r="J38" s="201">
        <f>J37/(1+C6)^4</f>
        <v>2984089836</v>
      </c>
      <c r="K38" s="201">
        <f>K37/(1+C6)^5</f>
        <v>2734920226</v>
      </c>
      <c r="L38" s="201">
        <f>L37/(1+C6)^6</f>
        <v>2506556121</v>
      </c>
      <c r="M38" s="201">
        <f>M37/(1+C6)^7</f>
        <v>2297260274</v>
      </c>
      <c r="N38" s="201">
        <f>N37/(1+C6)^8</f>
        <v>2105440498</v>
      </c>
      <c r="O38" s="201">
        <f>O37/(1+C6)^9</f>
        <v>1929637551</v>
      </c>
      <c r="P38" s="201">
        <f>P37/(1+C6)^10</f>
        <v>1768514039</v>
      </c>
      <c r="Q38" s="82" t="s">
        <v>30</v>
      </c>
    </row>
    <row r="39" ht="15.75" customHeight="1">
      <c r="A39" s="84"/>
      <c r="B39" s="84"/>
      <c r="C39" s="56"/>
      <c r="D39" s="56"/>
      <c r="E39" s="56"/>
      <c r="F39" s="56"/>
      <c r="G39" s="56"/>
      <c r="H39" s="56"/>
      <c r="I39" s="57">
        <f>J37/(1+C6)^1</f>
        <v>4017492936</v>
      </c>
      <c r="J39" s="57"/>
      <c r="M39" s="60" t="s">
        <v>32</v>
      </c>
      <c r="P39" s="206">
        <v>0.012</v>
      </c>
      <c r="Q39" s="191" t="s">
        <v>79</v>
      </c>
    </row>
    <row r="40" ht="15.75" customHeight="1">
      <c r="A40" s="93" t="s">
        <v>54</v>
      </c>
      <c r="B40" s="21"/>
      <c r="C40" s="94">
        <f>SUM(G38:P38)+P41</f>
        <v>53439170018</v>
      </c>
      <c r="D40" s="56"/>
      <c r="E40" s="98" t="s">
        <v>59</v>
      </c>
      <c r="M40" s="60" t="s">
        <v>33</v>
      </c>
      <c r="P40" s="207">
        <f>Q37/(C30-P39)</f>
        <v>65353369776</v>
      </c>
    </row>
    <row r="41" ht="15.75" customHeight="1">
      <c r="A41" s="93" t="s">
        <v>56</v>
      </c>
      <c r="B41" s="21"/>
      <c r="C41" s="208">
        <f>C34</f>
        <v>454400000</v>
      </c>
      <c r="D41" s="56"/>
      <c r="E41" s="211" t="s">
        <v>102</v>
      </c>
      <c r="M41" s="60" t="s">
        <v>34</v>
      </c>
      <c r="N41" s="60"/>
      <c r="O41" s="60"/>
      <c r="P41" s="207">
        <f>P40/(1+C30)^11</f>
        <v>26427924542</v>
      </c>
    </row>
    <row r="42" ht="15.75" customHeight="1">
      <c r="A42" s="93" t="s">
        <v>57</v>
      </c>
      <c r="B42" s="21"/>
      <c r="C42" s="94">
        <f>C40/C41</f>
        <v>117.6038073</v>
      </c>
      <c r="D42" s="56"/>
    </row>
    <row r="43" ht="15.75" customHeight="1">
      <c r="D43" s="100"/>
    </row>
    <row r="44" ht="15.75" customHeight="1">
      <c r="A44" s="101" t="s">
        <v>61</v>
      </c>
      <c r="B44" s="102"/>
      <c r="C44" s="102"/>
      <c r="D44" s="103"/>
      <c r="E44" s="104"/>
      <c r="F44" s="104"/>
      <c r="G44" s="104"/>
      <c r="H44" s="105"/>
      <c r="I44" s="105"/>
      <c r="L44" s="64" t="s">
        <v>37</v>
      </c>
    </row>
    <row r="45" ht="15.75" customHeight="1">
      <c r="A45" s="26"/>
      <c r="B45" s="26" t="s">
        <v>62</v>
      </c>
      <c r="C45" s="107"/>
      <c r="D45" s="107"/>
      <c r="E45" s="107"/>
      <c r="F45" s="107"/>
      <c r="G45" s="107"/>
      <c r="L45" s="200" t="s">
        <v>103</v>
      </c>
    </row>
    <row r="46" ht="15.75" customHeight="1">
      <c r="A46" s="26"/>
      <c r="B46" s="26" t="s">
        <v>51</v>
      </c>
      <c r="C46" s="199">
        <v>0.0658</v>
      </c>
      <c r="D46" s="199">
        <v>0.0758</v>
      </c>
      <c r="E46" s="199">
        <v>0.0858</v>
      </c>
      <c r="F46" s="199">
        <v>0.0958</v>
      </c>
      <c r="G46" s="199">
        <v>0.1058</v>
      </c>
      <c r="H46" s="212" t="s">
        <v>104</v>
      </c>
      <c r="L46" s="70"/>
    </row>
    <row r="47" ht="15.75" customHeight="1">
      <c r="A47" s="26"/>
      <c r="B47" s="107" t="s">
        <v>57</v>
      </c>
      <c r="C47" s="94">
        <v>97.71</v>
      </c>
      <c r="D47" s="94">
        <v>86.7</v>
      </c>
      <c r="E47" s="94">
        <v>78.69</v>
      </c>
      <c r="F47" s="94">
        <v>72.57</v>
      </c>
      <c r="G47" s="94">
        <v>67.77</v>
      </c>
      <c r="H47" s="191" t="s">
        <v>105</v>
      </c>
      <c r="L47" s="70"/>
    </row>
    <row r="48" ht="15.75" customHeight="1">
      <c r="A48" s="26"/>
      <c r="B48" s="65" t="s">
        <v>41</v>
      </c>
      <c r="C48" s="199">
        <v>0.005</v>
      </c>
      <c r="D48" s="199">
        <v>0.015</v>
      </c>
      <c r="E48" s="199">
        <v>0.025</v>
      </c>
      <c r="F48" s="199">
        <v>0.035</v>
      </c>
      <c r="G48" s="199">
        <v>0.045</v>
      </c>
      <c r="H48" s="107" t="s">
        <v>106</v>
      </c>
      <c r="L48" s="70"/>
    </row>
    <row r="49" ht="15.75" customHeight="1">
      <c r="A49" s="26"/>
      <c r="B49" s="107" t="s">
        <v>57</v>
      </c>
      <c r="C49" s="94">
        <v>68.71</v>
      </c>
      <c r="D49" s="94">
        <v>83.55</v>
      </c>
      <c r="E49" s="94">
        <v>103.13</v>
      </c>
      <c r="F49" s="94">
        <v>130.24</v>
      </c>
      <c r="G49" s="94">
        <v>170.39</v>
      </c>
      <c r="H49" s="26"/>
      <c r="L49" s="70"/>
    </row>
    <row r="50" ht="15.75" customHeight="1">
      <c r="L50" s="70"/>
    </row>
    <row r="51" ht="15.75" customHeight="1">
      <c r="A51" s="110" t="s">
        <v>64</v>
      </c>
      <c r="B51" s="102"/>
      <c r="C51" s="102"/>
      <c r="D51" s="102"/>
      <c r="E51" s="102"/>
      <c r="F51" s="102"/>
      <c r="G51" s="102"/>
      <c r="H51" s="103"/>
    </row>
    <row r="52" ht="15.75" customHeight="1">
      <c r="A52" s="81" t="s">
        <v>65</v>
      </c>
      <c r="B52" s="21"/>
      <c r="C52" s="94">
        <f>C53/C54</f>
        <v>10.47154472</v>
      </c>
    </row>
    <row r="53" ht="15.75" customHeight="1">
      <c r="A53" s="26"/>
      <c r="B53" s="26" t="s">
        <v>66</v>
      </c>
      <c r="C53" s="48">
        <f>M2</f>
        <v>90.16</v>
      </c>
    </row>
    <row r="54" ht="15.75" customHeight="1">
      <c r="A54" s="26"/>
      <c r="B54" s="26" t="s">
        <v>67</v>
      </c>
      <c r="C54" s="202">
        <v>8.61</v>
      </c>
    </row>
    <row r="55" ht="15.75" customHeight="1">
      <c r="A55" s="81" t="s">
        <v>68</v>
      </c>
      <c r="B55" s="21"/>
      <c r="C55" s="94">
        <f>C56/C57</f>
        <v>10.01777778</v>
      </c>
    </row>
    <row r="56" ht="15.75" customHeight="1">
      <c r="A56" s="26"/>
      <c r="B56" s="26" t="s">
        <v>66</v>
      </c>
      <c r="C56" s="48">
        <f>M2</f>
        <v>90.16</v>
      </c>
    </row>
    <row r="57" ht="15.75" customHeight="1">
      <c r="A57" s="26"/>
      <c r="B57" s="26" t="s">
        <v>69</v>
      </c>
      <c r="C57" s="202">
        <v>9.0</v>
      </c>
    </row>
    <row r="58" ht="15.75" customHeight="1">
      <c r="A58" s="81" t="s">
        <v>70</v>
      </c>
      <c r="B58" s="21"/>
      <c r="C58" s="213">
        <f>C59/C60</f>
        <v>0.3878143128</v>
      </c>
    </row>
    <row r="59" ht="15.75" customHeight="1">
      <c r="A59" s="26"/>
      <c r="B59" s="26" t="s">
        <v>66</v>
      </c>
      <c r="C59" s="48">
        <f>M2</f>
        <v>90.16</v>
      </c>
    </row>
    <row r="60" ht="15.75" customHeight="1">
      <c r="A60" s="26"/>
      <c r="B60" s="26" t="s">
        <v>71</v>
      </c>
      <c r="C60" s="202">
        <f>(105640*10^6)/C41</f>
        <v>232.4823944</v>
      </c>
    </row>
    <row r="61" ht="15.75" customHeight="1">
      <c r="A61" s="81" t="s">
        <v>72</v>
      </c>
      <c r="B61" s="21"/>
      <c r="C61" s="94">
        <f>C62-C63</f>
        <v>3.787639155</v>
      </c>
    </row>
    <row r="62" ht="15.75" customHeight="1">
      <c r="B62" s="214" t="s">
        <v>66</v>
      </c>
      <c r="C62" s="48">
        <f>M2</f>
        <v>90.16</v>
      </c>
    </row>
    <row r="63" ht="15.75" customHeight="1">
      <c r="B63" s="214" t="s">
        <v>73</v>
      </c>
      <c r="C63" s="202">
        <f>C57/C6</f>
        <v>86.37236084</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42:B42"/>
    <mergeCell ref="A44:D44"/>
    <mergeCell ref="L44:Q44"/>
    <mergeCell ref="A36:B36"/>
    <mergeCell ref="A37:B37"/>
    <mergeCell ref="A38:B38"/>
    <mergeCell ref="A40:B40"/>
    <mergeCell ref="E40:K40"/>
    <mergeCell ref="A41:B41"/>
    <mergeCell ref="E41:K43"/>
    <mergeCell ref="A1:H1"/>
    <mergeCell ref="A2:H2"/>
    <mergeCell ref="J2:L2"/>
    <mergeCell ref="C3:H3"/>
    <mergeCell ref="C4:H4"/>
    <mergeCell ref="C5:H5"/>
    <mergeCell ref="C6:H6"/>
    <mergeCell ref="A7:H7"/>
    <mergeCell ref="I7:Q7"/>
    <mergeCell ref="A8:H8"/>
    <mergeCell ref="I8:Q9"/>
    <mergeCell ref="A9:H9"/>
    <mergeCell ref="A10:B10"/>
    <mergeCell ref="C10:E10"/>
    <mergeCell ref="M28:O28"/>
    <mergeCell ref="M29:O29"/>
    <mergeCell ref="M39:O39"/>
    <mergeCell ref="M40:O40"/>
    <mergeCell ref="L45:Q50"/>
    <mergeCell ref="G10:Q10"/>
    <mergeCell ref="M14:O14"/>
    <mergeCell ref="M15:O15"/>
    <mergeCell ref="C17:H17"/>
    <mergeCell ref="C18:H18"/>
    <mergeCell ref="I19:N19"/>
    <mergeCell ref="I20:N23"/>
    <mergeCell ref="A19:H19"/>
    <mergeCell ref="A24:H24"/>
    <mergeCell ref="A25:B25"/>
    <mergeCell ref="A26:B26"/>
    <mergeCell ref="A27:B27"/>
    <mergeCell ref="A29:B29"/>
    <mergeCell ref="A30:B30"/>
    <mergeCell ref="A31:C31"/>
    <mergeCell ref="A32:B32"/>
    <mergeCell ref="G32:O32"/>
    <mergeCell ref="A33:B33"/>
    <mergeCell ref="G33:O34"/>
    <mergeCell ref="A34:B34"/>
    <mergeCell ref="A35:B35"/>
    <mergeCell ref="A51:H51"/>
    <mergeCell ref="A52:B52"/>
    <mergeCell ref="A55:B55"/>
    <mergeCell ref="A58:B58"/>
    <mergeCell ref="A61:B6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2018-09-26T19:00:36Z</dcterms:created>
  <dc:creator>Hsu, Alex</dc:creator>
</cp:coreProperties>
</file>