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exchange" sheetId="1" r:id="rId4"/>
    <sheet state="visible" name="stockexchageass" sheetId="2" r:id="rId5"/>
  </sheets>
  <definedNames/>
  <calcPr/>
</workbook>
</file>

<file path=xl/sharedStrings.xml><?xml version="1.0" encoding="utf-8"?>
<sst xmlns="http://schemas.openxmlformats.org/spreadsheetml/2006/main" count="58" uniqueCount="49">
  <si>
    <t>ticker</t>
  </si>
  <si>
    <t>company</t>
  </si>
  <si>
    <t>price</t>
  </si>
  <si>
    <t>change</t>
  </si>
  <si>
    <t>changepercentage</t>
  </si>
  <si>
    <t>market cap</t>
  </si>
  <si>
    <t>PE</t>
  </si>
  <si>
    <t>volume</t>
  </si>
  <si>
    <t>average volume</t>
  </si>
  <si>
    <t>msft</t>
  </si>
  <si>
    <t>aapl</t>
  </si>
  <si>
    <t>tsla</t>
  </si>
  <si>
    <t>jnj</t>
  </si>
  <si>
    <t>wmt</t>
  </si>
  <si>
    <t>ko</t>
  </si>
  <si>
    <t>pep</t>
  </si>
  <si>
    <t>mrk</t>
  </si>
  <si>
    <t>amzn</t>
  </si>
  <si>
    <t>ma</t>
  </si>
  <si>
    <t>pg</t>
  </si>
  <si>
    <t>v</t>
  </si>
  <si>
    <t>goog</t>
  </si>
  <si>
    <t>f</t>
  </si>
  <si>
    <t>tcs</t>
  </si>
  <si>
    <t>bsc</t>
  </si>
  <si>
    <t>m&amp;m</t>
  </si>
  <si>
    <t>infy</t>
  </si>
  <si>
    <t>sbin</t>
  </si>
  <si>
    <t>reliance</t>
  </si>
  <si>
    <t>YESBANK</t>
  </si>
  <si>
    <t>NVDA</t>
  </si>
  <si>
    <t>MARA</t>
  </si>
  <si>
    <t>INFY</t>
  </si>
  <si>
    <t>BHARTIARTL</t>
  </si>
  <si>
    <t>JHX</t>
  </si>
  <si>
    <t>ONGC</t>
  </si>
  <si>
    <t>META</t>
  </si>
  <si>
    <t>BRK</t>
  </si>
  <si>
    <t>BPCL</t>
  </si>
  <si>
    <t>NESTLEIND</t>
  </si>
  <si>
    <t>JPM</t>
  </si>
  <si>
    <t>BAC</t>
  </si>
  <si>
    <t>WFC</t>
  </si>
  <si>
    <t>XOM</t>
  </si>
  <si>
    <t>CVX</t>
  </si>
  <si>
    <t>OXY</t>
  </si>
  <si>
    <t>COST</t>
  </si>
  <si>
    <t>TGT</t>
  </si>
  <si>
    <t>HD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</si>
</sst>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4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6" max="6" width="15.25"/>
    <col customWidth="1" min="7" max="7" width="18.63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B4" s="2" t="s">
        <v>9</v>
      </c>
      <c r="C4" s="3" t="str">
        <f>IFERROR(__xludf.DUMMYFUNCTION("googlefinance(B4,""name"")"),"Microsoft Corp")</f>
        <v>Microsoft Corp</v>
      </c>
      <c r="D4" s="3">
        <f>IFERROR(__xludf.DUMMYFUNCTION("GOOGLEFINANCE(B4,""price"")"),418.79)</f>
        <v>418.79</v>
      </c>
      <c r="E4" s="3">
        <f>IFERROR(__xludf.DUMMYFUNCTION("GOOGLEFINANCE(B4,""change"")"),1.79)</f>
        <v>1.79</v>
      </c>
      <c r="F4" s="3">
        <f>IFERROR(__xludf.DUMMYFUNCTION("GOOGLEFINANCE(B4,""changepct"")/100"),0.0043)</f>
        <v>0.0043</v>
      </c>
      <c r="G4" s="3">
        <f>IFERROR(__xludf.DUMMYFUNCTION("GOOGLEFINANCE(B4,""marketcap"")"),3.11365345873E12)</f>
        <v>3113653458730</v>
      </c>
      <c r="H4" s="3">
        <f>IFERROR(__xludf.DUMMYFUNCTION("GOOGLEFINANCE(B4,""PE"")"),34.57)</f>
        <v>34.57</v>
      </c>
      <c r="I4" s="3">
        <f>IFERROR(__xludf.DUMMYFUNCTION("GOOGLEFINANCE(B4,""volume"")"),22868.0)</f>
        <v>22868</v>
      </c>
      <c r="J4" s="3">
        <f>IFERROR(__xludf.DUMMYFUNCTION("GOOGLEFINANCE(B4,""volumeavg"")"),2.1522128E7)</f>
        <v>21522128</v>
      </c>
    </row>
    <row r="5">
      <c r="B5" s="2" t="s">
        <v>10</v>
      </c>
      <c r="C5" s="3" t="str">
        <f>IFERROR(__xludf.DUMMYFUNCTION("googlefinance(B5,""name"")"),"Apple Inc")</f>
        <v>Apple Inc</v>
      </c>
      <c r="D5" s="3">
        <f>IFERROR(__xludf.DUMMYFUNCTION("GOOGLEFINANCE(B5,""price"")"),232.87)</f>
        <v>232.87</v>
      </c>
      <c r="E5" s="3">
        <f>IFERROR(__xludf.DUMMYFUNCTION("GOOGLEFINANCE(B5,""change"")"),3.0)</f>
        <v>3</v>
      </c>
      <c r="F5" s="3">
        <f>IFERROR(__xludf.DUMMYFUNCTION("GOOGLEFINANCE(B5,""changepct"")/100"),0.0131)</f>
        <v>0.0131</v>
      </c>
      <c r="G5" s="3">
        <f>IFERROR(__xludf.DUMMYFUNCTION("GOOGLEFINANCE(B5,""marketcap"")"),3.520020929592E12)</f>
        <v>3520020929592</v>
      </c>
      <c r="H5" s="3">
        <f>IFERROR(__xludf.DUMMYFUNCTION("GOOGLEFINANCE(B5,""PE"")"),38.28)</f>
        <v>38.28</v>
      </c>
      <c r="I5" s="3">
        <f>IFERROR(__xludf.DUMMYFUNCTION("GOOGLEFINANCE(B5,""volume"")"),55407.0)</f>
        <v>55407</v>
      </c>
      <c r="J5" s="3">
        <f>IFERROR(__xludf.DUMMYFUNCTION("GOOGLEFINANCE(B5,""volumeavg"")"),4.3063578E7)</f>
        <v>43063578</v>
      </c>
    </row>
    <row r="6">
      <c r="B6" s="2" t="s">
        <v>11</v>
      </c>
      <c r="C6" s="3" t="str">
        <f>IFERROR(__xludf.DUMMYFUNCTION("googlefinance(B6,""name"")"),"Tesla Inc")</f>
        <v>Tesla Inc</v>
      </c>
      <c r="D6" s="3">
        <f>IFERROR(__xludf.DUMMYFUNCTION("GOOGLEFINANCE(B6,""price"")"),338.59)</f>
        <v>338.59</v>
      </c>
      <c r="E6" s="3">
        <f>IFERROR(__xludf.DUMMYFUNCTION("GOOGLEFINANCE(B6,""change"")"),-13.97)</f>
        <v>-13.97</v>
      </c>
      <c r="F6" s="3">
        <f>IFERROR(__xludf.DUMMYFUNCTION("GOOGLEFINANCE(B6,""changepct"")/100"),-0.039599999999999996)</f>
        <v>-0.0396</v>
      </c>
      <c r="G6" s="3">
        <f>IFERROR(__xludf.DUMMYFUNCTION("GOOGLEFINANCE(B6,""marketcap"")"),1.060961595824E12)</f>
        <v>1060961595824</v>
      </c>
      <c r="H6" s="3">
        <f>IFERROR(__xludf.DUMMYFUNCTION("GOOGLEFINANCE(B6,""PE"")"),92.84)</f>
        <v>92.84</v>
      </c>
      <c r="I6" s="3">
        <f>IFERROR(__xludf.DUMMYFUNCTION("GOOGLEFINANCE(B6,""volume"")"),414154.0)</f>
        <v>414154</v>
      </c>
      <c r="J6" s="3">
        <f>IFERROR(__xludf.DUMMYFUNCTION("GOOGLEFINANCE(B6,""volumeavg"")"),9.9478792E7)</f>
        <v>99478792</v>
      </c>
    </row>
    <row r="7">
      <c r="B7" s="2" t="s">
        <v>12</v>
      </c>
      <c r="C7" s="3" t="str">
        <f>IFERROR(__xludf.DUMMYFUNCTION("googlefinance(B7,""name"")"),"Johnson &amp; Johnson")</f>
        <v>Johnson &amp; Johnson</v>
      </c>
      <c r="D7" s="3">
        <f>IFERROR(__xludf.DUMMYFUNCTION("GOOGLEFINANCE(B7,""price"")"),155.78)</f>
        <v>155.78</v>
      </c>
      <c r="E7" s="3">
        <f>IFERROR(__xludf.DUMMYFUNCTION("GOOGLEFINANCE(B7,""change"")"),0.61)</f>
        <v>0.61</v>
      </c>
      <c r="F7" s="3">
        <f>IFERROR(__xludf.DUMMYFUNCTION("GOOGLEFINANCE(B7,""changepct"")/100"),0.0039000000000000003)</f>
        <v>0.0039</v>
      </c>
      <c r="G7" s="3">
        <f>IFERROR(__xludf.DUMMYFUNCTION("GOOGLEFINANCE(B7,""marketcap"")"),3.75059352221E11)</f>
        <v>375059352221</v>
      </c>
      <c r="H7" s="3">
        <f>IFERROR(__xludf.DUMMYFUNCTION("GOOGLEFINANCE(B7,""PE"")"),25.75)</f>
        <v>25.75</v>
      </c>
      <c r="I7" s="3">
        <f>IFERROR(__xludf.DUMMYFUNCTION("GOOGLEFINANCE(B7,""volume"")"),746.0)</f>
        <v>746</v>
      </c>
      <c r="J7" s="3">
        <f>IFERROR(__xludf.DUMMYFUNCTION("GOOGLEFINANCE(B7,""volumeavg"")"),7142049.0)</f>
        <v>7142049</v>
      </c>
    </row>
    <row r="8">
      <c r="B8" s="2" t="s">
        <v>13</v>
      </c>
      <c r="C8" s="3" t="str">
        <f>IFERROR(__xludf.DUMMYFUNCTION("googlefinance(B8,""name"")"),"Walmart Inc")</f>
        <v>Walmart Inc</v>
      </c>
      <c r="D8" s="3">
        <f>IFERROR(__xludf.DUMMYFUNCTION("GOOGLEFINANCE(B8,""price"")"),89.5)</f>
        <v>89.5</v>
      </c>
      <c r="E8" s="3">
        <f>IFERROR(__xludf.DUMMYFUNCTION("GOOGLEFINANCE(B8,""change"")"),-0.94)</f>
        <v>-0.94</v>
      </c>
      <c r="F8" s="3">
        <f>IFERROR(__xludf.DUMMYFUNCTION("GOOGLEFINANCE(B8,""changepct"")/100"),-0.0104)</f>
        <v>-0.0104</v>
      </c>
      <c r="G8" s="3">
        <f>IFERROR(__xludf.DUMMYFUNCTION("GOOGLEFINANCE(B8,""marketcap"")"),7.19423375E11)</f>
        <v>719423375000</v>
      </c>
      <c r="H8" s="3">
        <f>IFERROR(__xludf.DUMMYFUNCTION("GOOGLEFINANCE(B8,""PE"")"),46.56)</f>
        <v>46.56</v>
      </c>
      <c r="I8" s="3">
        <f>IFERROR(__xludf.DUMMYFUNCTION("GOOGLEFINANCE(B8,""volume"")"),2987.0)</f>
        <v>2987</v>
      </c>
      <c r="J8" s="3">
        <f>IFERROR(__xludf.DUMMYFUNCTION("GOOGLEFINANCE(B8,""volumeavg"")"),1.424961E7)</f>
        <v>14249610</v>
      </c>
    </row>
    <row r="9">
      <c r="B9" s="2" t="s">
        <v>14</v>
      </c>
      <c r="C9" s="3" t="str">
        <f>IFERROR(__xludf.DUMMYFUNCTION("googlefinance(B9,""name"")"),"Coca-Cola Co")</f>
        <v>Coca-Cola Co</v>
      </c>
      <c r="D9" s="3">
        <f>IFERROR(__xludf.DUMMYFUNCTION("GOOGLEFINANCE(B9,""price"")"),64.38)</f>
        <v>64.38</v>
      </c>
      <c r="E9" s="3">
        <f>IFERROR(__xludf.DUMMYFUNCTION("GOOGLEFINANCE(B9,""change"")"),0.46)</f>
        <v>0.46</v>
      </c>
      <c r="F9" s="3">
        <f>IFERROR(__xludf.DUMMYFUNCTION("GOOGLEFINANCE(B9,""changepct"")/100"),0.0072)</f>
        <v>0.0072</v>
      </c>
      <c r="G9" s="3">
        <f>IFERROR(__xludf.DUMMYFUNCTION("GOOGLEFINANCE(B9,""marketcap"")"),2.77335959028E11)</f>
        <v>277335959028</v>
      </c>
      <c r="H9" s="3">
        <f>IFERROR(__xludf.DUMMYFUNCTION("GOOGLEFINANCE(B9,""PE"")"),26.74)</f>
        <v>26.74</v>
      </c>
      <c r="I9" s="3">
        <f>IFERROR(__xludf.DUMMYFUNCTION("GOOGLEFINANCE(B9,""volume"")"),7646.0)</f>
        <v>7646</v>
      </c>
      <c r="J9" s="3">
        <f>IFERROR(__xludf.DUMMYFUNCTION("GOOGLEFINANCE(B9,""volumeavg"")"),1.5046122E7)</f>
        <v>15046122</v>
      </c>
    </row>
    <row r="10">
      <c r="B10" s="2" t="s">
        <v>15</v>
      </c>
      <c r="C10" s="3" t="str">
        <f>IFERROR(__xludf.DUMMYFUNCTION("googlefinance(B10,""name"")"),"PepsiCo Inc")</f>
        <v>PepsiCo Inc</v>
      </c>
      <c r="D10" s="3">
        <f>IFERROR(__xludf.DUMMYFUNCTION("GOOGLEFINANCE(B10,""price"")"),163.05)</f>
        <v>163.05</v>
      </c>
      <c r="E10" s="3">
        <f>IFERROR(__xludf.DUMMYFUNCTION("GOOGLEFINANCE(B10,""change"")"),1.05)</f>
        <v>1.05</v>
      </c>
      <c r="F10" s="3">
        <f>IFERROR(__xludf.DUMMYFUNCTION("GOOGLEFINANCE(B10,""changepct"")/100"),0.006500000000000001)</f>
        <v>0.0065</v>
      </c>
      <c r="G10" s="3">
        <f>IFERROR(__xludf.DUMMYFUNCTION("GOOGLEFINANCE(B10,""marketcap"")"),2.23702647586E11)</f>
        <v>223702647586</v>
      </c>
      <c r="H10" s="3">
        <f>IFERROR(__xludf.DUMMYFUNCTION("GOOGLEFINANCE(B10,""PE"")"),24.03)</f>
        <v>24.03</v>
      </c>
      <c r="I10" s="3">
        <f>IFERROR(__xludf.DUMMYFUNCTION("GOOGLEFINANCE(B10,""volume"")"),137.0)</f>
        <v>137</v>
      </c>
      <c r="J10" s="3">
        <f>IFERROR(__xludf.DUMMYFUNCTION("GOOGLEFINANCE(B10,""volumeavg"")"),5334581.0)</f>
        <v>5334581</v>
      </c>
    </row>
    <row r="11">
      <c r="B11" s="2" t="s">
        <v>16</v>
      </c>
      <c r="C11" s="3" t="str">
        <f>IFERROR(__xludf.DUMMYFUNCTION("googlefinance(B11,""name"")"),"Merck &amp; Co Inc")</f>
        <v>Merck &amp; Co Inc</v>
      </c>
      <c r="D11" s="3">
        <f>IFERROR(__xludf.DUMMYFUNCTION("GOOGLEFINANCE(B11,""price"")"),101.16)</f>
        <v>101.16</v>
      </c>
      <c r="E11" s="3">
        <f>IFERROR(__xludf.DUMMYFUNCTION("GOOGLEFINANCE(B11,""change"")"),1.98)</f>
        <v>1.98</v>
      </c>
      <c r="F11" s="3">
        <f>IFERROR(__xludf.DUMMYFUNCTION("GOOGLEFINANCE(B11,""changepct"")/100"),0.02)</f>
        <v>0.02</v>
      </c>
      <c r="G11" s="3">
        <f>IFERROR(__xludf.DUMMYFUNCTION("GOOGLEFINANCE(B11,""marketcap"")"),2.55897987023E11)</f>
        <v>255897987023</v>
      </c>
      <c r="H11" s="3">
        <f>IFERROR(__xludf.DUMMYFUNCTION("GOOGLEFINANCE(B11,""PE"")"),21.21)</f>
        <v>21.21</v>
      </c>
      <c r="I11" s="3">
        <f>IFERROR(__xludf.DUMMYFUNCTION("GOOGLEFINANCE(B11,""volume"")"),490.0)</f>
        <v>490</v>
      </c>
      <c r="J11" s="3">
        <f>IFERROR(__xludf.DUMMYFUNCTION("GOOGLEFINANCE(B11,""volumeavg"")"),1.0661082E7)</f>
        <v>10661082</v>
      </c>
    </row>
    <row r="12">
      <c r="B12" s="2" t="s">
        <v>17</v>
      </c>
      <c r="C12" s="3" t="str">
        <f>IFERROR(__xludf.DUMMYFUNCTION("googlefinance(B12,""name"")"),"Amazon.com Inc")</f>
        <v>Amazon.com Inc</v>
      </c>
      <c r="D12" s="3">
        <f>IFERROR(__xludf.DUMMYFUNCTION("GOOGLEFINANCE(B12,""price"")"),201.45)</f>
        <v>201.45</v>
      </c>
      <c r="E12" s="3">
        <f>IFERROR(__xludf.DUMMYFUNCTION("GOOGLEFINANCE(B12,""change"")"),4.33)</f>
        <v>4.33</v>
      </c>
      <c r="F12" s="3">
        <f>IFERROR(__xludf.DUMMYFUNCTION("GOOGLEFINANCE(B12,""changepct"")/100"),0.022000000000000002)</f>
        <v>0.022</v>
      </c>
      <c r="G12" s="3">
        <f>IFERROR(__xludf.DUMMYFUNCTION("GOOGLEFINANCE(B12,""marketcap"")"),2.11824873241E12)</f>
        <v>2118248732410</v>
      </c>
      <c r="H12" s="3">
        <f>IFERROR(__xludf.DUMMYFUNCTION("GOOGLEFINANCE(B12,""PE"")"),43.17)</f>
        <v>43.17</v>
      </c>
      <c r="I12" s="3">
        <f>IFERROR(__xludf.DUMMYFUNCTION("GOOGLEFINANCE(B12,""volume"")"),21750.0)</f>
        <v>21750</v>
      </c>
      <c r="J12" s="3">
        <f>IFERROR(__xludf.DUMMYFUNCTION("GOOGLEFINANCE(B12,""volumeavg"")"),4.0834772E7)</f>
        <v>40834772</v>
      </c>
    </row>
    <row r="13">
      <c r="B13" s="2" t="s">
        <v>18</v>
      </c>
      <c r="C13" s="3" t="str">
        <f>IFERROR(__xludf.DUMMYFUNCTION("googlefinance(B13,""name"")"),"Mastercard Inc")</f>
        <v>Mastercard Inc</v>
      </c>
      <c r="D13" s="3">
        <f>IFERROR(__xludf.DUMMYFUNCTION("GOOGLEFINANCE(B13,""price"")"),526.6)</f>
        <v>526.6</v>
      </c>
      <c r="E13" s="3">
        <f>IFERROR(__xludf.DUMMYFUNCTION("GOOGLEFINANCE(B13,""change"")"),5.74)</f>
        <v>5.74</v>
      </c>
      <c r="F13" s="3">
        <f>IFERROR(__xludf.DUMMYFUNCTION("GOOGLEFINANCE(B13,""changepct"")/100"),0.011000000000000001)</f>
        <v>0.011</v>
      </c>
      <c r="G13" s="3">
        <f>IFERROR(__xludf.DUMMYFUNCTION("GOOGLEFINANCE(B13,""marketcap"")"),4.83329782192E11)</f>
        <v>483329782192</v>
      </c>
      <c r="H13" s="3">
        <f>IFERROR(__xludf.DUMMYFUNCTION("GOOGLEFINANCE(B13,""PE"")"),39.8)</f>
        <v>39.8</v>
      </c>
      <c r="I13" s="3">
        <f>IFERROR(__xludf.DUMMYFUNCTION("GOOGLEFINANCE(B13,""volume"")"),3.0)</f>
        <v>3</v>
      </c>
      <c r="J13" s="3">
        <f>IFERROR(__xludf.DUMMYFUNCTION("GOOGLEFINANCE(B13,""volumeavg"")"),2584682.0)</f>
        <v>2584682</v>
      </c>
    </row>
    <row r="14">
      <c r="B14" s="2" t="s">
        <v>19</v>
      </c>
      <c r="C14" s="3" t="str">
        <f>IFERROR(__xludf.DUMMYFUNCTION("googlefinance(B14,""name"")"),"Procter &amp; Gamble Co")</f>
        <v>Procter &amp; Gamble Co</v>
      </c>
      <c r="D14" s="3">
        <f>IFERROR(__xludf.DUMMYFUNCTION("GOOGLEFINANCE(B14,""price"")"),177.39)</f>
        <v>177.39</v>
      </c>
      <c r="E14" s="3">
        <f>IFERROR(__xludf.DUMMYFUNCTION("GOOGLEFINANCE(B14,""change"")"),1.11)</f>
        <v>1.11</v>
      </c>
      <c r="F14" s="3">
        <f>IFERROR(__xludf.DUMMYFUNCTION("GOOGLEFINANCE(B14,""changepct"")/100"),0.0063)</f>
        <v>0.0063</v>
      </c>
      <c r="G14" s="3">
        <f>IFERROR(__xludf.DUMMYFUNCTION("GOOGLEFINANCE(B14,""marketcap"")"),4.17760721552E11)</f>
        <v>417760721552</v>
      </c>
      <c r="H14" s="3">
        <f>IFERROR(__xludf.DUMMYFUNCTION("GOOGLEFINANCE(B14,""PE"")"),30.6)</f>
        <v>30.6</v>
      </c>
      <c r="I14" s="3">
        <f>IFERROR(__xludf.DUMMYFUNCTION("GOOGLEFINANCE(B14,""volume"")"),157.0)</f>
        <v>157</v>
      </c>
      <c r="J14" s="3">
        <f>IFERROR(__xludf.DUMMYFUNCTION("GOOGLEFINANCE(B14,""volumeavg"")"),6707409.0)</f>
        <v>6707409</v>
      </c>
    </row>
    <row r="15">
      <c r="B15" s="2" t="s">
        <v>20</v>
      </c>
      <c r="C15" s="3" t="str">
        <f>IFERROR(__xludf.DUMMYFUNCTION("googlefinance(B15,""name"")"),"Visa Inc")</f>
        <v>Visa Inc</v>
      </c>
      <c r="D15" s="3">
        <f>IFERROR(__xludf.DUMMYFUNCTION("GOOGLEFINANCE(B15,""price"")"),313.19)</f>
        <v>313.19</v>
      </c>
      <c r="E15" s="3">
        <f>IFERROR(__xludf.DUMMYFUNCTION("GOOGLEFINANCE(B15,""change"")"),3.27)</f>
        <v>3.27</v>
      </c>
      <c r="F15" s="3">
        <f>IFERROR(__xludf.DUMMYFUNCTION("GOOGLEFINANCE(B15,""changepct"")/100"),0.0106)</f>
        <v>0.0106</v>
      </c>
      <c r="G15" s="3">
        <f>IFERROR(__xludf.DUMMYFUNCTION("GOOGLEFINANCE(B15,""marketcap"")"),6.13770662194E11)</f>
        <v>613770662194</v>
      </c>
      <c r="H15" s="3">
        <f>IFERROR(__xludf.DUMMYFUNCTION("GOOGLEFINANCE(B15,""PE"")"),32.19)</f>
        <v>32.19</v>
      </c>
      <c r="I15" s="3">
        <f>IFERROR(__xludf.DUMMYFUNCTION("GOOGLEFINANCE(B15,""volume"")"),511.0)</f>
        <v>511</v>
      </c>
      <c r="J15" s="3">
        <f>IFERROR(__xludf.DUMMYFUNCTION("GOOGLEFINANCE(B15,""volumeavg"")"),5863932.0)</f>
        <v>5863932</v>
      </c>
    </row>
    <row r="16">
      <c r="B16" s="2" t="s">
        <v>21</v>
      </c>
      <c r="C16" s="3" t="str">
        <f>IFERROR(__xludf.DUMMYFUNCTION("googlefinance(B16,""name"")"),"Alphabet Inc Class C")</f>
        <v>Alphabet Inc Class C</v>
      </c>
      <c r="D16" s="3">
        <f>IFERROR(__xludf.DUMMYFUNCTION("GOOGLEFINANCE(B16,""price"")"),169.43)</f>
        <v>169.43</v>
      </c>
      <c r="E16" s="3">
        <f>IFERROR(__xludf.DUMMYFUNCTION("GOOGLEFINANCE(B16,""change"")"),2.86)</f>
        <v>2.86</v>
      </c>
      <c r="F16" s="3">
        <f>IFERROR(__xludf.DUMMYFUNCTION("GOOGLEFINANCE(B16,""changepct"")/100"),0.0172)</f>
        <v>0.0172</v>
      </c>
      <c r="G16" s="3">
        <f>IFERROR(__xludf.DUMMYFUNCTION("GOOGLEFINANCE(B16,""marketcap"")"),2.062395018415E12)</f>
        <v>2062395018415</v>
      </c>
      <c r="H16" s="3">
        <f>IFERROR(__xludf.DUMMYFUNCTION("GOOGLEFINANCE(B16,""PE"")"),22.48)</f>
        <v>22.48</v>
      </c>
      <c r="I16" s="3">
        <f>IFERROR(__xludf.DUMMYFUNCTION("GOOGLEFINANCE(B16,""volume"")"),9542.0)</f>
        <v>9542</v>
      </c>
      <c r="J16" s="3">
        <f>IFERROR(__xludf.DUMMYFUNCTION("GOOGLEFINANCE(B16,""volumeavg"")"),1.871074E7)</f>
        <v>18710740</v>
      </c>
    </row>
    <row r="17">
      <c r="B17" s="2" t="s">
        <v>22</v>
      </c>
      <c r="C17" s="3" t="str">
        <f>IFERROR(__xludf.DUMMYFUNCTION("googlefinance(B17,""name"")"),"Ford Motor Co")</f>
        <v>Ford Motor Co</v>
      </c>
      <c r="D17" s="3">
        <f>IFERROR(__xludf.DUMMYFUNCTION("GOOGLEFINANCE(B17,""price"")"),11.4)</f>
        <v>11.4</v>
      </c>
      <c r="E17" s="3">
        <f>IFERROR(__xludf.DUMMYFUNCTION("GOOGLEFINANCE(B17,""change"")"),0.22)</f>
        <v>0.22</v>
      </c>
      <c r="F17" s="3">
        <f>IFERROR(__xludf.DUMMYFUNCTION("GOOGLEFINANCE(B17,""changepct"")/100"),0.0197)</f>
        <v>0.0197</v>
      </c>
      <c r="G17" s="3">
        <f>IFERROR(__xludf.DUMMYFUNCTION("GOOGLEFINANCE(B17,""marketcap"")"),4.5306881683E10)</f>
        <v>45306881683</v>
      </c>
      <c r="H17" s="3">
        <f>IFERROR(__xludf.DUMMYFUNCTION("GOOGLEFINANCE(B17,""PE"")"),13.0)</f>
        <v>13</v>
      </c>
      <c r="I17" s="3">
        <f>IFERROR(__xludf.DUMMYFUNCTION("GOOGLEFINANCE(B17,""volume"")"),46771.0)</f>
        <v>46771</v>
      </c>
      <c r="J17" s="3">
        <f>IFERROR(__xludf.DUMMYFUNCTION("GOOGLEFINANCE(B17,""volumeavg"")"),5.7414801E7)</f>
        <v>57414801</v>
      </c>
    </row>
    <row r="18">
      <c r="B18" s="2" t="s">
        <v>23</v>
      </c>
      <c r="C18" s="3" t="str">
        <f>IFERROR(__xludf.DUMMYFUNCTION("googlefinance(B18,""name"")"),"Container Store Group Inc")</f>
        <v>Container Store Group Inc</v>
      </c>
      <c r="D18" s="3">
        <f>IFERROR(__xludf.DUMMYFUNCTION("GOOGLEFINANCE(B18,""price"")"),3.81)</f>
        <v>3.81</v>
      </c>
      <c r="E18" s="3">
        <f>IFERROR(__xludf.DUMMYFUNCTION("GOOGLEFINANCE(B18,""change"")"),-0.16)</f>
        <v>-0.16</v>
      </c>
      <c r="F18" s="3">
        <f>IFERROR(__xludf.DUMMYFUNCTION("GOOGLEFINANCE(B18,""changepct"")/100"),-0.0403)</f>
        <v>-0.0403</v>
      </c>
      <c r="G18" s="3">
        <f>IFERROR(__xludf.DUMMYFUNCTION("GOOGLEFINANCE(B18,""marketcap"")"),1.3149258E7)</f>
        <v>13149258</v>
      </c>
      <c r="H18" s="3" t="str">
        <f>IFERROR(__xludf.DUMMYFUNCTION("GOOGLEFINANCE(B18,""PE"")"),"#N/A")</f>
        <v>#N/A</v>
      </c>
      <c r="I18" s="3">
        <f>IFERROR(__xludf.DUMMYFUNCTION("GOOGLEFINANCE(B18,""volume"")"),0.0)</f>
        <v>0</v>
      </c>
      <c r="J18" s="3">
        <f>IFERROR(__xludf.DUMMYFUNCTION("GOOGLEFINANCE(B18,""volumeavg"")"),207854.0)</f>
        <v>207854</v>
      </c>
    </row>
    <row r="19">
      <c r="B19" s="2" t="s">
        <v>24</v>
      </c>
      <c r="C19" s="3" t="str">
        <f>IFERROR(__xludf.DUMMYFUNCTION("googlefinance(B19,""name"")"),"British Smaller Companies VCT2 PLC")</f>
        <v>British Smaller Companies VCT2 PLC</v>
      </c>
      <c r="D19" s="3">
        <f>IFERROR(__xludf.DUMMYFUNCTION("GOOGLEFINANCE(B19,""price"")"),52.5)</f>
        <v>52.5</v>
      </c>
      <c r="E19" s="3">
        <f>IFERROR(__xludf.DUMMYFUNCTION("GOOGLEFINANCE(B19,""change"")"),-1.0)</f>
        <v>-1</v>
      </c>
      <c r="F19" s="3">
        <f>IFERROR(__xludf.DUMMYFUNCTION("GOOGLEFINANCE(B19,""changepct"")/100"),-0.0187)</f>
        <v>-0.0187</v>
      </c>
      <c r="G19" s="3">
        <f>IFERROR(__xludf.DUMMYFUNCTION("GOOGLEFINANCE(B19,""marketcap"")"),1.515275E8)</f>
        <v>151527500</v>
      </c>
      <c r="H19" s="3">
        <f>IFERROR(__xludf.DUMMYFUNCTION("GOOGLEFINANCE(B19,""PE"")"),20.0)</f>
        <v>20</v>
      </c>
      <c r="I19" s="3">
        <f>IFERROR(__xludf.DUMMYFUNCTION("GOOGLEFINANCE(B19,""volume"")"),0.0)</f>
        <v>0</v>
      </c>
      <c r="J19" s="3">
        <f>IFERROR(__xludf.DUMMYFUNCTION("GOOGLEFINANCE(B19,""volumeavg"")"),2186.0)</f>
        <v>2186</v>
      </c>
    </row>
    <row r="20">
      <c r="B20" s="2" t="s">
        <v>25</v>
      </c>
      <c r="C20" s="3" t="str">
        <f>IFERROR(__xludf.DUMMYFUNCTION("googlefinance(B20,""name"")"),"Mahindra And Mahindra Ltd")</f>
        <v>Mahindra And Mahindra Ltd</v>
      </c>
      <c r="D20" s="3">
        <f>IFERROR(__xludf.DUMMYFUNCTION("GOOGLEFINANCE(B20,""price"")"),2985.15)</f>
        <v>2985.15</v>
      </c>
      <c r="E20" s="3">
        <f>IFERROR(__xludf.DUMMYFUNCTION("GOOGLEFINANCE(B20,""change"")"),-60.45)</f>
        <v>-60.45</v>
      </c>
      <c r="F20" s="3">
        <f>IFERROR(__xludf.DUMMYFUNCTION("GOOGLEFINANCE(B20,""changepct"")/100"),-0.019799999999999998)</f>
        <v>-0.0198</v>
      </c>
      <c r="G20" s="3">
        <f>IFERROR(__xludf.DUMMYFUNCTION("GOOGLEFINANCE(B20,""marketcap"")"),3.581071679278E12)</f>
        <v>3581071679278</v>
      </c>
      <c r="H20" s="3">
        <f>IFERROR(__xludf.DUMMYFUNCTION("GOOGLEFINANCE(B20,""PE"")"),28.18)</f>
        <v>28.18</v>
      </c>
      <c r="I20" s="3">
        <f>IFERROR(__xludf.DUMMYFUNCTION("GOOGLEFINANCE(B20,""volume"")"),2042924.0)</f>
        <v>2042924</v>
      </c>
      <c r="J20" s="3">
        <f>IFERROR(__xludf.DUMMYFUNCTION("GOOGLEFINANCE(B20,""volumeavg"")"),3675740.0)</f>
        <v>3675740</v>
      </c>
    </row>
    <row r="21">
      <c r="B21" s="2" t="s">
        <v>26</v>
      </c>
      <c r="C21" s="3" t="str">
        <f>IFERROR(__xludf.DUMMYFUNCTION("googlefinance(B21,""name"")"),"Infosys Ltd ADR")</f>
        <v>Infosys Ltd ADR</v>
      </c>
      <c r="D21" s="3">
        <f>IFERROR(__xludf.DUMMYFUNCTION("GOOGLEFINANCE(B21,""price"")"),22.84)</f>
        <v>22.84</v>
      </c>
      <c r="E21" s="3">
        <f>IFERROR(__xludf.DUMMYFUNCTION("GOOGLEFINANCE(B21,""change"")"),0.05)</f>
        <v>0.05</v>
      </c>
      <c r="F21" s="3">
        <f>IFERROR(__xludf.DUMMYFUNCTION("GOOGLEFINANCE(B21,""changepct"")/100"),0.0022)</f>
        <v>0.0022</v>
      </c>
      <c r="G21" s="3">
        <f>IFERROR(__xludf.DUMMYFUNCTION("GOOGLEFINANCE(B21,""marketcap"")"),7.958635265986E12)</f>
        <v>7958635265986</v>
      </c>
      <c r="H21" s="3">
        <f>IFERROR(__xludf.DUMMYFUNCTION("GOOGLEFINANCE(B21,""PE"")"),29.68)</f>
        <v>29.68</v>
      </c>
      <c r="I21" s="3">
        <f>IFERROR(__xludf.DUMMYFUNCTION("GOOGLEFINANCE(B21,""volume"")"),215.0)</f>
        <v>215</v>
      </c>
      <c r="J21" s="3">
        <f>IFERROR(__xludf.DUMMYFUNCTION("GOOGLEFINANCE(B21,""volumeavg"")"),8496928.0)</f>
        <v>8496928</v>
      </c>
    </row>
    <row r="22">
      <c r="B22" s="2" t="s">
        <v>27</v>
      </c>
      <c r="C22" s="3" t="str">
        <f>IFERROR(__xludf.DUMMYFUNCTION("googlefinance(B22,""name"")"),"State Bank of India")</f>
        <v>State Bank of India</v>
      </c>
      <c r="D22" s="3">
        <f>IFERROR(__xludf.DUMMYFUNCTION("GOOGLEFINANCE(B22,""price"")"),837.8)</f>
        <v>837.8</v>
      </c>
      <c r="E22" s="3">
        <f>IFERROR(__xludf.DUMMYFUNCTION("GOOGLEFINANCE(B22,""change"")"),-6.65)</f>
        <v>-6.65</v>
      </c>
      <c r="F22" s="3">
        <f>IFERROR(__xludf.DUMMYFUNCTION("GOOGLEFINANCE(B22,""changepct"")/100"),-0.0079)</f>
        <v>-0.0079</v>
      </c>
      <c r="G22" s="3">
        <f>IFERROR(__xludf.DUMMYFUNCTION("GOOGLEFINANCE(B22,""marketcap"")"),7.466891833908E12)</f>
        <v>7466891833908</v>
      </c>
      <c r="H22" s="3">
        <f>IFERROR(__xludf.DUMMYFUNCTION("GOOGLEFINANCE(B22,""PE"")"),10.45)</f>
        <v>10.45</v>
      </c>
      <c r="I22" s="3">
        <f>IFERROR(__xludf.DUMMYFUNCTION("GOOGLEFINANCE(B22,""volume"")"),8600668.0)</f>
        <v>8600668</v>
      </c>
      <c r="J22" s="3">
        <f>IFERROR(__xludf.DUMMYFUNCTION("GOOGLEFINANCE(B22,""volumeavg"")"),1.3774368E7)</f>
        <v>13774368</v>
      </c>
    </row>
    <row r="23">
      <c r="B23" s="2" t="s">
        <v>28</v>
      </c>
      <c r="C23" s="3" t="str">
        <f>IFERROR(__xludf.DUMMYFUNCTION("GOOGLEFINANCE(B23,""name"")"),"Reliance Industries Ltd")</f>
        <v>Reliance Industries Ltd</v>
      </c>
      <c r="D23" s="3">
        <f>IFERROR(__xludf.DUMMYFUNCTION("GOOGLEFINANCE(B23,""price"")"),1295.7)</f>
        <v>1295.7</v>
      </c>
      <c r="E23" s="3">
        <f>IFERROR(__xludf.DUMMYFUNCTION("GOOGLEFINANCE(B23,""change"")"),8.7)</f>
        <v>8.7</v>
      </c>
      <c r="F23" s="3">
        <f>IFERROR(__xludf.DUMMYFUNCTION("GOOGLEFINANCE(B23,""changepct"")/100"),0.0068000000000000005)</f>
        <v>0.0068</v>
      </c>
      <c r="G23" s="3">
        <f>IFERROR(__xludf.DUMMYFUNCTION("GOOGLEFINANCE(B23,""marketcap"")"),1.7535232748759E13)</f>
        <v>17535232748759</v>
      </c>
      <c r="H23" s="3">
        <f>IFERROR(__xludf.DUMMYFUNCTION("GOOGLEFINANCE(B23,""PE"")"),25.82)</f>
        <v>25.82</v>
      </c>
      <c r="I23" s="3">
        <f>IFERROR(__xludf.DUMMYFUNCTION("GOOGLEFINANCE(B23,""volume"")"),8890267.0)</f>
        <v>8890267</v>
      </c>
      <c r="J23" s="3">
        <f>IFERROR(__xludf.DUMMYFUNCTION("GOOGLEFINANCE(B23,""volumeavg"")"),1.4876346E7)</f>
        <v>14876346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0"/>
    <col customWidth="1" min="7" max="7" width="18.2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>
      <c r="B3" s="4" t="s">
        <v>29</v>
      </c>
      <c r="C3" s="5" t="str">
        <f>IFERROR(__xludf.DUMMYFUNCTION("GOOGLEFINANCE(B3,""name"")"),"Yes Bank Ltd")</f>
        <v>Yes Bank Ltd</v>
      </c>
      <c r="D3" s="5">
        <f>IFERROR(__xludf.DUMMYFUNCTION("GOOGLEFINANCE(B3,""price"")"),20.16)</f>
        <v>20.16</v>
      </c>
      <c r="E3" s="5">
        <f>IFERROR(__xludf.DUMMYFUNCTION("GOOGLEFINANCE(B3,""change"")"),0.98)</f>
        <v>0.98</v>
      </c>
      <c r="F3" s="5">
        <f>IFERROR(__xludf.DUMMYFUNCTION("GOOGLEFINANCE(B3,""changepct"")/100"),0.051100000000000007)</f>
        <v>0.0511</v>
      </c>
      <c r="G3" s="5">
        <f>IFERROR(__xludf.DUMMYFUNCTION("GOOGLEFINANCE(B3,""marketcap"")"),6.31654929619E11)</f>
        <v>631654929619</v>
      </c>
      <c r="H3" s="5">
        <f>IFERROR(__xludf.DUMMYFUNCTION("GOOGLEFINANCE(B3,""pe"")"),34.44)</f>
        <v>34.44</v>
      </c>
      <c r="I3" s="5">
        <f>IFERROR(__xludf.DUMMYFUNCTION("GOOGLEFINANCE(B3,""volume"")"),1.80674423E8)</f>
        <v>180674423</v>
      </c>
      <c r="J3" s="5">
        <f>IFERROR(__xludf.DUMMYFUNCTION("GOOGLEFINANCE(B3,""volumeavg"")"),6.6184071E7)</f>
        <v>66184071</v>
      </c>
    </row>
    <row r="4">
      <c r="B4" s="6" t="s">
        <v>30</v>
      </c>
      <c r="C4" s="5" t="str">
        <f>IFERROR(__xludf.DUMMYFUNCTION("GOOGLEFINANCE(B4,""name"")"),"NVIDIA Corp")</f>
        <v>NVIDIA Corp</v>
      </c>
      <c r="D4" s="5">
        <f>IFERROR(__xludf.DUMMYFUNCTION("GOOGLEFINANCE(B4,""price"")"),136.02)</f>
        <v>136.02</v>
      </c>
      <c r="E4" s="5">
        <f>IFERROR(__xludf.DUMMYFUNCTION("GOOGLEFINANCE(B4,""change"")"),-5.93)</f>
        <v>-5.93</v>
      </c>
      <c r="F4" s="5">
        <f>IFERROR(__xludf.DUMMYFUNCTION("GOOGLEFINANCE(B4,""changepct"")/100"),-0.0418)</f>
        <v>-0.0418</v>
      </c>
      <c r="G4" s="5">
        <f>IFERROR(__xludf.DUMMYFUNCTION("GOOGLEFINANCE(B4,""marketcap"")"),3.336570704803E12)</f>
        <v>3336570704803</v>
      </c>
      <c r="H4" s="5">
        <f>IFERROR(__xludf.DUMMYFUNCTION("GOOGLEFINANCE(B4,""pe"")"),53.6)</f>
        <v>53.6</v>
      </c>
      <c r="I4" s="5">
        <f>IFERROR(__xludf.DUMMYFUNCTION("GOOGLEFINANCE(B4,""volume"")"),430365.0)</f>
        <v>430365</v>
      </c>
      <c r="J4" s="5">
        <f>IFERROR(__xludf.DUMMYFUNCTION("GOOGLEFINANCE(B4,""volumeavg"")"),2.29570202E8)</f>
        <v>229570202</v>
      </c>
    </row>
    <row r="5">
      <c r="B5" s="4" t="s">
        <v>31</v>
      </c>
      <c r="C5" s="5" t="str">
        <f>IFERROR(__xludf.DUMMYFUNCTION("GOOGLEFINANCE(B5,""name"")"),"MARA Holdings Inc")</f>
        <v>MARA Holdings Inc</v>
      </c>
      <c r="D5" s="5">
        <f>IFERROR(__xludf.DUMMYFUNCTION("GOOGLEFINANCE(B5,""price"")"),26.42)</f>
        <v>26.42</v>
      </c>
      <c r="E5" s="5">
        <f>IFERROR(__xludf.DUMMYFUNCTION("GOOGLEFINANCE(B5,""change"")"),0.39)</f>
        <v>0.39</v>
      </c>
      <c r="F5" s="5">
        <f>IFERROR(__xludf.DUMMYFUNCTION("GOOGLEFINANCE(B5,""changepct"")/100"),0.015)</f>
        <v>0.015</v>
      </c>
      <c r="G5" s="5">
        <f>IFERROR(__xludf.DUMMYFUNCTION("GOOGLEFINANCE(B5,""marketcap"")"),8.502785612E9)</f>
        <v>8502785612</v>
      </c>
      <c r="H5" s="5">
        <f>IFERROR(__xludf.DUMMYFUNCTION("GOOGLEFINANCE(B5,""pe"")"),29.14)</f>
        <v>29.14</v>
      </c>
      <c r="I5" s="5">
        <f>IFERROR(__xludf.DUMMYFUNCTION("GOOGLEFINANCE(B5,""volume"")"),200774.0)</f>
        <v>200774</v>
      </c>
      <c r="J5" s="5">
        <f>IFERROR(__xludf.DUMMYFUNCTION("GOOGLEFINANCE(B5,""volumeavg"")"),6.5550983E7)</f>
        <v>65550983</v>
      </c>
    </row>
    <row r="6">
      <c r="B6" s="4" t="s">
        <v>32</v>
      </c>
      <c r="C6" s="5" t="str">
        <f>IFERROR(__xludf.DUMMYFUNCTION("GOOGLEFINANCE(B6,""name"")"),"Infosys Ltd ADR")</f>
        <v>Infosys Ltd ADR</v>
      </c>
      <c r="D6" s="5">
        <f>IFERROR(__xludf.DUMMYFUNCTION("GOOGLEFINANCE(B6,""price"")"),22.84)</f>
        <v>22.84</v>
      </c>
      <c r="E6" s="5">
        <f>IFERROR(__xludf.DUMMYFUNCTION("GOOGLEFINANCE(B6,""change"")"),0.05)</f>
        <v>0.05</v>
      </c>
      <c r="F6" s="5">
        <f>IFERROR(__xludf.DUMMYFUNCTION("GOOGLEFINANCE(B6,""changepct"")/100"),0.0022)</f>
        <v>0.0022</v>
      </c>
      <c r="G6" s="5">
        <f>IFERROR(__xludf.DUMMYFUNCTION("GOOGLEFINANCE(B6,""marketcap"")"),7.958635265986E12)</f>
        <v>7958635265986</v>
      </c>
      <c r="H6" s="5">
        <f>IFERROR(__xludf.DUMMYFUNCTION("GOOGLEFINANCE(B6,""pe"")"),29.68)</f>
        <v>29.68</v>
      </c>
      <c r="I6" s="5">
        <f>IFERROR(__xludf.DUMMYFUNCTION("GOOGLEFINANCE(B6,""volume"")"),215.0)</f>
        <v>215</v>
      </c>
      <c r="J6" s="5">
        <f>IFERROR(__xludf.DUMMYFUNCTION("GOOGLEFINANCE(B6,""volumeavg"")"),8496928.0)</f>
        <v>8496928</v>
      </c>
    </row>
    <row r="7">
      <c r="B7" s="4" t="s">
        <v>33</v>
      </c>
      <c r="C7" s="5" t="str">
        <f>IFERROR(__xludf.DUMMYFUNCTION("GOOGLEFINANCE(B7,""name"")"),"Bharti Airtel Ltd")</f>
        <v>Bharti Airtel Ltd</v>
      </c>
      <c r="D7" s="5">
        <f>IFERROR(__xludf.DUMMYFUNCTION("GOOGLEFINANCE(B7,""price"")"),1577.1)</f>
        <v>1577.1</v>
      </c>
      <c r="E7" s="5">
        <f>IFERROR(__xludf.DUMMYFUNCTION("GOOGLEFINANCE(B7,""change"")"),-1.65)</f>
        <v>-1.65</v>
      </c>
      <c r="F7" s="5">
        <f>IFERROR(__xludf.DUMMYFUNCTION("GOOGLEFINANCE(B7,""changepct"")/100"),-0.001)</f>
        <v>-0.001</v>
      </c>
      <c r="G7" s="5">
        <f>IFERROR(__xludf.DUMMYFUNCTION("GOOGLEFINANCE(B7,""marketcap"")"),9.435809820513E12)</f>
        <v>9435809820513</v>
      </c>
      <c r="H7" s="5">
        <f>IFERROR(__xludf.DUMMYFUNCTION("GOOGLEFINANCE(B7,""pe"")"),76.33)</f>
        <v>76.33</v>
      </c>
      <c r="I7" s="5">
        <f>IFERROR(__xludf.DUMMYFUNCTION("GOOGLEFINANCE(B7,""volume"")"),3966758.0)</f>
        <v>3966758</v>
      </c>
      <c r="J7" s="5">
        <f>IFERROR(__xludf.DUMMYFUNCTION("GOOGLEFINANCE(B7,""volumeavg"")"),4629469.0)</f>
        <v>4629469</v>
      </c>
    </row>
    <row r="8">
      <c r="B8" s="4" t="s">
        <v>34</v>
      </c>
      <c r="C8" s="5" t="str">
        <f>IFERROR(__xludf.DUMMYFUNCTION("GOOGLEFINANCE(B8,""name"")"),"James Hardie Industries plc")</f>
        <v>James Hardie Industries plc</v>
      </c>
      <c r="D8" s="5">
        <f>IFERROR(__xludf.DUMMYFUNCTION("GOOGLEFINANCE(B8,""price"")"),37.2)</f>
        <v>37.2</v>
      </c>
      <c r="E8" s="5">
        <f>IFERROR(__xludf.DUMMYFUNCTION("GOOGLEFINANCE(B8,""change"")"),1.54)</f>
        <v>1.54</v>
      </c>
      <c r="F8" s="5">
        <f>IFERROR(__xludf.DUMMYFUNCTION("GOOGLEFINANCE(B8,""changepct"")/100"),0.0432)</f>
        <v>0.0432</v>
      </c>
      <c r="G8" s="5">
        <f>IFERROR(__xludf.DUMMYFUNCTION("GOOGLEFINANCE(B8,""marketcap"")"),2.4736883824E10)</f>
        <v>24736883824</v>
      </c>
      <c r="H8" s="5">
        <f>IFERROR(__xludf.DUMMYFUNCTION("GOOGLEFINANCE(B8,""pe"")"),36.88)</f>
        <v>36.88</v>
      </c>
      <c r="I8" s="5">
        <f>IFERROR(__xludf.DUMMYFUNCTION("GOOGLEFINANCE(B8,""volume"")"),0.0)</f>
        <v>0</v>
      </c>
      <c r="J8" s="5">
        <f>IFERROR(__xludf.DUMMYFUNCTION("GOOGLEFINANCE(B8,""volumeavg"")"),98223.0)</f>
        <v>98223</v>
      </c>
    </row>
    <row r="9">
      <c r="B9" s="4" t="s">
        <v>35</v>
      </c>
      <c r="C9" s="5" t="str">
        <f>IFERROR(__xludf.DUMMYFUNCTION("GOOGLEFINANCE(B9,""name"")"),"Oil and Natural Gas Corporation Ltd")</f>
        <v>Oil and Natural Gas Corporation Ltd</v>
      </c>
      <c r="D9" s="5">
        <f>IFERROR(__xludf.DUMMYFUNCTION("GOOGLEFINANCE(B9,""price"")"),254.25)</f>
        <v>254.25</v>
      </c>
      <c r="E9" s="5">
        <f>IFERROR(__xludf.DUMMYFUNCTION("GOOGLEFINANCE(B9,""change"")"),-3.65)</f>
        <v>-3.65</v>
      </c>
      <c r="F9" s="5">
        <f>IFERROR(__xludf.DUMMYFUNCTION("GOOGLEFINANCE(B9,""changepct"")/100"),-0.014199999999999999)</f>
        <v>-0.0142</v>
      </c>
      <c r="G9" s="5">
        <f>IFERROR(__xludf.DUMMYFUNCTION("GOOGLEFINANCE(B9,""marketcap"")"),3.202811971158E12)</f>
        <v>3202811971158</v>
      </c>
      <c r="H9" s="5">
        <f>IFERROR(__xludf.DUMMYFUNCTION("GOOGLEFINANCE(B9,""pe"")"),7.1)</f>
        <v>7.1</v>
      </c>
      <c r="I9" s="5">
        <f>IFERROR(__xludf.DUMMYFUNCTION("GOOGLEFINANCE(B9,""volume"")"),8948982.0)</f>
        <v>8948982</v>
      </c>
      <c r="J9" s="5">
        <f>IFERROR(__xludf.DUMMYFUNCTION("GOOGLEFINANCE(B9,""volumeavg"")"),1.2801699E7)</f>
        <v>12801699</v>
      </c>
    </row>
    <row r="10">
      <c r="B10" s="4" t="s">
        <v>36</v>
      </c>
      <c r="C10" s="5" t="str">
        <f>IFERROR(__xludf.DUMMYFUNCTION("GOOGLEFINANCE(B10,""name"")"),"Meta Platforms Inc")</f>
        <v>Meta Platforms Inc</v>
      </c>
      <c r="D10" s="5">
        <f>IFERROR(__xludf.DUMMYFUNCTION("GOOGLEFINANCE(B10,""price"")"),565.11)</f>
        <v>565.11</v>
      </c>
      <c r="E10" s="5">
        <f>IFERROR(__xludf.DUMMYFUNCTION("GOOGLEFINANCE(B10,""change"")"),5.97)</f>
        <v>5.97</v>
      </c>
      <c r="F10" s="5">
        <f>IFERROR(__xludf.DUMMYFUNCTION("GOOGLEFINANCE(B10,""changepct"")/100"),0.010700000000000001)</f>
        <v>0.0107</v>
      </c>
      <c r="G10" s="5">
        <f>IFERROR(__xludf.DUMMYFUNCTION("GOOGLEFINANCE(B10,""marketcap"")"),1.42661394181E12)</f>
        <v>1426613941810</v>
      </c>
      <c r="H10" s="5">
        <f>IFERROR(__xludf.DUMMYFUNCTION("GOOGLEFINANCE(B10,""pe"")"),26.66)</f>
        <v>26.66</v>
      </c>
      <c r="I10" s="5">
        <f>IFERROR(__xludf.DUMMYFUNCTION("GOOGLEFINANCE(B10,""volume"")"),3203.0)</f>
        <v>3203</v>
      </c>
      <c r="J10" s="5">
        <f>IFERROR(__xludf.DUMMYFUNCTION("GOOGLEFINANCE(B10,""volumeavg"")"),1.2404623E7)</f>
        <v>12404623</v>
      </c>
    </row>
    <row r="11">
      <c r="B11" s="4" t="s">
        <v>37</v>
      </c>
      <c r="C11" s="5" t="str">
        <f>IFERROR(__xludf.DUMMYFUNCTION("GOOGLEFINANCE(B11,""name"")"),"Brooks Macdonald Group plc")</f>
        <v>Brooks Macdonald Group plc</v>
      </c>
      <c r="D11" s="5">
        <f>IFERROR(__xludf.DUMMYFUNCTION("GOOGLEFINANCE(B11,""price"")"),1646.14)</f>
        <v>1646.14</v>
      </c>
      <c r="E11" s="5">
        <f>IFERROR(__xludf.DUMMYFUNCTION("GOOGLEFINANCE(B11,""change"")"),11.14)</f>
        <v>11.14</v>
      </c>
      <c r="F11" s="5">
        <f>IFERROR(__xludf.DUMMYFUNCTION("GOOGLEFINANCE(B11,""changepct"")/100"),0.0068000000000000005)</f>
        <v>0.0068</v>
      </c>
      <c r="G11" s="5">
        <f>IFERROR(__xludf.DUMMYFUNCTION("GOOGLEFINANCE(B11,""marketcap"")"),2.71232997E8)</f>
        <v>271232997</v>
      </c>
      <c r="H11" s="5">
        <f>IFERROR(__xludf.DUMMYFUNCTION("GOOGLEFINANCE(B11,""pe"")"),41.74)</f>
        <v>41.74</v>
      </c>
      <c r="I11" s="5">
        <f>IFERROR(__xludf.DUMMYFUNCTION("GOOGLEFINANCE(B11,""volume"")"),636.0)</f>
        <v>636</v>
      </c>
      <c r="J11" s="5">
        <f>IFERROR(__xludf.DUMMYFUNCTION("GOOGLEFINANCE(B11,""volumeavg"")"),18295.0)</f>
        <v>18295</v>
      </c>
    </row>
    <row r="12">
      <c r="B12" s="4" t="s">
        <v>38</v>
      </c>
      <c r="C12" s="5" t="str">
        <f>IFERROR(__xludf.DUMMYFUNCTION("GOOGLEFINANCE(B12,""name"")"),"Bharat Petroleum Corporation Ltd")</f>
        <v>Bharat Petroleum Corporation Ltd</v>
      </c>
      <c r="D12" s="5">
        <f>IFERROR(__xludf.DUMMYFUNCTION("GOOGLEFINANCE(B12,""price"")"),293.75)</f>
        <v>293.75</v>
      </c>
      <c r="E12" s="5">
        <f>IFERROR(__xludf.DUMMYFUNCTION("GOOGLEFINANCE(B12,""change"")"),-2.8)</f>
        <v>-2.8</v>
      </c>
      <c r="F12" s="5">
        <f>IFERROR(__xludf.DUMMYFUNCTION("GOOGLEFINANCE(B12,""changepct"")/100"),-0.009399999999999999)</f>
        <v>-0.0094</v>
      </c>
      <c r="G12" s="5">
        <f>IFERROR(__xludf.DUMMYFUNCTION("GOOGLEFINANCE(B12,""marketcap"")"),1.27421926516E12)</f>
        <v>1274219265160</v>
      </c>
      <c r="H12" s="5">
        <f>IFERROR(__xludf.DUMMYFUNCTION("GOOGLEFINANCE(B12,""pe"")"),9.56)</f>
        <v>9.56</v>
      </c>
      <c r="I12" s="5">
        <f>IFERROR(__xludf.DUMMYFUNCTION("GOOGLEFINANCE(B12,""volume"")"),5089444.0)</f>
        <v>5089444</v>
      </c>
      <c r="J12" s="5">
        <f>IFERROR(__xludf.DUMMYFUNCTION("GOOGLEFINANCE(B12,""volumeavg"")"),8769542.0)</f>
        <v>8769542</v>
      </c>
    </row>
    <row r="13">
      <c r="B13" s="4" t="s">
        <v>39</v>
      </c>
      <c r="C13" s="5" t="str">
        <f>IFERROR(__xludf.DUMMYFUNCTION("GOOGLEFINANCE(B13,""name"")"),"Nestle India Limited")</f>
        <v>Nestle India Limited</v>
      </c>
      <c r="D13" s="5">
        <f>IFERROR(__xludf.DUMMYFUNCTION("GOOGLEFINANCE(B13,""price"")"),2266.0)</f>
        <v>2266</v>
      </c>
      <c r="E13" s="5">
        <f>IFERROR(__xludf.DUMMYFUNCTION("GOOGLEFINANCE(B13,""change"")"),9.05)</f>
        <v>9.05</v>
      </c>
      <c r="F13" s="5">
        <f>IFERROR(__xludf.DUMMYFUNCTION("GOOGLEFINANCE(B13,""changepct"")/100"),0.004)</f>
        <v>0.004</v>
      </c>
      <c r="G13" s="5">
        <f>IFERROR(__xludf.DUMMYFUNCTION("GOOGLEFINANCE(B13,""marketcap"")"),2.185311002047E12)</f>
        <v>2185311002047</v>
      </c>
      <c r="H13" s="5">
        <f>IFERROR(__xludf.DUMMYFUNCTION("GOOGLEFINANCE(B13,""pe"")"),67.53)</f>
        <v>67.53</v>
      </c>
      <c r="I13" s="5">
        <f>IFERROR(__xludf.DUMMYFUNCTION("GOOGLEFINANCE(B13,""volume"")"),310483.0)</f>
        <v>310483</v>
      </c>
      <c r="J13" s="5">
        <f>IFERROR(__xludf.DUMMYFUNCTION("GOOGLEFINANCE(B13,""volumeavg"")"),988376.0)</f>
        <v>988376</v>
      </c>
    </row>
    <row r="14">
      <c r="B14" s="4" t="s">
        <v>40</v>
      </c>
      <c r="C14" s="5" t="str">
        <f>IFERROR(__xludf.DUMMYFUNCTION("GOOGLEFINANCE(B14,""name"")"),"JPMorgan Chase &amp; Co")</f>
        <v>JPMorgan Chase &amp; Co</v>
      </c>
      <c r="D14" s="5">
        <f>IFERROR(__xludf.DUMMYFUNCTION("GOOGLEFINANCE(B14,""price"")"),250.29)</f>
        <v>250.29</v>
      </c>
      <c r="E14" s="5">
        <f>IFERROR(__xludf.DUMMYFUNCTION("GOOGLEFINANCE(B14,""change"")"),1.74)</f>
        <v>1.74</v>
      </c>
      <c r="F14" s="5">
        <f>IFERROR(__xludf.DUMMYFUNCTION("GOOGLEFINANCE(B14,""changepct"")/100"),0.006999999999999999)</f>
        <v>0.007</v>
      </c>
      <c r="G14" s="5">
        <f>IFERROR(__xludf.DUMMYFUNCTION("GOOGLEFINANCE(B14,""marketcap"")"),7.04651429698E11)</f>
        <v>704651429698</v>
      </c>
      <c r="H14" s="5">
        <f>IFERROR(__xludf.DUMMYFUNCTION("GOOGLEFINANCE(B14,""pe"")"),13.92)</f>
        <v>13.92</v>
      </c>
      <c r="I14" s="5">
        <f>IFERROR(__xludf.DUMMYFUNCTION("GOOGLEFINANCE(B14,""volume"")"),395.0)</f>
        <v>395</v>
      </c>
      <c r="J14" s="5">
        <f>IFERROR(__xludf.DUMMYFUNCTION("GOOGLEFINANCE(B14,""volumeavg"")"),8729622.0)</f>
        <v>8729622</v>
      </c>
    </row>
    <row r="15">
      <c r="B15" s="4" t="s">
        <v>41</v>
      </c>
      <c r="C15" s="5" t="str">
        <f>IFERROR(__xludf.DUMMYFUNCTION("GOOGLEFINANCE(B15,""name"")"),"Bank of America Corp")</f>
        <v>Bank of America Corp</v>
      </c>
      <c r="D15" s="5">
        <f>IFERROR(__xludf.DUMMYFUNCTION("GOOGLEFINANCE(B15,""price"")"),47.5)</f>
        <v>47.5</v>
      </c>
      <c r="E15" s="5">
        <f>IFERROR(__xludf.DUMMYFUNCTION("GOOGLEFINANCE(B15,""change"")"),0.5)</f>
        <v>0.5</v>
      </c>
      <c r="F15" s="5">
        <f>IFERROR(__xludf.DUMMYFUNCTION("GOOGLEFINANCE(B15,""changepct"")/100"),0.0106)</f>
        <v>0.0106</v>
      </c>
      <c r="G15" s="5">
        <f>IFERROR(__xludf.DUMMYFUNCTION("GOOGLEFINANCE(B15,""marketcap"")"),3.64461705E11)</f>
        <v>364461705000</v>
      </c>
      <c r="H15" s="5">
        <f>IFERROR(__xludf.DUMMYFUNCTION("GOOGLEFINANCE(B15,""pe"")"),17.27)</f>
        <v>17.27</v>
      </c>
      <c r="I15" s="5">
        <f>IFERROR(__xludf.DUMMYFUNCTION("GOOGLEFINANCE(B15,""volume"")"),571.0)</f>
        <v>571</v>
      </c>
      <c r="J15" s="5">
        <f>IFERROR(__xludf.DUMMYFUNCTION("GOOGLEFINANCE(B15,""volumeavg"")"),3.7076847E7)</f>
        <v>37076847</v>
      </c>
    </row>
    <row r="16">
      <c r="B16" s="4" t="s">
        <v>42</v>
      </c>
      <c r="C16" s="5" t="str">
        <f>IFERROR(__xludf.DUMMYFUNCTION("GOOGLEFINANCE(B16,""name"")"),"Wells Fargo &amp; Co")</f>
        <v>Wells Fargo &amp; Co</v>
      </c>
      <c r="D16" s="5">
        <f>IFERROR(__xludf.DUMMYFUNCTION("GOOGLEFINANCE(B16,""price"")"),76.9)</f>
        <v>76.9</v>
      </c>
      <c r="E16" s="5">
        <f>IFERROR(__xludf.DUMMYFUNCTION("GOOGLEFINANCE(B16,""change"")"),0.94)</f>
        <v>0.94</v>
      </c>
      <c r="F16" s="5">
        <f>IFERROR(__xludf.DUMMYFUNCTION("GOOGLEFINANCE(B16,""changepct"")/100"),0.0124)</f>
        <v>0.0124</v>
      </c>
      <c r="G16" s="5">
        <f>IFERROR(__xludf.DUMMYFUNCTION("GOOGLEFINANCE(B16,""marketcap"")"),2.57268955104E11)</f>
        <v>257268955104</v>
      </c>
      <c r="H16" s="5">
        <f>IFERROR(__xludf.DUMMYFUNCTION("GOOGLEFINANCE(B16,""pe"")"),15.99)</f>
        <v>15.99</v>
      </c>
      <c r="I16" s="5">
        <f>IFERROR(__xludf.DUMMYFUNCTION("GOOGLEFINANCE(B16,""volume"")"),1.0)</f>
        <v>1</v>
      </c>
      <c r="J16" s="5">
        <f>IFERROR(__xludf.DUMMYFUNCTION("GOOGLEFINANCE(B16,""volumeavg"")"),1.8818153E7)</f>
        <v>18818153</v>
      </c>
    </row>
    <row r="17">
      <c r="B17" s="4" t="s">
        <v>43</v>
      </c>
      <c r="C17" s="5" t="str">
        <f>IFERROR(__xludf.DUMMYFUNCTION("GOOGLEFINANCE(B17,""name"")"),"Exxon Mobil Corp")</f>
        <v>Exxon Mobil Corp</v>
      </c>
      <c r="D17" s="5">
        <f>IFERROR(__xludf.DUMMYFUNCTION("GOOGLEFINANCE(B17,""price"")"),119.97)</f>
        <v>119.97</v>
      </c>
      <c r="E17" s="5">
        <f>IFERROR(__xludf.DUMMYFUNCTION("GOOGLEFINANCE(B17,""change"")"),-1.82)</f>
        <v>-1.82</v>
      </c>
      <c r="F17" s="5">
        <f>IFERROR(__xludf.DUMMYFUNCTION("GOOGLEFINANCE(B17,""changepct"")/100"),-0.0149)</f>
        <v>-0.0149</v>
      </c>
      <c r="G17" s="5">
        <f>IFERROR(__xludf.DUMMYFUNCTION("GOOGLEFINANCE(B17,""marketcap"")"),5.27279432545E11)</f>
        <v>527279432545</v>
      </c>
      <c r="H17" s="5">
        <f>IFERROR(__xludf.DUMMYFUNCTION("GOOGLEFINANCE(B17,""pe"")"),14.95)</f>
        <v>14.95</v>
      </c>
      <c r="I17" s="5">
        <f>IFERROR(__xludf.DUMMYFUNCTION("GOOGLEFINANCE(B17,""volume"")"),1072.0)</f>
        <v>1072</v>
      </c>
      <c r="J17" s="5">
        <f>IFERROR(__xludf.DUMMYFUNCTION("GOOGLEFINANCE(B17,""volumeavg"")"),1.3144733E7)</f>
        <v>13144733</v>
      </c>
    </row>
    <row r="18">
      <c r="B18" s="4" t="s">
        <v>44</v>
      </c>
      <c r="C18" s="5" t="str">
        <f>IFERROR(__xludf.DUMMYFUNCTION("GOOGLEFINANCE(B18,""name"")"),"Chevron Corp")</f>
        <v>Chevron Corp</v>
      </c>
      <c r="D18" s="5">
        <f>IFERROR(__xludf.DUMMYFUNCTION("GOOGLEFINANCE(B18,""price"")"),160.36)</f>
        <v>160.36</v>
      </c>
      <c r="E18" s="5">
        <f>IFERROR(__xludf.DUMMYFUNCTION("GOOGLEFINANCE(B18,""change"")"),-2.0)</f>
        <v>-2</v>
      </c>
      <c r="F18" s="5">
        <f>IFERROR(__xludf.DUMMYFUNCTION("GOOGLEFINANCE(B18,""changepct"")/100"),-0.0123)</f>
        <v>-0.0123</v>
      </c>
      <c r="G18" s="5">
        <f>IFERROR(__xludf.DUMMYFUNCTION("GOOGLEFINANCE(B18,""marketcap"")"),2.88181513856E11)</f>
        <v>288181513856</v>
      </c>
      <c r="H18" s="5">
        <f>IFERROR(__xludf.DUMMYFUNCTION("GOOGLEFINANCE(B18,""pe"")"),17.65)</f>
        <v>17.65</v>
      </c>
      <c r="I18" s="5">
        <f>IFERROR(__xludf.DUMMYFUNCTION("GOOGLEFINANCE(B18,""volume"")"),2061.0)</f>
        <v>2061</v>
      </c>
      <c r="J18" s="5">
        <f>IFERROR(__xludf.DUMMYFUNCTION("GOOGLEFINANCE(B18,""volumeavg"")"),6893801.0)</f>
        <v>6893801</v>
      </c>
    </row>
    <row r="19">
      <c r="B19" s="4" t="s">
        <v>45</v>
      </c>
      <c r="C19" s="5" t="str">
        <f>IFERROR(__xludf.DUMMYFUNCTION("GOOGLEFINANCE(B19,""name"")"),"Occidental Petroleum Corp")</f>
        <v>Occidental Petroleum Corp</v>
      </c>
      <c r="D19" s="5">
        <f>IFERROR(__xludf.DUMMYFUNCTION("GOOGLEFINANCE(B19,""price"")"),50.44)</f>
        <v>50.44</v>
      </c>
      <c r="E19" s="5">
        <f>IFERROR(__xludf.DUMMYFUNCTION("GOOGLEFINANCE(B19,""change"")"),-1.49)</f>
        <v>-1.49</v>
      </c>
      <c r="F19" s="5">
        <f>IFERROR(__xludf.DUMMYFUNCTION("GOOGLEFINANCE(B19,""changepct"")/100"),-0.0287)</f>
        <v>-0.0287</v>
      </c>
      <c r="G19" s="5">
        <f>IFERROR(__xludf.DUMMYFUNCTION("GOOGLEFINANCE(B19,""marketcap"")"),4.7170291287E10)</f>
        <v>47170291287</v>
      </c>
      <c r="H19" s="5">
        <f>IFERROR(__xludf.DUMMYFUNCTION("GOOGLEFINANCE(B19,""pe"")"),13.12)</f>
        <v>13.12</v>
      </c>
      <c r="I19" s="5">
        <f>IFERROR(__xludf.DUMMYFUNCTION("GOOGLEFINANCE(B19,""volume"")"),1568.0)</f>
        <v>1568</v>
      </c>
      <c r="J19" s="5">
        <f>IFERROR(__xludf.DUMMYFUNCTION("GOOGLEFINANCE(B19,""volumeavg"")"),1.0908245E7)</f>
        <v>10908245</v>
      </c>
    </row>
    <row r="20">
      <c r="B20" s="4" t="s">
        <v>46</v>
      </c>
      <c r="C20" s="5" t="str">
        <f>IFERROR(__xludf.DUMMYFUNCTION("GOOGLEFINANCE(B20,""name"")"),"Costco Wholesale Corporation")</f>
        <v>Costco Wholesale Corporation</v>
      </c>
      <c r="D20" s="5">
        <f>IFERROR(__xludf.DUMMYFUNCTION("GOOGLEFINANCE(B20,""price"")"),960.89)</f>
        <v>960.89</v>
      </c>
      <c r="E20" s="5">
        <f>IFERROR(__xludf.DUMMYFUNCTION("GOOGLEFINANCE(B20,""change"")"),-3.12)</f>
        <v>-3.12</v>
      </c>
      <c r="F20" s="5">
        <f>IFERROR(__xludf.DUMMYFUNCTION("GOOGLEFINANCE(B20,""changepct"")/100"),-0.0032)</f>
        <v>-0.0032</v>
      </c>
      <c r="G20" s="5">
        <f>IFERROR(__xludf.DUMMYFUNCTION("GOOGLEFINANCE(B20,""marketcap"")"),4.25744901905E11)</f>
        <v>425744901905</v>
      </c>
      <c r="H20" s="5">
        <f>IFERROR(__xludf.DUMMYFUNCTION("GOOGLEFINANCE(B20,""pe"")"),58.01)</f>
        <v>58.01</v>
      </c>
      <c r="I20" s="5">
        <f>IFERROR(__xludf.DUMMYFUNCTION("GOOGLEFINANCE(B20,""volume"")"),478.0)</f>
        <v>478</v>
      </c>
      <c r="J20" s="5">
        <f>IFERROR(__xludf.DUMMYFUNCTION("GOOGLEFINANCE(B20,""volumeavg"")"),1746105.0)</f>
        <v>1746105</v>
      </c>
    </row>
    <row r="21">
      <c r="B21" s="4" t="s">
        <v>47</v>
      </c>
      <c r="C21" s="5" t="str">
        <f>IFERROR(__xludf.DUMMYFUNCTION("GOOGLEFINANCE(B21,""name"")"),"Target Corp")</f>
        <v>Target Corp</v>
      </c>
      <c r="D21" s="5">
        <f>IFERROR(__xludf.DUMMYFUNCTION("GOOGLEFINANCE(B21,""price"")"),130.53)</f>
        <v>130.53</v>
      </c>
      <c r="E21" s="5">
        <f>IFERROR(__xludf.DUMMYFUNCTION("GOOGLEFINANCE(B21,""change"")"),5.52)</f>
        <v>5.52</v>
      </c>
      <c r="F21" s="5">
        <f>IFERROR(__xludf.DUMMYFUNCTION("GOOGLEFINANCE(B21,""changepct"")/100"),0.044199999999999996)</f>
        <v>0.0442</v>
      </c>
      <c r="G21" s="5">
        <f>IFERROR(__xludf.DUMMYFUNCTION("GOOGLEFINANCE(B21,""marketcap"")"),6.0131854975E10)</f>
        <v>60131854975</v>
      </c>
      <c r="H21" s="5">
        <f>IFERROR(__xludf.DUMMYFUNCTION("GOOGLEFINANCE(B21,""pe"")"),13.83)</f>
        <v>13.83</v>
      </c>
      <c r="I21" s="5">
        <f>IFERROR(__xludf.DUMMYFUNCTION("GOOGLEFINANCE(B21,""volume"")"),2058.0)</f>
        <v>2058</v>
      </c>
      <c r="J21" s="5">
        <f>IFERROR(__xludf.DUMMYFUNCTION("GOOGLEFINANCE(B21,""volumeavg"")"),6732282.0)</f>
        <v>6732282</v>
      </c>
    </row>
    <row r="22">
      <c r="B22" s="4" t="s">
        <v>48</v>
      </c>
      <c r="C22" s="5" t="str">
        <f>IFERROR(__xludf.DUMMYFUNCTION("GOOGLEFINANCE(B22,""name"")"),"Home Depot Inc")</f>
        <v>Home Depot Inc</v>
      </c>
      <c r="D22" s="5">
        <f>IFERROR(__xludf.DUMMYFUNCTION("GOOGLEFINANCE(B22,""price"")"),428.67)</f>
        <v>428.67</v>
      </c>
      <c r="E22" s="5">
        <f>IFERROR(__xludf.DUMMYFUNCTION("GOOGLEFINANCE(B22,""change"")"),8.67)</f>
        <v>8.67</v>
      </c>
      <c r="F22" s="5">
        <f>IFERROR(__xludf.DUMMYFUNCTION("GOOGLEFINANCE(B22,""changepct"")/100"),0.0206)</f>
        <v>0.0206</v>
      </c>
      <c r="G22" s="5">
        <f>IFERROR(__xludf.DUMMYFUNCTION("GOOGLEFINANCE(B22,""marketcap"")"),4.25795052248E11)</f>
        <v>425795052248</v>
      </c>
      <c r="H22" s="5">
        <f>IFERROR(__xludf.DUMMYFUNCTION("GOOGLEFINANCE(B22,""pe"")"),29.12)</f>
        <v>29.12</v>
      </c>
      <c r="I22" s="5">
        <f>IFERROR(__xludf.DUMMYFUNCTION("GOOGLEFINANCE(B22,""volume"")"),88.0)</f>
        <v>88</v>
      </c>
      <c r="J22" s="5">
        <f>IFERROR(__xludf.DUMMYFUNCTION("GOOGLEFINANCE(B22,""volumeavg"")"),3433423.0)</f>
        <v>3433423</v>
      </c>
    </row>
  </sheetData>
  <drawing r:id="rId1"/>
</worksheet>
</file>