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VIC\Downloads\"/>
    </mc:Choice>
  </mc:AlternateContent>
  <bookViews>
    <workbookView xWindow="0" yWindow="0" windowWidth="20490" windowHeight="6900"/>
  </bookViews>
  <sheets>
    <sheet name="2023-24 (Fund Pos. 30.03.24)" sheetId="1" r:id="rId1"/>
    <sheet name="Sheet1" sheetId="2" r:id="rId2"/>
  </sheets>
  <definedNames>
    <definedName name="_xlnm.Print_Area" localSheetId="0">'2023-24 (Fund Pos. 30.03.24)'!$A$2:$Y$89</definedName>
    <definedName name="_xlnm.Print_Titles" localSheetId="0">'2023-24 (Fund Pos. 30.03.24)'!$4:$8</definedName>
  </definedNames>
  <calcPr calcId="162913"/>
</workbook>
</file>

<file path=xl/calcChain.xml><?xml version="1.0" encoding="utf-8"?>
<calcChain xmlns="http://schemas.openxmlformats.org/spreadsheetml/2006/main">
  <c r="J5" i="2" l="1"/>
  <c r="J8" i="2"/>
  <c r="J9" i="2"/>
  <c r="J11" i="2"/>
  <c r="J12" i="2"/>
  <c r="J15" i="2"/>
  <c r="J16" i="2"/>
  <c r="J4" i="2"/>
  <c r="I5" i="2"/>
  <c r="I8" i="2"/>
  <c r="I9" i="2"/>
  <c r="I11" i="2"/>
  <c r="I12" i="2"/>
  <c r="I15" i="2"/>
  <c r="I16" i="2"/>
  <c r="I4" i="2"/>
  <c r="F5" i="2"/>
  <c r="F6" i="2"/>
  <c r="F7" i="2"/>
  <c r="F9" i="2"/>
  <c r="F10" i="2"/>
  <c r="F11" i="2"/>
  <c r="F12" i="2"/>
  <c r="F13" i="2"/>
  <c r="F14" i="2"/>
  <c r="F15" i="2"/>
  <c r="F16" i="2"/>
  <c r="F4" i="2"/>
  <c r="D16" i="2"/>
  <c r="D15" i="2"/>
  <c r="D5" i="2"/>
  <c r="G15" i="2"/>
  <c r="H4" i="2"/>
  <c r="H15" i="2" s="1"/>
  <c r="G4" i="2"/>
  <c r="G24" i="2" l="1"/>
  <c r="H12" i="2"/>
  <c r="H9" i="2"/>
  <c r="G5" i="2"/>
  <c r="H5" i="2"/>
  <c r="H16" i="2" l="1"/>
  <c r="G16" i="2"/>
  <c r="S88" i="1"/>
  <c r="V84" i="1"/>
  <c r="S84" i="1"/>
  <c r="Q84" i="1"/>
  <c r="L84" i="1"/>
  <c r="R84" i="1" s="1"/>
  <c r="T84" i="1" s="1"/>
  <c r="V83" i="1"/>
  <c r="S83" i="1"/>
  <c r="Q83" i="1"/>
  <c r="L83" i="1"/>
  <c r="R83" i="1" s="1"/>
  <c r="T83" i="1" s="1"/>
  <c r="U82" i="1"/>
  <c r="P82" i="1"/>
  <c r="O82" i="1"/>
  <c r="N82" i="1"/>
  <c r="M82" i="1"/>
  <c r="K82" i="1"/>
  <c r="J82" i="1"/>
  <c r="I82" i="1"/>
  <c r="H82" i="1"/>
  <c r="G82" i="1"/>
  <c r="F82" i="1"/>
  <c r="E82" i="1"/>
  <c r="D82" i="1"/>
  <c r="V81" i="1"/>
  <c r="S81" i="1"/>
  <c r="L81" i="1"/>
  <c r="R81" i="1" s="1"/>
  <c r="T81" i="1" s="1"/>
  <c r="V80" i="1"/>
  <c r="S80" i="1"/>
  <c r="S82" i="1" s="1"/>
  <c r="Q80" i="1"/>
  <c r="Q82" i="1" s="1"/>
  <c r="L80" i="1"/>
  <c r="L82" i="1" s="1"/>
  <c r="U78" i="1"/>
  <c r="P78" i="1"/>
  <c r="N78" i="1"/>
  <c r="N85" i="1" s="1"/>
  <c r="K78" i="1"/>
  <c r="K85" i="1" s="1"/>
  <c r="J78" i="1"/>
  <c r="J85" i="1" s="1"/>
  <c r="I78" i="1"/>
  <c r="I85" i="1" s="1"/>
  <c r="H78" i="1"/>
  <c r="H85" i="1" s="1"/>
  <c r="G78" i="1"/>
  <c r="F78" i="1"/>
  <c r="F85" i="1" s="1"/>
  <c r="E78" i="1"/>
  <c r="D78" i="1"/>
  <c r="D85" i="1" s="1"/>
  <c r="V77" i="1"/>
  <c r="S77" i="1"/>
  <c r="Q77" i="1"/>
  <c r="L77" i="1"/>
  <c r="R77" i="1" s="1"/>
  <c r="T77" i="1" s="1"/>
  <c r="S76" i="1"/>
  <c r="O76" i="1"/>
  <c r="O78" i="1" s="1"/>
  <c r="M76" i="1"/>
  <c r="M78" i="1" s="1"/>
  <c r="M85" i="1" s="1"/>
  <c r="L76" i="1"/>
  <c r="R76" i="1" s="1"/>
  <c r="T76" i="1" s="1"/>
  <c r="X75" i="1"/>
  <c r="S75" i="1"/>
  <c r="S78" i="1" s="1"/>
  <c r="Q75" i="1"/>
  <c r="W75" i="1" s="1"/>
  <c r="L75" i="1"/>
  <c r="V73" i="1"/>
  <c r="S73" i="1"/>
  <c r="Q73" i="1"/>
  <c r="L73" i="1"/>
  <c r="R73" i="1" s="1"/>
  <c r="U70" i="1"/>
  <c r="P70" i="1"/>
  <c r="N70" i="1"/>
  <c r="M70" i="1"/>
  <c r="J70" i="1"/>
  <c r="I70" i="1"/>
  <c r="H70" i="1"/>
  <c r="G70" i="1"/>
  <c r="F70" i="1"/>
  <c r="E70" i="1"/>
  <c r="D70" i="1"/>
  <c r="V69" i="1"/>
  <c r="S69" i="1"/>
  <c r="Q69" i="1"/>
  <c r="L69" i="1"/>
  <c r="R69" i="1" s="1"/>
  <c r="T69" i="1" s="1"/>
  <c r="W68" i="1"/>
  <c r="V68" i="1"/>
  <c r="S68" i="1"/>
  <c r="R68" i="1"/>
  <c r="Q68" i="1"/>
  <c r="X68" i="1" s="1"/>
  <c r="L68" i="1"/>
  <c r="W67" i="1"/>
  <c r="V67" i="1"/>
  <c r="S67" i="1"/>
  <c r="Q67" i="1"/>
  <c r="X67" i="1" s="1"/>
  <c r="L67" i="1"/>
  <c r="R67" i="1" s="1"/>
  <c r="T67" i="1" s="1"/>
  <c r="V66" i="1"/>
  <c r="S66" i="1"/>
  <c r="R66" i="1"/>
  <c r="T66" i="1" s="1"/>
  <c r="Q66" i="1"/>
  <c r="X66" i="1" s="1"/>
  <c r="L66" i="1"/>
  <c r="S65" i="1"/>
  <c r="O65" i="1"/>
  <c r="O70" i="1" s="1"/>
  <c r="L65" i="1"/>
  <c r="Q64" i="1"/>
  <c r="W64" i="1" s="1"/>
  <c r="K64" i="1"/>
  <c r="K70" i="1" s="1"/>
  <c r="U62" i="1"/>
  <c r="P62" i="1"/>
  <c r="O62" i="1"/>
  <c r="N62" i="1"/>
  <c r="J62" i="1"/>
  <c r="I62" i="1"/>
  <c r="H62" i="1"/>
  <c r="G62" i="1"/>
  <c r="F62" i="1"/>
  <c r="E62" i="1"/>
  <c r="D62" i="1"/>
  <c r="V61" i="1"/>
  <c r="Q61" i="1"/>
  <c r="W61" i="1" s="1"/>
  <c r="K61" i="1"/>
  <c r="Q60" i="1"/>
  <c r="X60" i="1" s="1"/>
  <c r="M60" i="1"/>
  <c r="V60" i="1" s="1"/>
  <c r="K60" i="1"/>
  <c r="S60" i="1" s="1"/>
  <c r="Q59" i="1"/>
  <c r="X59" i="1" s="1"/>
  <c r="M59" i="1"/>
  <c r="V59" i="1" s="1"/>
  <c r="K59" i="1"/>
  <c r="S59" i="1" s="1"/>
  <c r="Q58" i="1"/>
  <c r="X58" i="1" s="1"/>
  <c r="M58" i="1"/>
  <c r="V58" i="1" s="1"/>
  <c r="K58" i="1"/>
  <c r="S58" i="1" s="1"/>
  <c r="Q57" i="1"/>
  <c r="X57" i="1" s="1"/>
  <c r="M57" i="1"/>
  <c r="V57" i="1" s="1"/>
  <c r="K57" i="1"/>
  <c r="S57" i="1" s="1"/>
  <c r="Q56" i="1"/>
  <c r="X56" i="1" s="1"/>
  <c r="M56" i="1"/>
  <c r="M62" i="1" s="1"/>
  <c r="K56" i="1"/>
  <c r="S56" i="1" s="1"/>
  <c r="W55" i="1"/>
  <c r="V55" i="1"/>
  <c r="Q55" i="1"/>
  <c r="K55" i="1"/>
  <c r="S55" i="1" s="1"/>
  <c r="V54" i="1"/>
  <c r="Q54" i="1"/>
  <c r="W54" i="1" s="1"/>
  <c r="K54" i="1"/>
  <c r="U50" i="1"/>
  <c r="P50" i="1"/>
  <c r="O50" i="1"/>
  <c r="N50" i="1"/>
  <c r="J50" i="1"/>
  <c r="I50" i="1"/>
  <c r="H50" i="1"/>
  <c r="G50" i="1"/>
  <c r="F50" i="1"/>
  <c r="E50" i="1"/>
  <c r="D50" i="1"/>
  <c r="V49" i="1"/>
  <c r="S49" i="1"/>
  <c r="Q49" i="1"/>
  <c r="L49" i="1"/>
  <c r="R49" i="1" s="1"/>
  <c r="Q48" i="1"/>
  <c r="X48" i="1" s="1"/>
  <c r="M48" i="1"/>
  <c r="V48" i="1" s="1"/>
  <c r="K48" i="1"/>
  <c r="S48" i="1" s="1"/>
  <c r="V47" i="1"/>
  <c r="S47" i="1"/>
  <c r="Q47" i="1"/>
  <c r="L47" i="1"/>
  <c r="R47" i="1" s="1"/>
  <c r="V46" i="1"/>
  <c r="S46" i="1"/>
  <c r="Q46" i="1"/>
  <c r="L46" i="1"/>
  <c r="R46" i="1" s="1"/>
  <c r="T46" i="1" s="1"/>
  <c r="Q45" i="1"/>
  <c r="X45" i="1" s="1"/>
  <c r="M45" i="1"/>
  <c r="V45" i="1" s="1"/>
  <c r="K45" i="1"/>
  <c r="S45" i="1" s="1"/>
  <c r="Q44" i="1"/>
  <c r="M44" i="1"/>
  <c r="V44" i="1" s="1"/>
  <c r="K44" i="1"/>
  <c r="S44" i="1" s="1"/>
  <c r="W43" i="1"/>
  <c r="V43" i="1"/>
  <c r="S43" i="1"/>
  <c r="Q43" i="1"/>
  <c r="X43" i="1" s="1"/>
  <c r="L43" i="1"/>
  <c r="R43" i="1" s="1"/>
  <c r="T43" i="1" s="1"/>
  <c r="Q42" i="1"/>
  <c r="W42" i="1" s="1"/>
  <c r="M42" i="1"/>
  <c r="V42" i="1" s="1"/>
  <c r="K42" i="1"/>
  <c r="S42" i="1" s="1"/>
  <c r="V41" i="1"/>
  <c r="Q41" i="1"/>
  <c r="W41" i="1" s="1"/>
  <c r="W40" i="1"/>
  <c r="V40" i="1"/>
  <c r="Q40" i="1"/>
  <c r="Q39" i="1"/>
  <c r="W39" i="1" s="1"/>
  <c r="M39" i="1"/>
  <c r="V39" i="1" s="1"/>
  <c r="K39" i="1"/>
  <c r="L39" i="1" s="1"/>
  <c r="V38" i="1"/>
  <c r="Q37" i="1"/>
  <c r="W37" i="1" s="1"/>
  <c r="M37" i="1"/>
  <c r="V37" i="1" s="1"/>
  <c r="K37" i="1"/>
  <c r="X37" i="1" s="1"/>
  <c r="Q36" i="1"/>
  <c r="M36" i="1"/>
  <c r="V36" i="1" s="1"/>
  <c r="K36" i="1"/>
  <c r="X35" i="1"/>
  <c r="V35" i="1"/>
  <c r="S35" i="1"/>
  <c r="Q35" i="1"/>
  <c r="L35" i="1"/>
  <c r="R35" i="1" s="1"/>
  <c r="C33" i="1"/>
  <c r="S32" i="1"/>
  <c r="R32" i="1"/>
  <c r="T32" i="1" s="1"/>
  <c r="Q32" i="1"/>
  <c r="L32" i="1"/>
  <c r="U31" i="1"/>
  <c r="P31" i="1"/>
  <c r="O31" i="1"/>
  <c r="N31" i="1"/>
  <c r="M31" i="1"/>
  <c r="J31" i="1"/>
  <c r="I31" i="1"/>
  <c r="H31" i="1"/>
  <c r="G31" i="1"/>
  <c r="F31" i="1"/>
  <c r="E31" i="1"/>
  <c r="D31" i="1"/>
  <c r="X30" i="1"/>
  <c r="S30" i="1"/>
  <c r="Q30" i="1"/>
  <c r="W30" i="1" s="1"/>
  <c r="L30" i="1"/>
  <c r="R30" i="1" s="1"/>
  <c r="V29" i="1"/>
  <c r="Q29" i="1"/>
  <c r="K29" i="1"/>
  <c r="S29" i="1" s="1"/>
  <c r="Q28" i="1"/>
  <c r="M28" i="1"/>
  <c r="V28" i="1" s="1"/>
  <c r="V31" i="1" s="1"/>
  <c r="L28" i="1"/>
  <c r="K28" i="1"/>
  <c r="S28" i="1" s="1"/>
  <c r="U26" i="1"/>
  <c r="P26" i="1"/>
  <c r="O26" i="1"/>
  <c r="N26" i="1"/>
  <c r="J26" i="1"/>
  <c r="I26" i="1"/>
  <c r="G26" i="1"/>
  <c r="F26" i="1"/>
  <c r="E26" i="1"/>
  <c r="D26" i="1"/>
  <c r="W25" i="1"/>
  <c r="V25" i="1"/>
  <c r="S25" i="1"/>
  <c r="Q25" i="1"/>
  <c r="X25" i="1" s="1"/>
  <c r="M25" i="1"/>
  <c r="L25" i="1"/>
  <c r="R25" i="1" s="1"/>
  <c r="T25" i="1" s="1"/>
  <c r="X24" i="1"/>
  <c r="W24" i="1"/>
  <c r="V24" i="1"/>
  <c r="S24" i="1"/>
  <c r="R24" i="1"/>
  <c r="Q24" i="1"/>
  <c r="L24" i="1"/>
  <c r="V23" i="1"/>
  <c r="R23" i="1"/>
  <c r="Q22" i="1"/>
  <c r="X22" i="1" s="1"/>
  <c r="M22" i="1"/>
  <c r="K22" i="1"/>
  <c r="S22" i="1" s="1"/>
  <c r="H22" i="1"/>
  <c r="H26" i="1" s="1"/>
  <c r="V21" i="1"/>
  <c r="S21" i="1"/>
  <c r="Q21" i="1"/>
  <c r="L21" i="1"/>
  <c r="R21" i="1" s="1"/>
  <c r="T21" i="1" s="1"/>
  <c r="V20" i="1"/>
  <c r="Q20" i="1"/>
  <c r="K20" i="1"/>
  <c r="S20" i="1" s="1"/>
  <c r="S19" i="1"/>
  <c r="Q19" i="1"/>
  <c r="X19" i="1" s="1"/>
  <c r="M19" i="1"/>
  <c r="V19" i="1" s="1"/>
  <c r="L19" i="1"/>
  <c r="R19" i="1" s="1"/>
  <c r="T19" i="1" s="1"/>
  <c r="V18" i="1"/>
  <c r="Q18" i="1"/>
  <c r="M18" i="1"/>
  <c r="K18" i="1"/>
  <c r="S18" i="1" s="1"/>
  <c r="Q17" i="1"/>
  <c r="W17" i="1" s="1"/>
  <c r="M17" i="1"/>
  <c r="V17" i="1" s="1"/>
  <c r="L17" i="1"/>
  <c r="R17" i="1" s="1"/>
  <c r="K17" i="1"/>
  <c r="S17" i="1" s="1"/>
  <c r="Q16" i="1"/>
  <c r="W16" i="1" s="1"/>
  <c r="M16" i="1"/>
  <c r="K16" i="1"/>
  <c r="S16" i="1" s="1"/>
  <c r="V15" i="1"/>
  <c r="Q15" i="1"/>
  <c r="Q26" i="1" s="1"/>
  <c r="K15" i="1"/>
  <c r="S15" i="1" s="1"/>
  <c r="V13" i="1"/>
  <c r="U13" i="1"/>
  <c r="P13" i="1"/>
  <c r="P33" i="1" s="1"/>
  <c r="O13" i="1"/>
  <c r="N13" i="1"/>
  <c r="N33" i="1" s="1"/>
  <c r="M13" i="1"/>
  <c r="K13" i="1"/>
  <c r="J13" i="1"/>
  <c r="I13" i="1"/>
  <c r="H13" i="1"/>
  <c r="G13" i="1"/>
  <c r="G33" i="1" s="1"/>
  <c r="G51" i="1" s="1"/>
  <c r="F13" i="1"/>
  <c r="F33" i="1" s="1"/>
  <c r="E13" i="1"/>
  <c r="D13" i="1"/>
  <c r="S12" i="1"/>
  <c r="R12" i="1"/>
  <c r="Q12" i="1"/>
  <c r="W12" i="1" s="1"/>
  <c r="L12" i="1"/>
  <c r="S11" i="1"/>
  <c r="S13" i="1" s="1"/>
  <c r="Q11" i="1"/>
  <c r="Q13" i="1" s="1"/>
  <c r="L11" i="1"/>
  <c r="L13" i="1" s="1"/>
  <c r="L37" i="1" l="1"/>
  <c r="R37" i="1" s="1"/>
  <c r="W45" i="1"/>
  <c r="K50" i="1"/>
  <c r="L55" i="1"/>
  <c r="R55" i="1" s="1"/>
  <c r="W60" i="1"/>
  <c r="H33" i="1"/>
  <c r="H51" i="1" s="1"/>
  <c r="H71" i="1" s="1"/>
  <c r="H86" i="1" s="1"/>
  <c r="L16" i="1"/>
  <c r="R16" i="1" s="1"/>
  <c r="T16" i="1" s="1"/>
  <c r="S31" i="1"/>
  <c r="S33" i="1" s="1"/>
  <c r="L36" i="1"/>
  <c r="R36" i="1" s="1"/>
  <c r="X55" i="1"/>
  <c r="X61" i="1"/>
  <c r="R65" i="1"/>
  <c r="T65" i="1" s="1"/>
  <c r="V70" i="1"/>
  <c r="V82" i="1"/>
  <c r="T17" i="1"/>
  <c r="G71" i="1"/>
  <c r="G86" i="1" s="1"/>
  <c r="X29" i="1"/>
  <c r="W56" i="1"/>
  <c r="U33" i="1"/>
  <c r="U51" i="1" s="1"/>
  <c r="U71" i="1" s="1"/>
  <c r="U86" i="1" s="1"/>
  <c r="M26" i="1"/>
  <c r="X17" i="1"/>
  <c r="S37" i="1"/>
  <c r="X44" i="1"/>
  <c r="W66" i="1"/>
  <c r="S85" i="1"/>
  <c r="O85" i="1"/>
  <c r="L29" i="1"/>
  <c r="R29" i="1" s="1"/>
  <c r="K31" i="1"/>
  <c r="T12" i="1"/>
  <c r="J33" i="1"/>
  <c r="J51" i="1" s="1"/>
  <c r="J71" i="1" s="1"/>
  <c r="J86" i="1" s="1"/>
  <c r="T24" i="1"/>
  <c r="W29" i="1"/>
  <c r="W44" i="1"/>
  <c r="Q65" i="1"/>
  <c r="W65" i="1" s="1"/>
  <c r="T68" i="1"/>
  <c r="Q76" i="1"/>
  <c r="E85" i="1"/>
  <c r="P85" i="1"/>
  <c r="T29" i="1"/>
  <c r="S26" i="1"/>
  <c r="T30" i="1"/>
  <c r="Q50" i="1"/>
  <c r="S36" i="1"/>
  <c r="W48" i="1"/>
  <c r="K62" i="1"/>
  <c r="W57" i="1"/>
  <c r="W59" i="1"/>
  <c r="L78" i="1"/>
  <c r="O33" i="1"/>
  <c r="O51" i="1" s="1"/>
  <c r="O71" i="1" s="1"/>
  <c r="X42" i="1"/>
  <c r="W58" i="1"/>
  <c r="D33" i="1"/>
  <c r="L15" i="1"/>
  <c r="R15" i="1" s="1"/>
  <c r="X18" i="1"/>
  <c r="T47" i="1"/>
  <c r="T49" i="1"/>
  <c r="G85" i="1"/>
  <c r="U85" i="1"/>
  <c r="L85" i="1"/>
  <c r="W26" i="1"/>
  <c r="W13" i="1"/>
  <c r="X13" i="1"/>
  <c r="W11" i="1"/>
  <c r="V16" i="1"/>
  <c r="W18" i="1"/>
  <c r="X50" i="1"/>
  <c r="W50" i="1"/>
  <c r="F51" i="1"/>
  <c r="F71" i="1" s="1"/>
  <c r="F86" i="1" s="1"/>
  <c r="R11" i="1"/>
  <c r="X11" i="1"/>
  <c r="L18" i="1"/>
  <c r="R18" i="1" s="1"/>
  <c r="T18" i="1" s="1"/>
  <c r="W19" i="1"/>
  <c r="W22" i="1"/>
  <c r="K26" i="1"/>
  <c r="X26" i="1" s="1"/>
  <c r="S50" i="1"/>
  <c r="N51" i="1"/>
  <c r="N71" i="1" s="1"/>
  <c r="N86" i="1" s="1"/>
  <c r="X12" i="1"/>
  <c r="L20" i="1"/>
  <c r="R20" i="1" s="1"/>
  <c r="T20" i="1" s="1"/>
  <c r="V22" i="1"/>
  <c r="W28" i="1"/>
  <c r="Q31" i="1"/>
  <c r="E33" i="1"/>
  <c r="E51" i="1" s="1"/>
  <c r="E71" i="1" s="1"/>
  <c r="I33" i="1"/>
  <c r="I51" i="1" s="1"/>
  <c r="I71" i="1" s="1"/>
  <c r="I86" i="1" s="1"/>
  <c r="M33" i="1"/>
  <c r="L22" i="1"/>
  <c r="R22" i="1" s="1"/>
  <c r="T22" i="1" s="1"/>
  <c r="R28" i="1"/>
  <c r="L31" i="1"/>
  <c r="V50" i="1"/>
  <c r="M50" i="1"/>
  <c r="R39" i="1"/>
  <c r="T39" i="1" s="1"/>
  <c r="D51" i="1"/>
  <c r="D71" i="1" s="1"/>
  <c r="D86" i="1" s="1"/>
  <c r="X28" i="1"/>
  <c r="T35" i="1"/>
  <c r="X36" i="1"/>
  <c r="W36" i="1"/>
  <c r="P51" i="1"/>
  <c r="P71" i="1" s="1"/>
  <c r="T55" i="1"/>
  <c r="L42" i="1"/>
  <c r="R42" i="1" s="1"/>
  <c r="T42" i="1" s="1"/>
  <c r="L45" i="1"/>
  <c r="R45" i="1" s="1"/>
  <c r="T45" i="1" s="1"/>
  <c r="L54" i="1"/>
  <c r="V56" i="1"/>
  <c r="V62" i="1" s="1"/>
  <c r="L57" i="1"/>
  <c r="R57" i="1" s="1"/>
  <c r="T57" i="1" s="1"/>
  <c r="L59" i="1"/>
  <c r="R59" i="1" s="1"/>
  <c r="T59" i="1" s="1"/>
  <c r="L61" i="1"/>
  <c r="R61" i="1" s="1"/>
  <c r="X64" i="1"/>
  <c r="X65" i="1"/>
  <c r="Q70" i="1"/>
  <c r="Q62" i="1"/>
  <c r="S64" i="1"/>
  <c r="S70" i="1" s="1"/>
  <c r="T73" i="1"/>
  <c r="R75" i="1"/>
  <c r="V76" i="1"/>
  <c r="V78" i="1" s="1"/>
  <c r="R80" i="1"/>
  <c r="W35" i="1"/>
  <c r="L44" i="1"/>
  <c r="R44" i="1" s="1"/>
  <c r="T44" i="1" s="1"/>
  <c r="L48" i="1"/>
  <c r="R48" i="1" s="1"/>
  <c r="T48" i="1" s="1"/>
  <c r="L56" i="1"/>
  <c r="R56" i="1" s="1"/>
  <c r="T56" i="1" s="1"/>
  <c r="L58" i="1"/>
  <c r="R58" i="1" s="1"/>
  <c r="T58" i="1" s="1"/>
  <c r="L60" i="1"/>
  <c r="R60" i="1" s="1"/>
  <c r="T60" i="1" s="1"/>
  <c r="L64" i="1"/>
  <c r="S54" i="1"/>
  <c r="X54" i="1"/>
  <c r="S61" i="1"/>
  <c r="W76" i="1" l="1"/>
  <c r="X76" i="1"/>
  <c r="Q78" i="1"/>
  <c r="E86" i="1"/>
  <c r="S51" i="1"/>
  <c r="V85" i="1"/>
  <c r="P86" i="1"/>
  <c r="M51" i="1"/>
  <c r="M71" i="1" s="1"/>
  <c r="M86" i="1" s="1"/>
  <c r="K33" i="1"/>
  <c r="K51" i="1" s="1"/>
  <c r="K71" i="1" s="1"/>
  <c r="K86" i="1" s="1"/>
  <c r="O86" i="1"/>
  <c r="V26" i="1"/>
  <c r="V33" i="1" s="1"/>
  <c r="T36" i="1"/>
  <c r="T37" i="1"/>
  <c r="T75" i="1"/>
  <c r="T78" i="1" s="1"/>
  <c r="R78" i="1"/>
  <c r="L50" i="1"/>
  <c r="T61" i="1"/>
  <c r="R54" i="1"/>
  <c r="L62" i="1"/>
  <c r="T50" i="1"/>
  <c r="T15" i="1"/>
  <c r="T26" i="1" s="1"/>
  <c r="R26" i="1"/>
  <c r="S62" i="1"/>
  <c r="T80" i="1"/>
  <c r="T82" i="1" s="1"/>
  <c r="T85" i="1" s="1"/>
  <c r="R82" i="1"/>
  <c r="X70" i="1"/>
  <c r="W70" i="1"/>
  <c r="R50" i="1"/>
  <c r="V51" i="1"/>
  <c r="V71" i="1" s="1"/>
  <c r="V86" i="1" s="1"/>
  <c r="L70" i="1"/>
  <c r="R64" i="1"/>
  <c r="R13" i="1"/>
  <c r="T11" i="1"/>
  <c r="T13" i="1" s="1"/>
  <c r="W62" i="1"/>
  <c r="X62" i="1"/>
  <c r="R31" i="1"/>
  <c r="T28" i="1"/>
  <c r="T31" i="1" s="1"/>
  <c r="X31" i="1"/>
  <c r="W31" i="1"/>
  <c r="S71" i="1"/>
  <c r="S86" i="1" s="1"/>
  <c r="Q33" i="1"/>
  <c r="L26" i="1"/>
  <c r="L33" i="1" s="1"/>
  <c r="X78" i="1" l="1"/>
  <c r="Q85" i="1"/>
  <c r="W78" i="1"/>
  <c r="T64" i="1"/>
  <c r="T70" i="1" s="1"/>
  <c r="R70" i="1"/>
  <c r="L51" i="1"/>
  <c r="L71" i="1" s="1"/>
  <c r="L86" i="1" s="1"/>
  <c r="R85" i="1"/>
  <c r="R33" i="1"/>
  <c r="R51" i="1" s="1"/>
  <c r="W33" i="1"/>
  <c r="X33" i="1"/>
  <c r="Q51" i="1"/>
  <c r="T33" i="1"/>
  <c r="T51" i="1" s="1"/>
  <c r="T71" i="1" s="1"/>
  <c r="T86" i="1" s="1"/>
  <c r="R62" i="1"/>
  <c r="T54" i="1"/>
  <c r="T62" i="1" s="1"/>
  <c r="X85" i="1" l="1"/>
  <c r="W85" i="1"/>
  <c r="R71" i="1"/>
  <c r="R86" i="1" s="1"/>
  <c r="X51" i="1"/>
  <c r="Q71" i="1"/>
  <c r="W51" i="1"/>
  <c r="Q86" i="1" l="1"/>
  <c r="W71" i="1"/>
  <c r="X71" i="1"/>
  <c r="X86" i="1" l="1"/>
  <c r="W86" i="1"/>
  <c r="F8" i="2"/>
</calcChain>
</file>

<file path=xl/sharedStrings.xml><?xml version="1.0" encoding="utf-8"?>
<sst xmlns="http://schemas.openxmlformats.org/spreadsheetml/2006/main" count="203" uniqueCount="152">
  <si>
    <t>Balance to be refunded to MoMSME</t>
  </si>
  <si>
    <t xml:space="preserve">Statement showing the details of Receipts &amp; Payments position of KVIC Schemes during the period from 01.04.2023 TO 30.03.2024                                                 </t>
  </si>
  <si>
    <t xml:space="preserve">     Scheme</t>
  </si>
  <si>
    <t>Modified RE   2022-2023</t>
  </si>
  <si>
    <t>BE for the year 2023-24</t>
  </si>
  <si>
    <t>RE  for the year  2023-24</t>
  </si>
  <si>
    <t>RECEIPTS</t>
  </si>
  <si>
    <t>PAYMENTS</t>
  </si>
  <si>
    <t>Closing Balance</t>
  </si>
  <si>
    <t>Total Closing Balance</t>
  </si>
  <si>
    <t>Expected Expend / payment in process.</t>
  </si>
  <si>
    <t>% of Expend. on RE</t>
  </si>
  <si>
    <t>% of Expend. on Govt. Receipts</t>
  </si>
  <si>
    <t xml:space="preserve">                       SBI</t>
  </si>
  <si>
    <t xml:space="preserve">                      RBI</t>
  </si>
  <si>
    <t>RE                         approved by Ministry                2019-2020</t>
  </si>
  <si>
    <t>Opening balance as on      01.04.23</t>
  </si>
  <si>
    <t>Refund from Field Offices</t>
  </si>
  <si>
    <t>Internal Transfer</t>
  </si>
  <si>
    <t>Govt. Receipt</t>
  </si>
  <si>
    <t>Total fund</t>
  </si>
  <si>
    <t xml:space="preserve">Fund refund to MSME </t>
  </si>
  <si>
    <t xml:space="preserve">Disbursement  </t>
  </si>
  <si>
    <t>Total disburse      ment (SBI+RBI)</t>
  </si>
  <si>
    <t>SBI</t>
  </si>
  <si>
    <t>RBI</t>
  </si>
  <si>
    <t>19 = (5+6-11-13)</t>
  </si>
  <si>
    <t>KHADI VIKAS YOJANA</t>
  </si>
  <si>
    <t>A)</t>
  </si>
  <si>
    <t>Subsidies</t>
  </si>
  <si>
    <t>I</t>
  </si>
  <si>
    <t>MMDA</t>
  </si>
  <si>
    <t>II</t>
  </si>
  <si>
    <t xml:space="preserve">ISEC </t>
  </si>
  <si>
    <t>Total Subsidies</t>
  </si>
  <si>
    <t xml:space="preserve">B)   </t>
  </si>
  <si>
    <t>Grant - In Aid</t>
  </si>
  <si>
    <t>Khadi Quality Assurance</t>
  </si>
  <si>
    <t>Capacity Building (Revenue)</t>
  </si>
  <si>
    <t>III</t>
  </si>
  <si>
    <t>Marketing</t>
  </si>
  <si>
    <t>IV</t>
  </si>
  <si>
    <t>Stengthening of Weak Khadi Inst.</t>
  </si>
  <si>
    <t>V</t>
  </si>
  <si>
    <t>S &amp; T (Khadi)</t>
  </si>
  <si>
    <t>VI</t>
  </si>
  <si>
    <t>Setting up of a design house</t>
  </si>
  <si>
    <t>VII</t>
  </si>
  <si>
    <t>Janashree Bima Yojana (Insu)</t>
  </si>
  <si>
    <t>VIII</t>
  </si>
  <si>
    <t>Ec.R (Survey &amp; Studies)</t>
  </si>
  <si>
    <t>IX</t>
  </si>
  <si>
    <t>Promotional Grant-Including Misc. Fees for Litigation:</t>
  </si>
  <si>
    <t>a</t>
  </si>
  <si>
    <t>Promotional Grant</t>
  </si>
  <si>
    <t>b</t>
  </si>
  <si>
    <t>Legal Affairs</t>
  </si>
  <si>
    <t>Total Grant - In - Aid</t>
  </si>
  <si>
    <t>C)</t>
  </si>
  <si>
    <t>Crant for Creaton of Capital Assets</t>
  </si>
  <si>
    <t>Workshed Scheme</t>
  </si>
  <si>
    <t>Strenghening of Mktg. Infra.</t>
  </si>
  <si>
    <t>Estates &amp; Services (Capital)</t>
  </si>
  <si>
    <t>Total Grant for Creation of C.A.</t>
  </si>
  <si>
    <t>D)</t>
  </si>
  <si>
    <t>Interest Subsidy  -Book Adj.(K)</t>
  </si>
  <si>
    <t>K.V.Y.  TOTAL(A+B+C+D) :</t>
  </si>
  <si>
    <t>E)</t>
  </si>
  <si>
    <t>GIA-Capacity Bldg. &amp; Other Activities</t>
  </si>
  <si>
    <t>S &amp; T (VI)</t>
  </si>
  <si>
    <t>Capacity Building (V.I.)</t>
  </si>
  <si>
    <t>State Board Cell (SBC)</t>
  </si>
  <si>
    <t>V. I. Coordination :-</t>
  </si>
  <si>
    <t>VIC</t>
  </si>
  <si>
    <t>GST</t>
  </si>
  <si>
    <t>c</t>
  </si>
  <si>
    <t>Accounts</t>
  </si>
  <si>
    <t>Commission meeting</t>
  </si>
  <si>
    <t>Audit</t>
  </si>
  <si>
    <t>I. T.</t>
  </si>
  <si>
    <t>Estates &amp; Services (Revenue)</t>
  </si>
  <si>
    <t>Legal</t>
  </si>
  <si>
    <t>X</t>
  </si>
  <si>
    <t>Ec.R</t>
  </si>
  <si>
    <t>XI</t>
  </si>
  <si>
    <t xml:space="preserve">Publicity </t>
  </si>
  <si>
    <t>XII</t>
  </si>
  <si>
    <t>Swachtta Action Plan (VI)</t>
  </si>
  <si>
    <t>GIA-Capacity Bldg. &amp; Other Activities TOTAL</t>
  </si>
  <si>
    <t xml:space="preserve">KHADI VIKAS YOJANA (A TO E) - TOTAL </t>
  </si>
  <si>
    <t xml:space="preserve"> F)        GRAMODYOG VIKAS YOJANA              </t>
  </si>
  <si>
    <t>Activities of dedicated Verticals :-</t>
  </si>
  <si>
    <t>FBI (Honey Mission)</t>
  </si>
  <si>
    <t>Agro Based &amp; Food Processing Industry</t>
  </si>
  <si>
    <t>HMPI</t>
  </si>
  <si>
    <t>Leather &amp; Plastic</t>
  </si>
  <si>
    <t>Rural Engg.&amp; New Tech.Ind (RENTI)</t>
  </si>
  <si>
    <t>Mineral Based Industry (Pottery Ind)</t>
  </si>
  <si>
    <t>Wellness &amp; Cosmetic Industry (Agarbatti)</t>
  </si>
  <si>
    <t>Service Industry</t>
  </si>
  <si>
    <t xml:space="preserve">GRAM. VIKAS YOJANA (F)  TOTAL </t>
  </si>
  <si>
    <t>G)</t>
  </si>
  <si>
    <t>KHADI GRANT (Est. Exp.)</t>
  </si>
  <si>
    <t>Salary &amp; Allowance</t>
  </si>
  <si>
    <t>Pension</t>
  </si>
  <si>
    <t>T.A.</t>
  </si>
  <si>
    <t>Contingency</t>
  </si>
  <si>
    <t>Swachtta Action Plan</t>
  </si>
  <si>
    <t>Loans &amp; Advances</t>
  </si>
  <si>
    <t>KHADI GRANT (G) - TOTAL</t>
  </si>
  <si>
    <t>KVY + GVY + KG  (A to G)  - TOTAL</t>
  </si>
  <si>
    <t>H)</t>
  </si>
  <si>
    <t>OTHER SCHEMES</t>
  </si>
  <si>
    <t>Solar Charkha Mission</t>
  </si>
  <si>
    <t xml:space="preserve">PMEGP                            </t>
  </si>
  <si>
    <t>(Subsidies) - Margin Money</t>
  </si>
  <si>
    <t xml:space="preserve">                     BFL</t>
  </si>
  <si>
    <t xml:space="preserve">                     REGP (OLD)</t>
  </si>
  <si>
    <t xml:space="preserve"> PMEGP - TOTAL :</t>
  </si>
  <si>
    <t xml:space="preserve">SFURTI               </t>
  </si>
  <si>
    <t>Programme fund</t>
  </si>
  <si>
    <t xml:space="preserve"> Admn.fund</t>
  </si>
  <si>
    <t>SFURTI - TOTAL :</t>
  </si>
  <si>
    <t>KRDP (ADB)</t>
  </si>
  <si>
    <t>ASPIRE</t>
  </si>
  <si>
    <t xml:space="preserve">         OTHER SCHEME - (H) TOTAL</t>
  </si>
  <si>
    <t>GRAND TOTAL (A to H)</t>
  </si>
  <si>
    <t xml:space="preserve">Printed on  - </t>
  </si>
  <si>
    <t xml:space="preserve">                                                             PROVISIONAL -    2023 - 2024    (Revised)                                                                           (Rs. in Crore)         </t>
  </si>
  <si>
    <r>
      <t xml:space="preserve">10=        </t>
    </r>
    <r>
      <rPr>
        <sz val="11"/>
        <rFont val="Bookman Old Style"/>
        <family val="1"/>
      </rPr>
      <t>(5 to 9)</t>
    </r>
  </si>
  <si>
    <r>
      <t xml:space="preserve">15= </t>
    </r>
    <r>
      <rPr>
        <sz val="11"/>
        <rFont val="Bookman Old Style"/>
        <family val="1"/>
      </rPr>
      <t>(13+14)</t>
    </r>
  </si>
  <si>
    <r>
      <t>16=</t>
    </r>
    <r>
      <rPr>
        <sz val="11"/>
        <rFont val="Bookman Old Style"/>
        <family val="1"/>
      </rPr>
      <t>(10-9-11-12-13)</t>
    </r>
  </si>
  <si>
    <r>
      <t xml:space="preserve">17=        </t>
    </r>
    <r>
      <rPr>
        <sz val="11"/>
        <rFont val="Bookman Old Style"/>
        <family val="1"/>
      </rPr>
      <t>(9-14)</t>
    </r>
  </si>
  <si>
    <r>
      <t xml:space="preserve">18= </t>
    </r>
    <r>
      <rPr>
        <sz val="11"/>
        <rFont val="Bookman Old Style"/>
        <family val="1"/>
      </rPr>
      <t>(16+17)</t>
    </r>
  </si>
  <si>
    <t>STATEMENT SHOWING THE  REVISED ESTIMATE(RE), EXPENDITURE DUEING THE YEAR 2023-24 AND 2022-23</t>
  </si>
  <si>
    <t>Sr. No</t>
  </si>
  <si>
    <t>Name of the Scheme</t>
  </si>
  <si>
    <t>RE</t>
  </si>
  <si>
    <t>Govt.Receipt</t>
  </si>
  <si>
    <t>Expenditure</t>
  </si>
  <si>
    <t>%of Expenditure on RE</t>
  </si>
  <si>
    <t>% of Expenditure on Govt Receipt</t>
  </si>
  <si>
    <t>Khadi Vikas Yojana</t>
  </si>
  <si>
    <t>Gramodyog Vikas Yojana</t>
  </si>
  <si>
    <t>Khadi Grant</t>
  </si>
  <si>
    <t>PMEGP</t>
  </si>
  <si>
    <t>YEAR</t>
  </si>
  <si>
    <t>2022-23</t>
  </si>
  <si>
    <t>2023-24</t>
  </si>
  <si>
    <t>Total 2023-24</t>
  </si>
  <si>
    <t>(Rs in Crores.)</t>
  </si>
  <si>
    <t>RE Surended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</si>
</sst>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43" formatCode="_(* #,##0.00_);_(* \(#,##0.00\);_(* &quot;-&quot;??_);_(@_)"/>
    <numFmt numFmtId="164" formatCode="_ * #,##0.00_ ;_ * \-#,##0.00_ ;_ * &quot;-&quot;??_ ;_ @_ "/>
    <numFmt numFmtId="165" formatCode="0.000"/>
    <numFmt numFmtId="166" formatCode="_ * #,##0.000_ ;_ * \-#,##0.000_ ;_ * &quot;-&quot;??_ ;_ @_ "/>
    <numFmt numFmtId="167" formatCode="0.0000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Bookman Old Style"/>
      <family val="1"/>
    </font>
    <font>
      <sz val="11"/>
      <name val="Bookman Old Style"/>
      <family val="1"/>
    </font>
    <font>
      <b/>
      <sz val="11"/>
      <name val="Tahoma"/>
      <family val="2"/>
    </font>
    <font>
      <sz val="11"/>
      <color indexed="8"/>
      <name val="Bookman Old Style"/>
      <family val="1"/>
    </font>
    <font>
      <b/>
      <sz val="11"/>
      <color indexed="8"/>
      <name val="Bookman Old Style"/>
      <family val="1"/>
    </font>
    <font>
      <sz val="11"/>
      <color theme="0"/>
      <name val="Bookman Old Style"/>
      <family val="1"/>
    </font>
    <font>
      <u/>
      <sz val="11"/>
      <name val="Bookman Old Style"/>
      <family val="1"/>
    </font>
    <font>
      <b/>
      <sz val="11"/>
      <name val="Bahnschrift"/>
      <family val="2"/>
    </font>
    <font>
      <sz val="11"/>
      <name val="Bahnschrift"/>
      <family val="2"/>
    </font>
    <font>
      <i/>
      <sz val="11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5" fontId="2" fillId="0" borderId="0" applyFont="0" applyFill="0" applyBorder="0" applyAlignment="0" applyProtection="0"/>
    <xf numFmtId="0" fontId="2" fillId="0" borderId="0"/>
    <xf numFmtId="0" fontId="1" fillId="0" borderId="0"/>
  </cellStyleXfs>
  <cellXfs count="227">
    <xf numFmtId="0" fontId="0" fillId="0" borderId="0" xfId="0"/>
    <xf numFmtId="0" fontId="4" fillId="0" borderId="1" xfId="0" applyFont="1" applyBorder="1"/>
    <xf numFmtId="0" fontId="4" fillId="0" borderId="4" xfId="0" applyFont="1" applyBorder="1"/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vertical="top" wrapText="1"/>
    </xf>
    <xf numFmtId="0" fontId="3" fillId="0" borderId="14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9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20" xfId="0" applyFont="1" applyBorder="1" applyAlignment="1">
      <alignment horizontal="center"/>
    </xf>
    <xf numFmtId="0" fontId="4" fillId="0" borderId="19" xfId="0" applyFont="1" applyBorder="1" applyAlignment="1">
      <alignment horizontal="center" wrapText="1"/>
    </xf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/>
    <xf numFmtId="0" fontId="3" fillId="0" borderId="23" xfId="0" applyFont="1" applyBorder="1" applyAlignment="1"/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/>
    </xf>
    <xf numFmtId="0" fontId="3" fillId="0" borderId="9" xfId="0" applyFont="1" applyBorder="1" applyAlignment="1">
      <alignment horizontal="left"/>
    </xf>
    <xf numFmtId="0" fontId="4" fillId="0" borderId="7" xfId="0" applyFont="1" applyBorder="1"/>
    <xf numFmtId="0" fontId="3" fillId="0" borderId="24" xfId="0" applyFont="1" applyBorder="1" applyAlignment="1"/>
    <xf numFmtId="0" fontId="3" fillId="0" borderId="25" xfId="0" applyFont="1" applyBorder="1" applyAlignment="1"/>
    <xf numFmtId="0" fontId="4" fillId="0" borderId="12" xfId="0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right"/>
    </xf>
    <xf numFmtId="164" fontId="4" fillId="0" borderId="12" xfId="1" applyFont="1" applyBorder="1" applyAlignment="1">
      <alignment horizontal="right"/>
    </xf>
    <xf numFmtId="2" fontId="4" fillId="0" borderId="12" xfId="0" applyNumberFormat="1" applyFont="1" applyBorder="1" applyAlignment="1">
      <alignment horizontal="right"/>
    </xf>
    <xf numFmtId="2" fontId="3" fillId="0" borderId="12" xfId="0" applyNumberFormat="1" applyFont="1" applyBorder="1" applyAlignment="1">
      <alignment horizontal="right"/>
    </xf>
    <xf numFmtId="2" fontId="4" fillId="0" borderId="13" xfId="0" applyNumberFormat="1" applyFont="1" applyBorder="1" applyAlignment="1">
      <alignment horizontal="right"/>
    </xf>
    <xf numFmtId="164" fontId="4" fillId="0" borderId="12" xfId="0" applyNumberFormat="1" applyFont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2" fontId="4" fillId="0" borderId="12" xfId="0" applyNumberFormat="1" applyFont="1" applyBorder="1"/>
    <xf numFmtId="2" fontId="3" fillId="0" borderId="12" xfId="0" applyNumberFormat="1" applyFont="1" applyBorder="1"/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right"/>
    </xf>
    <xf numFmtId="2" fontId="3" fillId="3" borderId="12" xfId="0" applyNumberFormat="1" applyFont="1" applyFill="1" applyBorder="1"/>
    <xf numFmtId="2" fontId="3" fillId="3" borderId="12" xfId="0" applyNumberFormat="1" applyFont="1" applyFill="1" applyBorder="1" applyAlignment="1">
      <alignment horizontal="right"/>
    </xf>
    <xf numFmtId="0" fontId="3" fillId="0" borderId="11" xfId="0" applyFont="1" applyBorder="1" applyAlignment="1"/>
    <xf numFmtId="0" fontId="3" fillId="2" borderId="12" xfId="0" applyFont="1" applyFill="1" applyBorder="1" applyAlignment="1">
      <alignment horizontal="left"/>
    </xf>
    <xf numFmtId="2" fontId="4" fillId="2" borderId="12" xfId="0" applyNumberFormat="1" applyFont="1" applyFill="1" applyBorder="1"/>
    <xf numFmtId="2" fontId="4" fillId="2" borderId="12" xfId="0" applyNumberFormat="1" applyFont="1" applyFill="1" applyBorder="1" applyAlignment="1">
      <alignment horizontal="right"/>
    </xf>
    <xf numFmtId="0" fontId="4" fillId="2" borderId="12" xfId="0" applyFont="1" applyFill="1" applyBorder="1"/>
    <xf numFmtId="2" fontId="3" fillId="0" borderId="13" xfId="0" applyNumberFormat="1" applyFont="1" applyBorder="1" applyAlignment="1">
      <alignment horizontal="right"/>
    </xf>
    <xf numFmtId="0" fontId="4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2" fontId="6" fillId="0" borderId="12" xfId="0" applyNumberFormat="1" applyFont="1" applyBorder="1" applyAlignment="1">
      <alignment horizontal="right" vertical="center" wrapText="1"/>
    </xf>
    <xf numFmtId="2" fontId="4" fillId="0" borderId="12" xfId="0" applyNumberFormat="1" applyFont="1" applyBorder="1" applyAlignment="1">
      <alignment vertical="center"/>
    </xf>
    <xf numFmtId="2" fontId="4" fillId="0" borderId="12" xfId="0" applyNumberFormat="1" applyFont="1" applyBorder="1" applyAlignment="1">
      <alignment horizontal="right" vertical="center" wrapText="1"/>
    </xf>
    <xf numFmtId="2" fontId="3" fillId="0" borderId="13" xfId="0" applyNumberFormat="1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2" fontId="3" fillId="0" borderId="12" xfId="0" applyNumberFormat="1" applyFont="1" applyBorder="1" applyAlignment="1">
      <alignment vertical="center"/>
    </xf>
    <xf numFmtId="2" fontId="3" fillId="0" borderId="12" xfId="0" applyNumberFormat="1" applyFont="1" applyBorder="1" applyAlignment="1">
      <alignment horizontal="right" vertical="center" wrapText="1"/>
    </xf>
    <xf numFmtId="2" fontId="4" fillId="0" borderId="12" xfId="0" applyNumberFormat="1" applyFont="1" applyBorder="1" applyAlignment="1"/>
    <xf numFmtId="2" fontId="4" fillId="0" borderId="13" xfId="0" applyNumberFormat="1" applyFont="1" applyBorder="1" applyAlignment="1"/>
    <xf numFmtId="0" fontId="3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right" vertical="center" wrapText="1"/>
    </xf>
    <xf numFmtId="2" fontId="6" fillId="3" borderId="12" xfId="0" applyNumberFormat="1" applyFont="1" applyFill="1" applyBorder="1" applyAlignment="1">
      <alignment horizontal="right" vertical="center" wrapText="1"/>
    </xf>
    <xf numFmtId="0" fontId="3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/>
    </xf>
    <xf numFmtId="0" fontId="4" fillId="0" borderId="12" xfId="0" applyFont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4" fillId="0" borderId="27" xfId="0" applyFont="1" applyBorder="1" applyAlignment="1">
      <alignment horizontal="center" vertical="center"/>
    </xf>
    <xf numFmtId="165" fontId="4" fillId="0" borderId="12" xfId="0" applyNumberFormat="1" applyFont="1" applyBorder="1" applyAlignment="1">
      <alignment horizontal="right"/>
    </xf>
    <xf numFmtId="2" fontId="7" fillId="3" borderId="12" xfId="0" applyNumberFormat="1" applyFont="1" applyFill="1" applyBorder="1" applyAlignment="1">
      <alignment horizontal="right" vertical="center" wrapText="1"/>
    </xf>
    <xf numFmtId="2" fontId="4" fillId="0" borderId="12" xfId="0" applyNumberFormat="1" applyFont="1" applyBorder="1" applyAlignment="1">
      <alignment horizontal="right" vertical="center"/>
    </xf>
    <xf numFmtId="2" fontId="3" fillId="4" borderId="12" xfId="0" applyNumberFormat="1" applyFont="1" applyFill="1" applyBorder="1" applyAlignment="1">
      <alignment vertical="center"/>
    </xf>
    <xf numFmtId="2" fontId="3" fillId="4" borderId="12" xfId="0" applyNumberFormat="1" applyFont="1" applyFill="1" applyBorder="1" applyAlignment="1">
      <alignment horizontal="right" vertical="center"/>
    </xf>
    <xf numFmtId="0" fontId="3" fillId="0" borderId="12" xfId="0" applyFont="1" applyBorder="1" applyAlignment="1">
      <alignment horizontal="left" vertical="center" wrapText="1"/>
    </xf>
    <xf numFmtId="2" fontId="3" fillId="0" borderId="12" xfId="0" applyNumberFormat="1" applyFont="1" applyBorder="1" applyAlignment="1"/>
    <xf numFmtId="2" fontId="3" fillId="0" borderId="12" xfId="0" applyNumberFormat="1" applyFont="1" applyBorder="1" applyAlignment="1">
      <alignment horizontal="right" vertical="center"/>
    </xf>
    <xf numFmtId="2" fontId="3" fillId="4" borderId="28" xfId="0" applyNumberFormat="1" applyFont="1" applyFill="1" applyBorder="1" applyAlignment="1">
      <alignment vertical="center"/>
    </xf>
    <xf numFmtId="0" fontId="4" fillId="0" borderId="12" xfId="0" applyFont="1" applyBorder="1" applyAlignment="1">
      <alignment horizontal="left" vertical="center" wrapText="1"/>
    </xf>
    <xf numFmtId="165" fontId="4" fillId="0" borderId="12" xfId="0" applyNumberFormat="1" applyFont="1" applyBorder="1" applyAlignment="1">
      <alignment horizontal="right" vertical="center" wrapText="1"/>
    </xf>
    <xf numFmtId="165" fontId="4" fillId="0" borderId="12" xfId="0" applyNumberFormat="1" applyFont="1" applyBorder="1" applyAlignment="1">
      <alignment horizontal="right" vertical="center"/>
    </xf>
    <xf numFmtId="2" fontId="4" fillId="0" borderId="14" xfId="0" applyNumberFormat="1" applyFont="1" applyBorder="1" applyAlignment="1">
      <alignment horizontal="right" vertical="center"/>
    </xf>
    <xf numFmtId="2" fontId="4" fillId="0" borderId="14" xfId="0" applyNumberFormat="1" applyFont="1" applyBorder="1" applyAlignment="1">
      <alignment vertical="center" wrapText="1"/>
    </xf>
    <xf numFmtId="2" fontId="4" fillId="0" borderId="10" xfId="0" applyNumberFormat="1" applyFont="1" applyBorder="1" applyAlignment="1">
      <alignment horizontal="right" vertical="center"/>
    </xf>
    <xf numFmtId="2" fontId="4" fillId="0" borderId="10" xfId="0" applyNumberFormat="1" applyFont="1" applyBorder="1" applyAlignment="1">
      <alignment vertical="center" wrapText="1"/>
    </xf>
    <xf numFmtId="2" fontId="4" fillId="0" borderId="7" xfId="0" applyNumberFormat="1" applyFont="1" applyBorder="1" applyAlignment="1">
      <alignment horizontal="right" vertical="center"/>
    </xf>
    <xf numFmtId="2" fontId="4" fillId="0" borderId="7" xfId="0" applyNumberFormat="1" applyFont="1" applyBorder="1" applyAlignment="1">
      <alignment vertical="center" wrapText="1"/>
    </xf>
    <xf numFmtId="2" fontId="4" fillId="0" borderId="7" xfId="0" applyNumberFormat="1" applyFont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2" fontId="4" fillId="3" borderId="12" xfId="0" applyNumberFormat="1" applyFont="1" applyFill="1" applyBorder="1" applyAlignment="1">
      <alignment vertical="center"/>
    </xf>
    <xf numFmtId="2" fontId="3" fillId="3" borderId="12" xfId="0" applyNumberFormat="1" applyFont="1" applyFill="1" applyBorder="1" applyAlignment="1">
      <alignment vertical="center"/>
    </xf>
    <xf numFmtId="166" fontId="3" fillId="3" borderId="12" xfId="1" applyNumberFormat="1" applyFont="1" applyFill="1" applyBorder="1" applyAlignment="1">
      <alignment vertical="center"/>
    </xf>
    <xf numFmtId="2" fontId="3" fillId="3" borderId="12" xfId="0" applyNumberFormat="1" applyFont="1" applyFill="1" applyBorder="1" applyAlignment="1">
      <alignment horizontal="right" vertical="center"/>
    </xf>
    <xf numFmtId="0" fontId="3" fillId="4" borderId="12" xfId="0" applyFont="1" applyFill="1" applyBorder="1" applyAlignment="1">
      <alignment horizontal="right" vertical="center"/>
    </xf>
    <xf numFmtId="2" fontId="4" fillId="4" borderId="12" xfId="0" applyNumberFormat="1" applyFont="1" applyFill="1" applyBorder="1" applyAlignment="1">
      <alignment vertical="center"/>
    </xf>
    <xf numFmtId="165" fontId="3" fillId="4" borderId="12" xfId="0" applyNumberFormat="1" applyFont="1" applyFill="1" applyBorder="1" applyAlignment="1">
      <alignment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vertical="center"/>
    </xf>
    <xf numFmtId="0" fontId="4" fillId="0" borderId="12" xfId="0" applyFont="1" applyBorder="1" applyAlignment="1">
      <alignment vertical="center" wrapText="1"/>
    </xf>
    <xf numFmtId="2" fontId="4" fillId="2" borderId="12" xfId="0" applyNumberFormat="1" applyFont="1" applyFill="1" applyBorder="1" applyAlignment="1">
      <alignment horizontal="right" vertical="center"/>
    </xf>
    <xf numFmtId="2" fontId="3" fillId="0" borderId="13" xfId="0" applyNumberFormat="1" applyFont="1" applyBorder="1" applyAlignment="1">
      <alignment horizontal="right" vertical="center"/>
    </xf>
    <xf numFmtId="2" fontId="4" fillId="0" borderId="12" xfId="0" applyNumberFormat="1" applyFont="1" applyBorder="1" applyAlignment="1">
      <alignment vertical="top"/>
    </xf>
    <xf numFmtId="0" fontId="4" fillId="0" borderId="12" xfId="0" applyFont="1" applyBorder="1" applyAlignment="1"/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vertical="center" wrapText="1"/>
    </xf>
    <xf numFmtId="2" fontId="3" fillId="4" borderId="13" xfId="0" applyNumberFormat="1" applyFont="1" applyFill="1" applyBorder="1"/>
    <xf numFmtId="0" fontId="3" fillId="0" borderId="12" xfId="0" applyFont="1" applyBorder="1" applyAlignment="1">
      <alignment horizontal="right" vertical="center"/>
    </xf>
    <xf numFmtId="0" fontId="3" fillId="3" borderId="12" xfId="0" applyFont="1" applyFill="1" applyBorder="1" applyAlignment="1">
      <alignment horizontal="right" vertical="center"/>
    </xf>
    <xf numFmtId="0" fontId="3" fillId="4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left" vertical="center"/>
    </xf>
    <xf numFmtId="2" fontId="4" fillId="2" borderId="12" xfId="0" applyNumberFormat="1" applyFont="1" applyFill="1" applyBorder="1" applyAlignment="1">
      <alignment vertical="center"/>
    </xf>
    <xf numFmtId="2" fontId="3" fillId="2" borderId="12" xfId="0" applyNumberFormat="1" applyFont="1" applyFill="1" applyBorder="1" applyAlignment="1">
      <alignment vertical="center"/>
    </xf>
    <xf numFmtId="2" fontId="3" fillId="2" borderId="12" xfId="0" applyNumberFormat="1" applyFont="1" applyFill="1" applyBorder="1" applyAlignment="1">
      <alignment horizontal="right" vertical="center"/>
    </xf>
    <xf numFmtId="2" fontId="3" fillId="2" borderId="13" xfId="0" applyNumberFormat="1" applyFont="1" applyFill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2" fontId="8" fillId="2" borderId="12" xfId="0" applyNumberFormat="1" applyFont="1" applyFill="1" applyBorder="1" applyAlignment="1">
      <alignment vertical="center"/>
    </xf>
    <xf numFmtId="0" fontId="4" fillId="3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left" vertical="center"/>
    </xf>
    <xf numFmtId="2" fontId="3" fillId="0" borderId="12" xfId="0" applyNumberFormat="1" applyFont="1" applyFill="1" applyBorder="1" applyAlignment="1">
      <alignment vertical="center"/>
    </xf>
    <xf numFmtId="2" fontId="3" fillId="0" borderId="12" xfId="0" applyNumberFormat="1" applyFont="1" applyFill="1" applyBorder="1" applyAlignment="1">
      <alignment horizontal="right" vertical="center"/>
    </xf>
    <xf numFmtId="2" fontId="3" fillId="0" borderId="13" xfId="0" applyNumberFormat="1" applyFont="1" applyFill="1" applyBorder="1" applyAlignment="1">
      <alignment vertical="center"/>
    </xf>
    <xf numFmtId="0" fontId="3" fillId="0" borderId="12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vertical="center"/>
    </xf>
    <xf numFmtId="2" fontId="9" fillId="0" borderId="12" xfId="0" applyNumberFormat="1" applyFont="1" applyBorder="1" applyAlignment="1">
      <alignment vertical="center"/>
    </xf>
    <xf numFmtId="2" fontId="3" fillId="3" borderId="14" xfId="0" applyNumberFormat="1" applyFont="1" applyFill="1" applyBorder="1" applyAlignment="1">
      <alignment vertical="center"/>
    </xf>
    <xf numFmtId="2" fontId="3" fillId="3" borderId="14" xfId="0" applyNumberFormat="1" applyFont="1" applyFill="1" applyBorder="1" applyAlignment="1">
      <alignment horizontal="right" vertical="center"/>
    </xf>
    <xf numFmtId="2" fontId="10" fillId="4" borderId="19" xfId="0" applyNumberFormat="1" applyFont="1" applyFill="1" applyBorder="1" applyAlignment="1">
      <alignment vertical="center"/>
    </xf>
    <xf numFmtId="2" fontId="10" fillId="4" borderId="19" xfId="0" applyNumberFormat="1" applyFont="1" applyFill="1" applyBorder="1" applyAlignment="1"/>
    <xf numFmtId="165" fontId="10" fillId="4" borderId="19" xfId="0" applyNumberFormat="1" applyFont="1" applyFill="1" applyBorder="1" applyAlignment="1"/>
    <xf numFmtId="2" fontId="10" fillId="4" borderId="19" xfId="0" applyNumberFormat="1" applyFont="1" applyFill="1" applyBorder="1" applyAlignment="1">
      <alignment horizontal="right"/>
    </xf>
    <xf numFmtId="2" fontId="10" fillId="4" borderId="21" xfId="0" applyNumberFormat="1" applyFont="1" applyFill="1" applyBorder="1" applyAlignment="1"/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1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3" fillId="3" borderId="0" xfId="0" applyFont="1" applyFill="1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3" fillId="3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0" fillId="2" borderId="0" xfId="0" applyFont="1" applyFill="1" applyBorder="1" applyAlignment="1">
      <alignment horizontal="right" vertical="center"/>
    </xf>
    <xf numFmtId="2" fontId="10" fillId="2" borderId="0" xfId="0" applyNumberFormat="1" applyFont="1" applyFill="1" applyBorder="1" applyAlignment="1">
      <alignment vertical="center"/>
    </xf>
    <xf numFmtId="2" fontId="10" fillId="2" borderId="0" xfId="0" applyNumberFormat="1" applyFont="1" applyFill="1" applyBorder="1" applyAlignment="1"/>
    <xf numFmtId="2" fontId="11" fillId="2" borderId="0" xfId="0" applyNumberFormat="1" applyFont="1" applyFill="1" applyBorder="1" applyAlignment="1"/>
    <xf numFmtId="2" fontId="10" fillId="2" borderId="0" xfId="0" applyNumberFormat="1" applyFont="1" applyFill="1" applyBorder="1" applyAlignment="1">
      <alignment horizontal="right"/>
    </xf>
    <xf numFmtId="2" fontId="10" fillId="2" borderId="31" xfId="0" applyNumberFormat="1" applyFont="1" applyFill="1" applyBorder="1" applyAlignment="1"/>
    <xf numFmtId="0" fontId="4" fillId="0" borderId="0" xfId="0" applyFont="1" applyBorder="1"/>
    <xf numFmtId="0" fontId="12" fillId="0" borderId="0" xfId="0" applyFont="1" applyBorder="1"/>
    <xf numFmtId="0" fontId="3" fillId="0" borderId="13" xfId="0" applyFont="1" applyBorder="1"/>
    <xf numFmtId="2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3" fillId="0" borderId="0" xfId="0" applyFont="1" applyBorder="1"/>
    <xf numFmtId="2" fontId="4" fillId="0" borderId="0" xfId="0" applyNumberFormat="1" applyFont="1"/>
    <xf numFmtId="22" fontId="4" fillId="0" borderId="0" xfId="0" applyNumberFormat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3" borderId="27" xfId="0" applyFont="1" applyFill="1" applyBorder="1" applyAlignment="1">
      <alignment horizontal="right" vertical="center" wrapText="1"/>
    </xf>
    <xf numFmtId="0" fontId="3" fillId="3" borderId="15" xfId="0" applyFont="1" applyFill="1" applyBorder="1" applyAlignment="1">
      <alignment horizontal="right" vertical="center" wrapText="1"/>
    </xf>
    <xf numFmtId="0" fontId="3" fillId="3" borderId="29" xfId="0" applyFont="1" applyFill="1" applyBorder="1" applyAlignment="1">
      <alignment horizontal="right" vertical="center"/>
    </xf>
    <xf numFmtId="0" fontId="3" fillId="3" borderId="30" xfId="0" applyFont="1" applyFill="1" applyBorder="1" applyAlignment="1">
      <alignment horizontal="right" vertical="center"/>
    </xf>
    <xf numFmtId="0" fontId="10" fillId="4" borderId="18" xfId="0" applyFont="1" applyFill="1" applyBorder="1" applyAlignment="1">
      <alignment horizontal="right" vertical="center"/>
    </xf>
    <xf numFmtId="0" fontId="10" fillId="4" borderId="19" xfId="0" applyFont="1" applyFill="1" applyBorder="1" applyAlignment="1">
      <alignment horizontal="right" vertical="center"/>
    </xf>
    <xf numFmtId="22" fontId="3" fillId="0" borderId="28" xfId="0" applyNumberFormat="1" applyFont="1" applyBorder="1" applyAlignment="1">
      <alignment horizontal="center"/>
    </xf>
    <xf numFmtId="22" fontId="3" fillId="0" borderId="15" xfId="0" applyNumberFormat="1" applyFont="1" applyBorder="1" applyAlignment="1">
      <alignment horizontal="center"/>
    </xf>
    <xf numFmtId="2" fontId="4" fillId="0" borderId="14" xfId="0" applyNumberFormat="1" applyFont="1" applyBorder="1" applyAlignment="1">
      <alignment horizontal="right" vertical="center"/>
    </xf>
    <xf numFmtId="2" fontId="4" fillId="0" borderId="10" xfId="0" applyNumberFormat="1" applyFont="1" applyBorder="1" applyAlignment="1">
      <alignment horizontal="right" vertical="center"/>
    </xf>
    <xf numFmtId="2" fontId="4" fillId="0" borderId="7" xfId="0" applyNumberFormat="1" applyFont="1" applyBorder="1" applyAlignment="1">
      <alignment horizontal="right" vertical="center"/>
    </xf>
    <xf numFmtId="165" fontId="4" fillId="0" borderId="14" xfId="0" applyNumberFormat="1" applyFont="1" applyBorder="1" applyAlignment="1">
      <alignment horizontal="right" vertical="center"/>
    </xf>
    <xf numFmtId="165" fontId="4" fillId="0" borderId="10" xfId="0" applyNumberFormat="1" applyFont="1" applyBorder="1" applyAlignment="1">
      <alignment horizontal="right" vertical="center"/>
    </xf>
    <xf numFmtId="165" fontId="4" fillId="0" borderId="7" xfId="0" applyNumberFormat="1" applyFont="1" applyBorder="1" applyAlignment="1">
      <alignment horizontal="right" vertical="center"/>
    </xf>
    <xf numFmtId="2" fontId="4" fillId="2" borderId="14" xfId="0" applyNumberFormat="1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right" vertical="center"/>
    </xf>
    <xf numFmtId="2" fontId="4" fillId="2" borderId="7" xfId="0" applyNumberFormat="1" applyFont="1" applyFill="1" applyBorder="1" applyAlignment="1">
      <alignment horizontal="right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12" xfId="0" quotePrefix="1" applyFont="1" applyBorder="1" applyAlignment="1">
      <alignment horizontal="center" vertical="top" wrapText="1"/>
    </xf>
    <xf numFmtId="0" fontId="7" fillId="3" borderId="27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right" vertical="center"/>
    </xf>
    <xf numFmtId="0" fontId="3" fillId="4" borderId="15" xfId="0" applyFont="1" applyFill="1" applyBorder="1" applyAlignment="1">
      <alignment horizontal="right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1" applyFont="1"/>
    <xf numFmtId="43" fontId="0" fillId="0" borderId="0" xfId="0" applyNumberFormat="1"/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/>
  </cellXfs>
  <cellStyles count="6">
    <cellStyle name="Comma" xfId="1" builtinId="3"/>
    <cellStyle name="Comma 2" xfId="2"/>
    <cellStyle name="Comma 2 2" xfId="3"/>
    <cellStyle name="Normal" xfId="0" builtinId="0"/>
    <cellStyle name="Normal 2" xfId="4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512885</xdr:colOff>
      <xdr:row>31</xdr:row>
      <xdr:rowOff>622788</xdr:rowOff>
    </xdr:from>
    <xdr:ext cx="5092210" cy="266212"/>
    <xdr:sp macro="" textlink="">
      <xdr:nvSpPr>
        <xdr:cNvPr id="2" name="TextBox 1"/>
        <xdr:cNvSpPr txBox="1"/>
      </xdr:nvSpPr>
      <xdr:spPr>
        <a:xfrm>
          <a:off x="67426010" y="26645088"/>
          <a:ext cx="5092210" cy="26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  </a:t>
          </a:r>
          <a:endParaRPr lang="en-US" sz="2400"/>
        </a:p>
      </xdr:txBody>
    </xdr:sp>
    <xdr:clientData/>
  </xdr:oneCellAnchor>
  <xdr:oneCellAnchor>
    <xdr:from>
      <xdr:col>12</xdr:col>
      <xdr:colOff>2349500</xdr:colOff>
      <xdr:row>44</xdr:row>
      <xdr:rowOff>63501</xdr:rowOff>
    </xdr:from>
    <xdr:ext cx="1238250" cy="968983"/>
    <xdr:sp macro="" textlink="">
      <xdr:nvSpPr>
        <xdr:cNvPr id="3" name="TextBox 2"/>
        <xdr:cNvSpPr txBox="1"/>
      </xdr:nvSpPr>
      <xdr:spPr>
        <a:xfrm>
          <a:off x="33915350" y="36610926"/>
          <a:ext cx="1238250" cy="968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endParaRPr lang="en-US" sz="1100"/>
        </a:p>
        <a:p>
          <a:r>
            <a:rPr lang="en-US" sz="4500" b="1"/>
            <a:t> 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00"/>
  <sheetViews>
    <sheetView tabSelected="1" view="pageBreakPreview" zoomScaleSheetLayoutView="100" workbookViewId="0">
      <pane xSplit="3" ySplit="8" topLeftCell="K68" activePane="bottomRight" state="frozen"/>
      <selection pane="topRight" activeCell="D1" sqref="D1"/>
      <selection pane="bottomLeft" activeCell="A9" sqref="A9"/>
      <selection pane="bottomRight" activeCell="J51" sqref="J51:K51"/>
    </sheetView>
  </sheetViews>
  <sheetFormatPr defaultColWidth="9.140625" defaultRowHeight="15" x14ac:dyDescent="0.25"/>
  <cols>
    <col min="1" max="1" width="5.7109375" style="131" bestFit="1" customWidth="1"/>
    <col min="2" max="2" width="51.5703125" style="131" customWidth="1"/>
    <col min="3" max="3" width="30.28515625" style="131" hidden="1" customWidth="1"/>
    <col min="4" max="4" width="45.7109375" style="131" hidden="1" customWidth="1"/>
    <col min="5" max="5" width="27.7109375" style="131" bestFit="1" customWidth="1"/>
    <col min="6" max="6" width="18.28515625" style="131" customWidth="1"/>
    <col min="7" max="7" width="14.7109375" style="131" customWidth="1"/>
    <col min="8" max="8" width="15.42578125" style="131" customWidth="1"/>
    <col min="9" max="9" width="11.42578125" style="131" customWidth="1"/>
    <col min="10" max="10" width="10.5703125" style="131" bestFit="1" customWidth="1"/>
    <col min="11" max="11" width="10.5703125" style="132" bestFit="1" customWidth="1"/>
    <col min="12" max="12" width="18.85546875" style="131" bestFit="1" customWidth="1"/>
    <col min="13" max="13" width="14.7109375" style="131" customWidth="1"/>
    <col min="14" max="14" width="13.140625" style="131" customWidth="1"/>
    <col min="15" max="15" width="10.5703125" style="131" bestFit="1" customWidth="1"/>
    <col min="16" max="16" width="9.140625" style="131" bestFit="1" customWidth="1"/>
    <col min="17" max="17" width="16.85546875" style="131" customWidth="1"/>
    <col min="18" max="18" width="22.85546875" style="131" customWidth="1"/>
    <col min="19" max="19" width="11.5703125" style="131" customWidth="1"/>
    <col min="20" max="20" width="16.85546875" style="131" customWidth="1"/>
    <col min="21" max="21" width="30.42578125" style="131" hidden="1" customWidth="1"/>
    <col min="22" max="22" width="41.5703125" style="131" hidden="1" customWidth="1"/>
    <col min="23" max="23" width="17" style="131" customWidth="1"/>
    <col min="24" max="24" width="17.140625" style="131" customWidth="1"/>
    <col min="25" max="25" width="1" style="131" customWidth="1"/>
    <col min="26" max="29" width="9.140625" style="131"/>
    <col min="30" max="30" width="78.7109375" style="131" customWidth="1"/>
    <col min="31" max="16384" width="9.140625" style="131"/>
  </cols>
  <sheetData>
    <row r="1" spans="1:56" ht="15.75" thickBot="1" x14ac:dyDescent="0.3"/>
    <row r="2" spans="1:56" ht="15.75" thickBot="1" x14ac:dyDescent="0.3">
      <c r="A2" s="199" t="s">
        <v>128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1" t="s">
        <v>0</v>
      </c>
      <c r="W2" s="1"/>
      <c r="X2" s="2"/>
    </row>
    <row r="3" spans="1:56" ht="15.75" thickBot="1" x14ac:dyDescent="0.3">
      <c r="A3" s="204" t="s">
        <v>1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2"/>
      <c r="W3" s="1"/>
      <c r="X3" s="2"/>
      <c r="AD3" s="133"/>
    </row>
    <row r="4" spans="1:56" x14ac:dyDescent="0.25">
      <c r="A4" s="206"/>
      <c r="B4" s="185" t="s">
        <v>2</v>
      </c>
      <c r="C4" s="3"/>
      <c r="D4" s="209" t="s">
        <v>3</v>
      </c>
      <c r="E4" s="209" t="s">
        <v>4</v>
      </c>
      <c r="F4" s="212" t="s">
        <v>5</v>
      </c>
      <c r="G4" s="185" t="s">
        <v>6</v>
      </c>
      <c r="H4" s="185"/>
      <c r="I4" s="185"/>
      <c r="J4" s="185"/>
      <c r="K4" s="185"/>
      <c r="L4" s="185"/>
      <c r="M4" s="185" t="s">
        <v>7</v>
      </c>
      <c r="N4" s="185"/>
      <c r="O4" s="185"/>
      <c r="P4" s="185"/>
      <c r="Q4" s="185"/>
      <c r="R4" s="215" t="s">
        <v>8</v>
      </c>
      <c r="S4" s="215"/>
      <c r="T4" s="185" t="s">
        <v>9</v>
      </c>
      <c r="U4" s="216" t="s">
        <v>10</v>
      </c>
      <c r="V4" s="203"/>
      <c r="W4" s="184" t="s">
        <v>11</v>
      </c>
      <c r="X4" s="185" t="s">
        <v>12</v>
      </c>
    </row>
    <row r="5" spans="1:56" x14ac:dyDescent="0.25">
      <c r="A5" s="207"/>
      <c r="B5" s="186"/>
      <c r="C5" s="4"/>
      <c r="D5" s="210"/>
      <c r="E5" s="210"/>
      <c r="F5" s="213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8" t="s">
        <v>13</v>
      </c>
      <c r="S5" s="188" t="s">
        <v>14</v>
      </c>
      <c r="T5" s="186"/>
      <c r="U5" s="217"/>
      <c r="V5" s="203"/>
      <c r="W5" s="184"/>
      <c r="X5" s="186"/>
    </row>
    <row r="6" spans="1:56" x14ac:dyDescent="0.25">
      <c r="A6" s="207"/>
      <c r="B6" s="186"/>
      <c r="C6" s="188" t="s">
        <v>15</v>
      </c>
      <c r="D6" s="210"/>
      <c r="E6" s="210"/>
      <c r="F6" s="213"/>
      <c r="G6" s="189" t="s">
        <v>16</v>
      </c>
      <c r="H6" s="189" t="s">
        <v>17</v>
      </c>
      <c r="I6" s="187" t="s">
        <v>18</v>
      </c>
      <c r="J6" s="197" t="s">
        <v>19</v>
      </c>
      <c r="K6" s="198"/>
      <c r="L6" s="189" t="s">
        <v>20</v>
      </c>
      <c r="M6" s="189" t="s">
        <v>21</v>
      </c>
      <c r="N6" s="189" t="s">
        <v>18</v>
      </c>
      <c r="O6" s="191" t="s">
        <v>22</v>
      </c>
      <c r="P6" s="191"/>
      <c r="Q6" s="188" t="s">
        <v>23</v>
      </c>
      <c r="R6" s="188"/>
      <c r="S6" s="188"/>
      <c r="T6" s="186"/>
      <c r="U6" s="217"/>
      <c r="V6" s="203"/>
      <c r="W6" s="184"/>
      <c r="X6" s="186"/>
    </row>
    <row r="7" spans="1:56" ht="15.75" thickBot="1" x14ac:dyDescent="0.3">
      <c r="A7" s="208"/>
      <c r="B7" s="187"/>
      <c r="C7" s="189"/>
      <c r="D7" s="211"/>
      <c r="E7" s="211"/>
      <c r="F7" s="214"/>
      <c r="G7" s="190"/>
      <c r="H7" s="190"/>
      <c r="I7" s="196"/>
      <c r="J7" s="5" t="s">
        <v>24</v>
      </c>
      <c r="K7" s="5" t="s">
        <v>25</v>
      </c>
      <c r="L7" s="190"/>
      <c r="M7" s="190"/>
      <c r="N7" s="190"/>
      <c r="O7" s="5" t="s">
        <v>24</v>
      </c>
      <c r="P7" s="5" t="s">
        <v>25</v>
      </c>
      <c r="Q7" s="189"/>
      <c r="R7" s="189"/>
      <c r="S7" s="189"/>
      <c r="T7" s="187"/>
      <c r="U7" s="218"/>
      <c r="V7" s="203"/>
      <c r="W7" s="184"/>
      <c r="X7" s="187"/>
    </row>
    <row r="8" spans="1:56" s="134" customFormat="1" ht="39" customHeight="1" thickBot="1" x14ac:dyDescent="0.3">
      <c r="A8" s="6">
        <v>1</v>
      </c>
      <c r="B8" s="7">
        <v>2</v>
      </c>
      <c r="C8" s="7">
        <v>3</v>
      </c>
      <c r="D8" s="7">
        <v>3</v>
      </c>
      <c r="E8" s="7">
        <v>3</v>
      </c>
      <c r="F8" s="7">
        <v>4</v>
      </c>
      <c r="G8" s="7">
        <v>5</v>
      </c>
      <c r="H8" s="7">
        <v>6</v>
      </c>
      <c r="I8" s="7">
        <v>7</v>
      </c>
      <c r="J8" s="7">
        <v>8</v>
      </c>
      <c r="K8" s="7">
        <v>9</v>
      </c>
      <c r="L8" s="8" t="s">
        <v>129</v>
      </c>
      <c r="M8" s="8">
        <v>11</v>
      </c>
      <c r="N8" s="8">
        <v>12</v>
      </c>
      <c r="O8" s="7">
        <v>13</v>
      </c>
      <c r="P8" s="7">
        <v>14</v>
      </c>
      <c r="Q8" s="8" t="s">
        <v>130</v>
      </c>
      <c r="R8" s="8" t="s">
        <v>131</v>
      </c>
      <c r="S8" s="9" t="s">
        <v>132</v>
      </c>
      <c r="T8" s="10" t="s">
        <v>133</v>
      </c>
      <c r="U8" s="11">
        <v>15</v>
      </c>
      <c r="V8" s="12" t="s">
        <v>26</v>
      </c>
      <c r="W8" s="13">
        <v>19</v>
      </c>
      <c r="X8" s="14">
        <v>20</v>
      </c>
    </row>
    <row r="9" spans="1:56" x14ac:dyDescent="0.25">
      <c r="A9" s="15"/>
      <c r="B9" s="16" t="s">
        <v>27</v>
      </c>
      <c r="C9" s="17"/>
      <c r="D9" s="17"/>
      <c r="E9" s="17"/>
      <c r="F9" s="17"/>
      <c r="G9" s="17"/>
      <c r="H9" s="17"/>
      <c r="I9" s="17"/>
      <c r="J9" s="17"/>
      <c r="K9" s="18"/>
      <c r="L9" s="17"/>
      <c r="M9" s="17"/>
      <c r="N9" s="17"/>
      <c r="O9" s="17"/>
      <c r="P9" s="17"/>
      <c r="Q9" s="17"/>
      <c r="R9" s="17"/>
      <c r="S9" s="17"/>
      <c r="T9" s="17"/>
      <c r="U9" s="19"/>
      <c r="V9" s="20"/>
      <c r="W9" s="20"/>
      <c r="X9" s="20"/>
    </row>
    <row r="10" spans="1:56" x14ac:dyDescent="0.25">
      <c r="A10" s="21" t="s">
        <v>28</v>
      </c>
      <c r="B10" s="22" t="s">
        <v>29</v>
      </c>
      <c r="C10" s="17"/>
      <c r="D10" s="17"/>
      <c r="E10" s="17"/>
      <c r="F10" s="17"/>
      <c r="G10" s="17"/>
      <c r="H10" s="17"/>
      <c r="I10" s="17"/>
      <c r="J10" s="17"/>
      <c r="K10" s="18"/>
      <c r="L10" s="17"/>
      <c r="M10" s="17"/>
      <c r="N10" s="17"/>
      <c r="O10" s="17"/>
      <c r="P10" s="17"/>
      <c r="Q10" s="17"/>
      <c r="R10" s="17"/>
      <c r="S10" s="17"/>
      <c r="T10" s="17"/>
      <c r="U10" s="19"/>
      <c r="V10" s="23"/>
      <c r="W10" s="23"/>
      <c r="X10" s="23"/>
    </row>
    <row r="11" spans="1:56" s="136" customFormat="1" x14ac:dyDescent="0.25">
      <c r="A11" s="24" t="s">
        <v>30</v>
      </c>
      <c r="B11" s="25" t="s">
        <v>31</v>
      </c>
      <c r="C11" s="26"/>
      <c r="D11" s="27">
        <v>249.39</v>
      </c>
      <c r="E11" s="27">
        <v>269.76</v>
      </c>
      <c r="F11" s="28">
        <v>220</v>
      </c>
      <c r="G11" s="29">
        <v>54.1</v>
      </c>
      <c r="H11" s="29">
        <v>0.61</v>
      </c>
      <c r="I11" s="29">
        <v>13.71</v>
      </c>
      <c r="J11" s="29">
        <v>198</v>
      </c>
      <c r="K11" s="29"/>
      <c r="L11" s="29">
        <f>SUM(G11:K11)</f>
        <v>266.42</v>
      </c>
      <c r="M11" s="29">
        <v>0.05</v>
      </c>
      <c r="N11" s="29">
        <v>3.5</v>
      </c>
      <c r="O11" s="30">
        <v>260.5</v>
      </c>
      <c r="P11" s="29"/>
      <c r="Q11" s="29">
        <f>SUM(O11:P11)</f>
        <v>260.5</v>
      </c>
      <c r="R11" s="29">
        <f>L11-M11-N11-O11</f>
        <v>2.3700000000000045</v>
      </c>
      <c r="S11" s="29">
        <f>K11-P11</f>
        <v>0</v>
      </c>
      <c r="T11" s="29">
        <f>R11+S11</f>
        <v>2.3700000000000045</v>
      </c>
      <c r="U11" s="31"/>
      <c r="V11" s="29">
        <v>0</v>
      </c>
      <c r="W11" s="32">
        <f>Q11/F11*100</f>
        <v>118.40909090909091</v>
      </c>
      <c r="X11" s="29">
        <f>Q11/J11*100</f>
        <v>131.56565656565658</v>
      </c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5"/>
    </row>
    <row r="12" spans="1:56" x14ac:dyDescent="0.25">
      <c r="A12" s="33" t="s">
        <v>32</v>
      </c>
      <c r="B12" s="23" t="s">
        <v>33</v>
      </c>
      <c r="C12" s="34">
        <v>9.41</v>
      </c>
      <c r="D12" s="34">
        <v>25</v>
      </c>
      <c r="E12" s="34">
        <v>30</v>
      </c>
      <c r="F12" s="34">
        <v>37.5</v>
      </c>
      <c r="G12" s="34">
        <v>0.1</v>
      </c>
      <c r="H12" s="34"/>
      <c r="I12" s="34">
        <v>3.5</v>
      </c>
      <c r="J12" s="34">
        <v>33.97</v>
      </c>
      <c r="K12" s="29"/>
      <c r="L12" s="29">
        <f>SUM(G12:K12)</f>
        <v>37.57</v>
      </c>
      <c r="M12" s="29"/>
      <c r="N12" s="29"/>
      <c r="O12" s="35">
        <v>37.520000000000003</v>
      </c>
      <c r="P12" s="23"/>
      <c r="Q12" s="29">
        <f>SUM(O12:P12)</f>
        <v>37.520000000000003</v>
      </c>
      <c r="R12" s="29">
        <f>L12-M12-N12-O12</f>
        <v>4.9999999999997158E-2</v>
      </c>
      <c r="S12" s="29">
        <f>K12-P12</f>
        <v>0</v>
      </c>
      <c r="T12" s="29">
        <f>R12+S12</f>
        <v>4.9999999999997158E-2</v>
      </c>
      <c r="U12" s="31"/>
      <c r="V12" s="29"/>
      <c r="W12" s="32">
        <f>Q12/F12*100</f>
        <v>100.05333333333336</v>
      </c>
      <c r="X12" s="29">
        <f>Q12/J12*100</f>
        <v>110.45039740947897</v>
      </c>
    </row>
    <row r="13" spans="1:56" s="137" customFormat="1" x14ac:dyDescent="0.25">
      <c r="A13" s="36"/>
      <c r="B13" s="37" t="s">
        <v>34</v>
      </c>
      <c r="C13" s="38"/>
      <c r="D13" s="39">
        <f t="shared" ref="D13:K13" si="0">D11+D12</f>
        <v>274.39</v>
      </c>
      <c r="E13" s="39">
        <f t="shared" si="0"/>
        <v>299.76</v>
      </c>
      <c r="F13" s="39">
        <f>SUM(F11:F12)</f>
        <v>257.5</v>
      </c>
      <c r="G13" s="39">
        <f t="shared" si="0"/>
        <v>54.2</v>
      </c>
      <c r="H13" s="39">
        <f t="shared" si="0"/>
        <v>0.61</v>
      </c>
      <c r="I13" s="39">
        <f t="shared" si="0"/>
        <v>17.21</v>
      </c>
      <c r="J13" s="39">
        <f t="shared" si="0"/>
        <v>231.97</v>
      </c>
      <c r="K13" s="39">
        <f t="shared" si="0"/>
        <v>0</v>
      </c>
      <c r="L13" s="39">
        <f>L11+L12</f>
        <v>303.99</v>
      </c>
      <c r="M13" s="39">
        <f t="shared" ref="M13:V13" si="1">M11+M12</f>
        <v>0.05</v>
      </c>
      <c r="N13" s="39">
        <f t="shared" si="1"/>
        <v>3.5</v>
      </c>
      <c r="O13" s="39">
        <f t="shared" si="1"/>
        <v>298.02</v>
      </c>
      <c r="P13" s="39">
        <f t="shared" si="1"/>
        <v>0</v>
      </c>
      <c r="Q13" s="39">
        <f t="shared" si="1"/>
        <v>298.02</v>
      </c>
      <c r="R13" s="39">
        <f t="shared" si="1"/>
        <v>2.4200000000000017</v>
      </c>
      <c r="S13" s="39">
        <f t="shared" si="1"/>
        <v>0</v>
      </c>
      <c r="T13" s="39">
        <f t="shared" si="1"/>
        <v>2.4200000000000017</v>
      </c>
      <c r="U13" s="39">
        <f t="shared" si="1"/>
        <v>0</v>
      </c>
      <c r="V13" s="39">
        <f t="shared" si="1"/>
        <v>0</v>
      </c>
      <c r="W13" s="39">
        <f>Q13/F13*100</f>
        <v>115.73592233009708</v>
      </c>
      <c r="X13" s="39">
        <f>Q13/J13*100</f>
        <v>128.47350950553951</v>
      </c>
    </row>
    <row r="14" spans="1:56" x14ac:dyDescent="0.25">
      <c r="A14" s="40" t="s">
        <v>35</v>
      </c>
      <c r="B14" s="41" t="s">
        <v>36</v>
      </c>
      <c r="C14" s="42"/>
      <c r="D14" s="42"/>
      <c r="E14" s="42"/>
      <c r="F14" s="42"/>
      <c r="G14" s="29"/>
      <c r="H14" s="29"/>
      <c r="I14" s="29"/>
      <c r="J14" s="43"/>
      <c r="K14" s="43"/>
      <c r="L14" s="29"/>
      <c r="M14" s="29"/>
      <c r="N14" s="29"/>
      <c r="O14" s="43"/>
      <c r="P14" s="29"/>
      <c r="Q14" s="29"/>
      <c r="R14" s="29"/>
      <c r="S14" s="29"/>
      <c r="T14" s="29"/>
      <c r="U14" s="31"/>
      <c r="V14" s="27"/>
      <c r="W14" s="23"/>
      <c r="X14" s="27"/>
    </row>
    <row r="15" spans="1:56" x14ac:dyDescent="0.25">
      <c r="A15" s="24" t="s">
        <v>30</v>
      </c>
      <c r="B15" s="44" t="s">
        <v>37</v>
      </c>
      <c r="C15" s="42">
        <v>3.87</v>
      </c>
      <c r="D15" s="42">
        <v>0</v>
      </c>
      <c r="E15" s="42"/>
      <c r="F15" s="42">
        <v>4.5</v>
      </c>
      <c r="G15" s="29">
        <v>1.92</v>
      </c>
      <c r="H15" s="29">
        <v>0</v>
      </c>
      <c r="I15" s="29"/>
      <c r="J15" s="42"/>
      <c r="K15" s="43">
        <f>4.05+0.45</f>
        <v>4.5</v>
      </c>
      <c r="L15" s="29">
        <f t="shared" ref="L15:L22" si="2">SUM(G15:K15)</f>
        <v>6.42</v>
      </c>
      <c r="M15" s="29">
        <v>1.92</v>
      </c>
      <c r="N15" s="29">
        <v>4.5</v>
      </c>
      <c r="O15" s="42"/>
      <c r="P15" s="34">
        <v>0</v>
      </c>
      <c r="Q15" s="29">
        <f t="shared" ref="Q15:Q32" si="3">SUM(O15:P15)</f>
        <v>0</v>
      </c>
      <c r="R15" s="29">
        <f>L15-K15-M15-O15</f>
        <v>0</v>
      </c>
      <c r="S15" s="29">
        <f>K15-P15-N15</f>
        <v>0</v>
      </c>
      <c r="T15" s="29">
        <f t="shared" ref="T15:T22" si="4">R15+S15</f>
        <v>0</v>
      </c>
      <c r="U15" s="31"/>
      <c r="V15" s="29">
        <f t="shared" ref="V15:V25" si="5">G15+H15-O15-M15</f>
        <v>0</v>
      </c>
      <c r="W15" s="29">
        <v>0</v>
      </c>
      <c r="X15" s="29">
        <v>0</v>
      </c>
    </row>
    <row r="16" spans="1:56" x14ac:dyDescent="0.25">
      <c r="A16" s="24" t="s">
        <v>32</v>
      </c>
      <c r="B16" s="23" t="s">
        <v>38</v>
      </c>
      <c r="C16" s="34">
        <v>11.85</v>
      </c>
      <c r="D16" s="34"/>
      <c r="E16" s="34">
        <v>1.5</v>
      </c>
      <c r="F16" s="34">
        <v>1.1000000000000001</v>
      </c>
      <c r="G16" s="34">
        <v>4.51</v>
      </c>
      <c r="H16" s="34">
        <v>0</v>
      </c>
      <c r="I16" s="34"/>
      <c r="J16" s="34"/>
      <c r="K16" s="29">
        <f>0.99+0.11</f>
        <v>1.1000000000000001</v>
      </c>
      <c r="L16" s="29">
        <f t="shared" si="2"/>
        <v>5.6099999999999994</v>
      </c>
      <c r="M16" s="29">
        <f>3.81+0.7</f>
        <v>4.51</v>
      </c>
      <c r="N16" s="29">
        <v>0.11</v>
      </c>
      <c r="O16" s="34">
        <v>0</v>
      </c>
      <c r="P16" s="28">
        <v>0.99</v>
      </c>
      <c r="Q16" s="29">
        <f>SUM(O16:P16)</f>
        <v>0.99</v>
      </c>
      <c r="R16" s="29">
        <f t="shared" ref="R16:R25" si="6">L16-K16-M16-O16</f>
        <v>0</v>
      </c>
      <c r="S16" s="29">
        <f t="shared" ref="S16:S25" si="7">K16-P16-N16</f>
        <v>0</v>
      </c>
      <c r="T16" s="29">
        <f t="shared" si="4"/>
        <v>0</v>
      </c>
      <c r="U16" s="31"/>
      <c r="V16" s="29">
        <f t="shared" si="5"/>
        <v>0</v>
      </c>
      <c r="W16" s="32">
        <f>Q16/F16*100</f>
        <v>89.999999999999986</v>
      </c>
      <c r="X16" s="29">
        <v>0</v>
      </c>
    </row>
    <row r="17" spans="1:24" x14ac:dyDescent="0.25">
      <c r="A17" s="33" t="s">
        <v>39</v>
      </c>
      <c r="B17" s="23" t="s">
        <v>40</v>
      </c>
      <c r="C17" s="34">
        <v>5</v>
      </c>
      <c r="D17" s="34">
        <v>1</v>
      </c>
      <c r="E17" s="34">
        <v>20</v>
      </c>
      <c r="F17" s="34">
        <v>20</v>
      </c>
      <c r="G17" s="34">
        <v>6</v>
      </c>
      <c r="H17" s="34">
        <v>8.74</v>
      </c>
      <c r="I17" s="34"/>
      <c r="J17" s="34"/>
      <c r="K17" s="29">
        <f>19+1</f>
        <v>20</v>
      </c>
      <c r="L17" s="29">
        <f t="shared" si="2"/>
        <v>34.74</v>
      </c>
      <c r="M17" s="29">
        <f>14.31+0.43</f>
        <v>14.74</v>
      </c>
      <c r="N17" s="29">
        <v>3.13</v>
      </c>
      <c r="O17" s="34">
        <v>0</v>
      </c>
      <c r="P17" s="34">
        <v>16.87</v>
      </c>
      <c r="Q17" s="29">
        <f>SUM(O17:P17)</f>
        <v>16.87</v>
      </c>
      <c r="R17" s="29">
        <f t="shared" si="6"/>
        <v>1.7763568394002505E-15</v>
      </c>
      <c r="S17" s="29">
        <f t="shared" si="7"/>
        <v>0</v>
      </c>
      <c r="T17" s="29">
        <f t="shared" si="4"/>
        <v>1.7763568394002505E-15</v>
      </c>
      <c r="U17" s="45"/>
      <c r="V17" s="29">
        <f t="shared" si="5"/>
        <v>0</v>
      </c>
      <c r="W17" s="32">
        <f>Q17/F17*100</f>
        <v>84.350000000000009</v>
      </c>
      <c r="X17" s="29">
        <f>Q17/K17*100</f>
        <v>84.350000000000009</v>
      </c>
    </row>
    <row r="18" spans="1:24" s="138" customFormat="1" x14ac:dyDescent="0.25">
      <c r="A18" s="46" t="s">
        <v>41</v>
      </c>
      <c r="B18" s="47" t="s">
        <v>42</v>
      </c>
      <c r="C18" s="48"/>
      <c r="D18" s="49">
        <v>0</v>
      </c>
      <c r="E18" s="49">
        <v>6</v>
      </c>
      <c r="F18" s="49">
        <v>6</v>
      </c>
      <c r="G18" s="50">
        <v>1.83</v>
      </c>
      <c r="H18" s="50">
        <v>1.03</v>
      </c>
      <c r="I18" s="50"/>
      <c r="J18" s="51"/>
      <c r="K18" s="49">
        <f>1.35+1.35+0.15+0.15</f>
        <v>3</v>
      </c>
      <c r="L18" s="29">
        <f t="shared" si="2"/>
        <v>5.86</v>
      </c>
      <c r="M18" s="29">
        <f>0.99+1.87</f>
        <v>2.8600000000000003</v>
      </c>
      <c r="N18" s="29">
        <v>0.02</v>
      </c>
      <c r="O18" s="50">
        <v>0</v>
      </c>
      <c r="P18" s="51">
        <v>2.98</v>
      </c>
      <c r="Q18" s="29">
        <f>SUM(O18:P18)</f>
        <v>2.98</v>
      </c>
      <c r="R18" s="29">
        <f t="shared" si="6"/>
        <v>0</v>
      </c>
      <c r="S18" s="29">
        <f t="shared" si="7"/>
        <v>0</v>
      </c>
      <c r="T18" s="29">
        <f t="shared" si="4"/>
        <v>0</v>
      </c>
      <c r="U18" s="52"/>
      <c r="V18" s="29">
        <f t="shared" si="5"/>
        <v>0</v>
      </c>
      <c r="W18" s="32">
        <f>Q18/F18*100</f>
        <v>49.666666666666664</v>
      </c>
      <c r="X18" s="29">
        <f>Q18/K18*100</f>
        <v>99.333333333333329</v>
      </c>
    </row>
    <row r="19" spans="1:24" s="139" customFormat="1" x14ac:dyDescent="0.25">
      <c r="A19" s="53" t="s">
        <v>43</v>
      </c>
      <c r="B19" s="47" t="s">
        <v>44</v>
      </c>
      <c r="C19" s="49"/>
      <c r="D19" s="49">
        <v>1</v>
      </c>
      <c r="E19" s="49">
        <v>1.5</v>
      </c>
      <c r="F19" s="49">
        <v>0.75</v>
      </c>
      <c r="G19" s="50">
        <v>0.12</v>
      </c>
      <c r="H19" s="50">
        <v>0.6</v>
      </c>
      <c r="I19" s="50"/>
      <c r="J19" s="51"/>
      <c r="K19" s="49">
        <v>0.75</v>
      </c>
      <c r="L19" s="29">
        <f t="shared" si="2"/>
        <v>1.47</v>
      </c>
      <c r="M19" s="29">
        <f>0.68+0.04</f>
        <v>0.72000000000000008</v>
      </c>
      <c r="N19" s="29"/>
      <c r="O19" s="50">
        <v>0</v>
      </c>
      <c r="P19" s="51">
        <v>0.75</v>
      </c>
      <c r="Q19" s="29">
        <f t="shared" si="3"/>
        <v>0.75</v>
      </c>
      <c r="R19" s="29">
        <f t="shared" si="6"/>
        <v>-1.1102230246251565E-16</v>
      </c>
      <c r="S19" s="29">
        <f t="shared" si="7"/>
        <v>0</v>
      </c>
      <c r="T19" s="29">
        <f t="shared" si="4"/>
        <v>-1.1102230246251565E-16</v>
      </c>
      <c r="U19" s="31"/>
      <c r="V19" s="29">
        <f t="shared" si="5"/>
        <v>0</v>
      </c>
      <c r="W19" s="32">
        <f>Q19/F19*100</f>
        <v>100</v>
      </c>
      <c r="X19" s="29">
        <f>Q19/K19*100</f>
        <v>100</v>
      </c>
    </row>
    <row r="20" spans="1:24" s="140" customFormat="1" x14ac:dyDescent="0.25">
      <c r="A20" s="53" t="s">
        <v>45</v>
      </c>
      <c r="B20" s="47" t="s">
        <v>46</v>
      </c>
      <c r="C20" s="48"/>
      <c r="D20" s="49">
        <v>0</v>
      </c>
      <c r="E20" s="49">
        <v>0</v>
      </c>
      <c r="F20" s="49">
        <v>8.35</v>
      </c>
      <c r="G20" s="50">
        <v>5.08</v>
      </c>
      <c r="H20" s="50">
        <v>0</v>
      </c>
      <c r="I20" s="50"/>
      <c r="J20" s="51"/>
      <c r="K20" s="49">
        <f>4.22+0.84</f>
        <v>5.0599999999999996</v>
      </c>
      <c r="L20" s="29">
        <f t="shared" si="2"/>
        <v>10.14</v>
      </c>
      <c r="M20" s="29">
        <v>5.08</v>
      </c>
      <c r="N20" s="29">
        <v>0.35</v>
      </c>
      <c r="O20" s="50"/>
      <c r="P20" s="51">
        <v>2.71</v>
      </c>
      <c r="Q20" s="29">
        <f t="shared" si="3"/>
        <v>2.71</v>
      </c>
      <c r="R20" s="29">
        <f t="shared" si="6"/>
        <v>8.8817841970012523E-16</v>
      </c>
      <c r="S20" s="29">
        <f t="shared" si="7"/>
        <v>1.9999999999999996</v>
      </c>
      <c r="T20" s="29">
        <f t="shared" si="4"/>
        <v>2.0000000000000004</v>
      </c>
      <c r="U20" s="31"/>
      <c r="V20" s="29">
        <f t="shared" si="5"/>
        <v>0</v>
      </c>
      <c r="W20" s="29">
        <v>0</v>
      </c>
      <c r="X20" s="29">
        <v>0</v>
      </c>
    </row>
    <row r="21" spans="1:24" s="140" customFormat="1" x14ac:dyDescent="0.25">
      <c r="A21" s="53" t="s">
        <v>47</v>
      </c>
      <c r="B21" s="47" t="s">
        <v>48</v>
      </c>
      <c r="C21" s="48"/>
      <c r="D21" s="49">
        <v>0</v>
      </c>
      <c r="E21" s="49"/>
      <c r="F21" s="49"/>
      <c r="G21" s="50">
        <v>9.6</v>
      </c>
      <c r="H21" s="50">
        <v>0</v>
      </c>
      <c r="I21" s="50"/>
      <c r="J21" s="51"/>
      <c r="K21" s="49"/>
      <c r="L21" s="29">
        <f t="shared" si="2"/>
        <v>9.6</v>
      </c>
      <c r="M21" s="29">
        <v>9.6</v>
      </c>
      <c r="N21" s="29"/>
      <c r="O21" s="50"/>
      <c r="P21" s="51"/>
      <c r="Q21" s="29">
        <f t="shared" si="3"/>
        <v>0</v>
      </c>
      <c r="R21" s="29">
        <f t="shared" si="6"/>
        <v>0</v>
      </c>
      <c r="S21" s="29">
        <f t="shared" si="7"/>
        <v>0</v>
      </c>
      <c r="T21" s="29">
        <f t="shared" si="4"/>
        <v>0</v>
      </c>
      <c r="U21" s="31"/>
      <c r="V21" s="29">
        <f t="shared" si="5"/>
        <v>0</v>
      </c>
      <c r="W21" s="29">
        <v>0</v>
      </c>
      <c r="X21" s="29">
        <v>0</v>
      </c>
    </row>
    <row r="22" spans="1:24" s="140" customFormat="1" x14ac:dyDescent="0.25">
      <c r="A22" s="53" t="s">
        <v>49</v>
      </c>
      <c r="B22" s="47" t="s">
        <v>50</v>
      </c>
      <c r="C22" s="48"/>
      <c r="D22" s="49">
        <v>0</v>
      </c>
      <c r="E22" s="49">
        <v>1</v>
      </c>
      <c r="F22" s="49">
        <v>5.48</v>
      </c>
      <c r="G22" s="50">
        <v>1.92</v>
      </c>
      <c r="H22" s="50">
        <f>0+0.04</f>
        <v>0.04</v>
      </c>
      <c r="I22" s="50"/>
      <c r="J22" s="51"/>
      <c r="K22" s="49">
        <f>2.17+2.17</f>
        <v>4.34</v>
      </c>
      <c r="L22" s="29">
        <f t="shared" si="2"/>
        <v>6.3</v>
      </c>
      <c r="M22" s="29">
        <f>1.12+0.84</f>
        <v>1.96</v>
      </c>
      <c r="N22" s="29">
        <v>1.01</v>
      </c>
      <c r="O22" s="50">
        <v>0</v>
      </c>
      <c r="P22" s="51">
        <v>3.33</v>
      </c>
      <c r="Q22" s="29">
        <f t="shared" si="3"/>
        <v>3.33</v>
      </c>
      <c r="R22" s="29">
        <f t="shared" si="6"/>
        <v>0</v>
      </c>
      <c r="S22" s="29">
        <f t="shared" si="7"/>
        <v>0</v>
      </c>
      <c r="T22" s="29">
        <f t="shared" si="4"/>
        <v>0</v>
      </c>
      <c r="U22" s="31"/>
      <c r="V22" s="29">
        <f t="shared" si="5"/>
        <v>0</v>
      </c>
      <c r="W22" s="32">
        <f>Q22/F22*100</f>
        <v>60.766423357664237</v>
      </c>
      <c r="X22" s="29">
        <f>Q22/K22*100</f>
        <v>76.728110599078349</v>
      </c>
    </row>
    <row r="23" spans="1:24" s="140" customFormat="1" x14ac:dyDescent="0.25">
      <c r="A23" s="53" t="s">
        <v>51</v>
      </c>
      <c r="B23" s="47" t="s">
        <v>52</v>
      </c>
      <c r="C23" s="48"/>
      <c r="D23" s="49"/>
      <c r="E23" s="49"/>
      <c r="F23" s="49"/>
      <c r="G23" s="54"/>
      <c r="H23" s="54"/>
      <c r="I23" s="54"/>
      <c r="J23" s="55"/>
      <c r="K23" s="48"/>
      <c r="L23" s="29"/>
      <c r="M23" s="54"/>
      <c r="N23" s="54"/>
      <c r="O23" s="54"/>
      <c r="P23" s="55"/>
      <c r="Q23" s="29"/>
      <c r="R23" s="29">
        <f t="shared" si="6"/>
        <v>0</v>
      </c>
      <c r="S23" s="29"/>
      <c r="T23" s="29"/>
      <c r="U23" s="52"/>
      <c r="V23" s="29">
        <f t="shared" si="5"/>
        <v>0</v>
      </c>
      <c r="W23" s="29">
        <v>0</v>
      </c>
      <c r="X23" s="29">
        <v>0</v>
      </c>
    </row>
    <row r="24" spans="1:24" s="139" customFormat="1" x14ac:dyDescent="0.25">
      <c r="A24" s="53" t="s">
        <v>53</v>
      </c>
      <c r="B24" s="47" t="s">
        <v>54</v>
      </c>
      <c r="C24" s="49"/>
      <c r="D24" s="49">
        <v>2</v>
      </c>
      <c r="E24" s="49">
        <v>5</v>
      </c>
      <c r="F24" s="49">
        <v>7.5</v>
      </c>
      <c r="G24" s="50">
        <v>0.96</v>
      </c>
      <c r="H24" s="50">
        <v>0.26</v>
      </c>
      <c r="I24" s="50"/>
      <c r="J24" s="51"/>
      <c r="K24" s="49">
        <v>5.0199999999999996</v>
      </c>
      <c r="L24" s="29">
        <f>SUM(G24:K24)</f>
        <v>6.2399999999999993</v>
      </c>
      <c r="M24" s="29">
        <v>1.22</v>
      </c>
      <c r="N24" s="29"/>
      <c r="O24" s="56">
        <v>0</v>
      </c>
      <c r="P24" s="51">
        <v>5.0199999999999996</v>
      </c>
      <c r="Q24" s="29">
        <f t="shared" si="3"/>
        <v>5.0199999999999996</v>
      </c>
      <c r="R24" s="29">
        <f t="shared" si="6"/>
        <v>-2.2204460492503131E-16</v>
      </c>
      <c r="S24" s="29">
        <f t="shared" si="7"/>
        <v>0</v>
      </c>
      <c r="T24" s="29">
        <f>R24+S24</f>
        <v>-2.2204460492503131E-16</v>
      </c>
      <c r="U24" s="57"/>
      <c r="V24" s="29">
        <f t="shared" si="5"/>
        <v>0</v>
      </c>
      <c r="W24" s="32">
        <f>Q24/F24*100</f>
        <v>66.933333333333323</v>
      </c>
      <c r="X24" s="29">
        <f>Q24/K24*100</f>
        <v>100</v>
      </c>
    </row>
    <row r="25" spans="1:24" s="139" customFormat="1" x14ac:dyDescent="0.25">
      <c r="A25" s="53" t="s">
        <v>55</v>
      </c>
      <c r="B25" s="47" t="s">
        <v>56</v>
      </c>
      <c r="C25" s="49"/>
      <c r="D25" s="49">
        <v>5</v>
      </c>
      <c r="E25" s="49">
        <v>5</v>
      </c>
      <c r="F25" s="49">
        <v>5</v>
      </c>
      <c r="G25" s="50">
        <v>2.23</v>
      </c>
      <c r="H25" s="50">
        <v>0.06</v>
      </c>
      <c r="I25" s="50"/>
      <c r="J25" s="51"/>
      <c r="K25" s="49">
        <v>3.75</v>
      </c>
      <c r="L25" s="29">
        <f>SUM(G25:K25)</f>
        <v>6.04</v>
      </c>
      <c r="M25" s="29">
        <f>0.58+0.22+1.49</f>
        <v>2.29</v>
      </c>
      <c r="N25" s="29">
        <v>0.04</v>
      </c>
      <c r="O25" s="56">
        <v>0</v>
      </c>
      <c r="P25" s="51">
        <v>3.71</v>
      </c>
      <c r="Q25" s="29">
        <f t="shared" si="3"/>
        <v>3.71</v>
      </c>
      <c r="R25" s="29">
        <f t="shared" si="6"/>
        <v>0</v>
      </c>
      <c r="S25" s="29">
        <f t="shared" si="7"/>
        <v>0</v>
      </c>
      <c r="T25" s="29">
        <f>R25+S25</f>
        <v>0</v>
      </c>
      <c r="U25" s="57"/>
      <c r="V25" s="29">
        <f t="shared" si="5"/>
        <v>0</v>
      </c>
      <c r="W25" s="32">
        <f>Q25/F25*100</f>
        <v>74.2</v>
      </c>
      <c r="X25" s="29">
        <f>Q25/K25*100</f>
        <v>98.933333333333323</v>
      </c>
    </row>
    <row r="26" spans="1:24" s="141" customFormat="1" x14ac:dyDescent="0.25">
      <c r="A26" s="58"/>
      <c r="B26" s="59" t="s">
        <v>57</v>
      </c>
      <c r="C26" s="60"/>
      <c r="D26" s="39">
        <f t="shared" ref="D26:K26" si="8">SUM(D15:D25)</f>
        <v>9</v>
      </c>
      <c r="E26" s="39">
        <f t="shared" si="8"/>
        <v>40</v>
      </c>
      <c r="F26" s="39">
        <f>SUM(F15:F25)</f>
        <v>58.680000000000007</v>
      </c>
      <c r="G26" s="39">
        <f t="shared" si="8"/>
        <v>34.17</v>
      </c>
      <c r="H26" s="39">
        <f t="shared" si="8"/>
        <v>10.729999999999999</v>
      </c>
      <c r="I26" s="39">
        <f t="shared" si="8"/>
        <v>0</v>
      </c>
      <c r="J26" s="39">
        <f t="shared" si="8"/>
        <v>0</v>
      </c>
      <c r="K26" s="39">
        <f t="shared" si="8"/>
        <v>47.519999999999996</v>
      </c>
      <c r="L26" s="39">
        <f>SUM(L15:L25)</f>
        <v>92.42</v>
      </c>
      <c r="M26" s="39">
        <f t="shared" ref="M26:V26" si="9">SUM(M15:M25)</f>
        <v>44.9</v>
      </c>
      <c r="N26" s="39">
        <f t="shared" si="9"/>
        <v>9.1599999999999984</v>
      </c>
      <c r="O26" s="39">
        <f t="shared" si="9"/>
        <v>0</v>
      </c>
      <c r="P26" s="39">
        <f t="shared" si="9"/>
        <v>36.360000000000007</v>
      </c>
      <c r="Q26" s="39">
        <f t="shared" si="9"/>
        <v>36.360000000000007</v>
      </c>
      <c r="R26" s="39">
        <f t="shared" si="9"/>
        <v>2.3314683517128287E-15</v>
      </c>
      <c r="S26" s="39">
        <f t="shared" si="9"/>
        <v>1.9999999999999996</v>
      </c>
      <c r="T26" s="39">
        <f t="shared" si="9"/>
        <v>2.0000000000000018</v>
      </c>
      <c r="U26" s="39">
        <f t="shared" si="9"/>
        <v>0</v>
      </c>
      <c r="V26" s="39">
        <f t="shared" si="9"/>
        <v>0</v>
      </c>
      <c r="W26" s="39">
        <f>Q26/F26*100</f>
        <v>61.96319018404909</v>
      </c>
      <c r="X26" s="39">
        <f>Q26/K26*100</f>
        <v>76.51515151515153</v>
      </c>
    </row>
    <row r="27" spans="1:24" s="139" customFormat="1" x14ac:dyDescent="0.25">
      <c r="A27" s="61" t="s">
        <v>58</v>
      </c>
      <c r="B27" s="62" t="s">
        <v>59</v>
      </c>
      <c r="C27" s="49"/>
      <c r="D27" s="49"/>
      <c r="E27" s="49"/>
      <c r="F27" s="49"/>
      <c r="G27" s="50"/>
      <c r="H27" s="50"/>
      <c r="I27" s="50"/>
      <c r="J27" s="51"/>
      <c r="K27" s="49"/>
      <c r="L27" s="29"/>
      <c r="M27" s="29"/>
      <c r="N27" s="29"/>
      <c r="O27" s="56"/>
      <c r="P27" s="51"/>
      <c r="Q27" s="29"/>
      <c r="R27" s="29"/>
      <c r="S27" s="29"/>
      <c r="T27" s="29"/>
      <c r="U27" s="57"/>
      <c r="V27" s="63"/>
      <c r="W27" s="64"/>
      <c r="X27" s="63"/>
    </row>
    <row r="28" spans="1:24" s="139" customFormat="1" x14ac:dyDescent="0.25">
      <c r="A28" s="53" t="s">
        <v>30</v>
      </c>
      <c r="B28" s="47" t="s">
        <v>60</v>
      </c>
      <c r="C28" s="48"/>
      <c r="D28" s="49">
        <v>3</v>
      </c>
      <c r="E28" s="49">
        <v>15</v>
      </c>
      <c r="F28" s="49">
        <v>10</v>
      </c>
      <c r="G28" s="50">
        <v>2.5099999999999998</v>
      </c>
      <c r="H28" s="50">
        <v>1.55</v>
      </c>
      <c r="I28" s="50"/>
      <c r="J28" s="51"/>
      <c r="K28" s="49">
        <f>3.41+3.42+0.34+0.33</f>
        <v>7.5</v>
      </c>
      <c r="L28" s="29">
        <f>SUM(G28:K28)</f>
        <v>11.559999999999999</v>
      </c>
      <c r="M28" s="29">
        <f>3.38+0.68</f>
        <v>4.0599999999999996</v>
      </c>
      <c r="N28" s="29">
        <v>3.62</v>
      </c>
      <c r="O28" s="50">
        <v>0</v>
      </c>
      <c r="P28" s="51">
        <v>0.88</v>
      </c>
      <c r="Q28" s="29">
        <f>SUM(O28:P28)</f>
        <v>0.88</v>
      </c>
      <c r="R28" s="29">
        <f>L28-K28-M28-O28</f>
        <v>-8.8817841970012523E-16</v>
      </c>
      <c r="S28" s="29">
        <f>K28-P28-N28</f>
        <v>3</v>
      </c>
      <c r="T28" s="29">
        <f>R28+S28</f>
        <v>2.9999999999999991</v>
      </c>
      <c r="U28" s="57"/>
      <c r="V28" s="29">
        <f>G28+H28-O28-M28</f>
        <v>0</v>
      </c>
      <c r="W28" s="32">
        <f>Q28/F28*100</f>
        <v>8.7999999999999989</v>
      </c>
      <c r="X28" s="29">
        <f>Q28/K28*100</f>
        <v>11.733333333333333</v>
      </c>
    </row>
    <row r="29" spans="1:24" s="139" customFormat="1" x14ac:dyDescent="0.25">
      <c r="A29" s="53" t="s">
        <v>32</v>
      </c>
      <c r="B29" s="65" t="s">
        <v>61</v>
      </c>
      <c r="C29" s="48"/>
      <c r="D29" s="49">
        <v>8.25</v>
      </c>
      <c r="E29" s="49">
        <v>10</v>
      </c>
      <c r="F29" s="49">
        <v>10</v>
      </c>
      <c r="G29" s="50">
        <v>0.22</v>
      </c>
      <c r="H29" s="50">
        <v>4.58</v>
      </c>
      <c r="I29" s="50"/>
      <c r="J29" s="51"/>
      <c r="K29" s="49">
        <f>4.55+0.45</f>
        <v>5</v>
      </c>
      <c r="L29" s="29">
        <f>SUM(G29:K29)</f>
        <v>9.8000000000000007</v>
      </c>
      <c r="M29" s="29">
        <v>4.8</v>
      </c>
      <c r="N29" s="29"/>
      <c r="O29" s="50"/>
      <c r="P29" s="51">
        <v>5</v>
      </c>
      <c r="Q29" s="29">
        <f>SUM(O29:P29)</f>
        <v>5</v>
      </c>
      <c r="R29" s="29">
        <f>L29-K29-M29-O29</f>
        <v>8.8817841970012523E-16</v>
      </c>
      <c r="S29" s="29">
        <f>K29-P29-N29</f>
        <v>0</v>
      </c>
      <c r="T29" s="29">
        <f>R29+S29</f>
        <v>8.8817841970012523E-16</v>
      </c>
      <c r="U29" s="57"/>
      <c r="V29" s="29">
        <f>G29+H29-O29-M29</f>
        <v>0</v>
      </c>
      <c r="W29" s="32">
        <f>Q29/F29*100</f>
        <v>50</v>
      </c>
      <c r="X29" s="29">
        <f>Q29/K29*100</f>
        <v>100</v>
      </c>
    </row>
    <row r="30" spans="1:24" s="139" customFormat="1" x14ac:dyDescent="0.25">
      <c r="A30" s="66" t="s">
        <v>39</v>
      </c>
      <c r="B30" s="23" t="s">
        <v>62</v>
      </c>
      <c r="C30" s="34">
        <v>2.25</v>
      </c>
      <c r="D30" s="34">
        <v>2.7</v>
      </c>
      <c r="E30" s="34">
        <v>59.12</v>
      </c>
      <c r="F30" s="34">
        <v>19.62</v>
      </c>
      <c r="G30" s="34">
        <v>0.09</v>
      </c>
      <c r="H30" s="34">
        <v>0.21</v>
      </c>
      <c r="I30" s="34"/>
      <c r="J30" s="34"/>
      <c r="K30" s="67">
        <v>14.78</v>
      </c>
      <c r="L30" s="29">
        <f>SUM(G30:K30)</f>
        <v>15.08</v>
      </c>
      <c r="M30" s="29">
        <v>0.3</v>
      </c>
      <c r="N30" s="29"/>
      <c r="O30" s="34"/>
      <c r="P30" s="34">
        <v>12.67</v>
      </c>
      <c r="Q30" s="29">
        <f>SUM(O30:P30)</f>
        <v>12.67</v>
      </c>
      <c r="R30" s="29">
        <f>L30-K30-M30-O30</f>
        <v>7.2164496600635175E-16</v>
      </c>
      <c r="S30" s="29">
        <f>K30-P30-N30</f>
        <v>2.1099999999999994</v>
      </c>
      <c r="T30" s="29">
        <f>R30+S30</f>
        <v>2.1100000000000003</v>
      </c>
      <c r="U30" s="57"/>
      <c r="V30" s="29"/>
      <c r="W30" s="32">
        <f>Q30/F30*100</f>
        <v>64.576962283384304</v>
      </c>
      <c r="X30" s="29">
        <f>Q30/K30*100</f>
        <v>85.723951285520982</v>
      </c>
    </row>
    <row r="31" spans="1:24" s="141" customFormat="1" x14ac:dyDescent="0.25">
      <c r="A31" s="192" t="s">
        <v>63</v>
      </c>
      <c r="B31" s="193"/>
      <c r="C31" s="68"/>
      <c r="D31" s="39">
        <f>D28+D29</f>
        <v>11.25</v>
      </c>
      <c r="E31" s="39">
        <f>E28+E29+E30</f>
        <v>84.12</v>
      </c>
      <c r="F31" s="39">
        <f t="shared" ref="F31:T31" si="10">F28+F29+F30</f>
        <v>39.620000000000005</v>
      </c>
      <c r="G31" s="39">
        <f t="shared" si="10"/>
        <v>2.82</v>
      </c>
      <c r="H31" s="39">
        <f t="shared" si="10"/>
        <v>6.34</v>
      </c>
      <c r="I31" s="39">
        <f t="shared" si="10"/>
        <v>0</v>
      </c>
      <c r="J31" s="39">
        <f t="shared" si="10"/>
        <v>0</v>
      </c>
      <c r="K31" s="39">
        <f t="shared" si="10"/>
        <v>27.28</v>
      </c>
      <c r="L31" s="39">
        <f t="shared" si="10"/>
        <v>36.44</v>
      </c>
      <c r="M31" s="39">
        <f t="shared" si="10"/>
        <v>9.16</v>
      </c>
      <c r="N31" s="39">
        <f t="shared" si="10"/>
        <v>3.62</v>
      </c>
      <c r="O31" s="39">
        <f t="shared" si="10"/>
        <v>0</v>
      </c>
      <c r="P31" s="39">
        <f t="shared" si="10"/>
        <v>18.55</v>
      </c>
      <c r="Q31" s="39">
        <f t="shared" si="10"/>
        <v>18.55</v>
      </c>
      <c r="R31" s="39">
        <f t="shared" si="10"/>
        <v>7.2164496600635175E-16</v>
      </c>
      <c r="S31" s="39">
        <f t="shared" si="10"/>
        <v>5.1099999999999994</v>
      </c>
      <c r="T31" s="39">
        <f t="shared" si="10"/>
        <v>5.1100000000000003</v>
      </c>
      <c r="U31" s="39">
        <f>U28+U29</f>
        <v>0</v>
      </c>
      <c r="V31" s="39">
        <f>V28+V29</f>
        <v>0</v>
      </c>
      <c r="W31" s="39">
        <f>Q31/F31*100</f>
        <v>46.819787985865716</v>
      </c>
      <c r="X31" s="39">
        <f>Q31/K31*100</f>
        <v>67.998533724340177</v>
      </c>
    </row>
    <row r="32" spans="1:24" s="139" customFormat="1" x14ac:dyDescent="0.25">
      <c r="A32" s="61" t="s">
        <v>64</v>
      </c>
      <c r="B32" s="47" t="s">
        <v>65</v>
      </c>
      <c r="C32" s="49"/>
      <c r="D32" s="49">
        <v>4.49</v>
      </c>
      <c r="E32" s="49">
        <v>5.81</v>
      </c>
      <c r="F32" s="49">
        <v>5.81</v>
      </c>
      <c r="G32" s="50">
        <v>0</v>
      </c>
      <c r="H32" s="50"/>
      <c r="I32" s="50"/>
      <c r="J32" s="51">
        <v>1</v>
      </c>
      <c r="K32" s="49"/>
      <c r="L32" s="69">
        <f>SUM(G32:K32)</f>
        <v>1</v>
      </c>
      <c r="M32" s="29"/>
      <c r="N32" s="29"/>
      <c r="O32" s="50">
        <v>1</v>
      </c>
      <c r="P32" s="51"/>
      <c r="Q32" s="69">
        <f t="shared" si="3"/>
        <v>1</v>
      </c>
      <c r="R32" s="69">
        <f>L32-K32-M32-O32</f>
        <v>0</v>
      </c>
      <c r="S32" s="69">
        <f>K32-P32</f>
        <v>0</v>
      </c>
      <c r="T32" s="69">
        <f>R32+S32</f>
        <v>0</v>
      </c>
      <c r="U32" s="31"/>
      <c r="V32" s="63"/>
      <c r="W32" s="29">
        <v>0</v>
      </c>
      <c r="X32" s="29">
        <v>0</v>
      </c>
    </row>
    <row r="33" spans="1:24" s="142" customFormat="1" x14ac:dyDescent="0.2">
      <c r="A33" s="194" t="s">
        <v>66</v>
      </c>
      <c r="B33" s="195"/>
      <c r="C33" s="70">
        <f>SUM(C9:C18)</f>
        <v>30.130000000000003</v>
      </c>
      <c r="D33" s="70">
        <f>D13+D26+D31+D32</f>
        <v>299.13</v>
      </c>
      <c r="E33" s="70">
        <f t="shared" ref="E33:V33" si="11">E13+E26+E31+E32</f>
        <v>429.69</v>
      </c>
      <c r="F33" s="70">
        <f t="shared" si="11"/>
        <v>361.61</v>
      </c>
      <c r="G33" s="70">
        <f t="shared" si="11"/>
        <v>91.19</v>
      </c>
      <c r="H33" s="70">
        <f t="shared" si="11"/>
        <v>17.68</v>
      </c>
      <c r="I33" s="70">
        <f t="shared" si="11"/>
        <v>17.21</v>
      </c>
      <c r="J33" s="70">
        <f t="shared" si="11"/>
        <v>232.97</v>
      </c>
      <c r="K33" s="70">
        <f t="shared" si="11"/>
        <v>74.8</v>
      </c>
      <c r="L33" s="70">
        <f t="shared" si="11"/>
        <v>433.85</v>
      </c>
      <c r="M33" s="70">
        <f t="shared" si="11"/>
        <v>54.11</v>
      </c>
      <c r="N33" s="70">
        <f t="shared" si="11"/>
        <v>16.279999999999998</v>
      </c>
      <c r="O33" s="70">
        <f t="shared" si="11"/>
        <v>299.02</v>
      </c>
      <c r="P33" s="70">
        <f t="shared" si="11"/>
        <v>54.910000000000011</v>
      </c>
      <c r="Q33" s="70">
        <f t="shared" si="11"/>
        <v>353.93</v>
      </c>
      <c r="R33" s="70">
        <f t="shared" si="11"/>
        <v>2.4200000000000048</v>
      </c>
      <c r="S33" s="70">
        <f t="shared" si="11"/>
        <v>7.1099999999999994</v>
      </c>
      <c r="T33" s="70">
        <f t="shared" si="11"/>
        <v>9.5300000000000047</v>
      </c>
      <c r="U33" s="70">
        <f t="shared" si="11"/>
        <v>0</v>
      </c>
      <c r="V33" s="71">
        <f t="shared" si="11"/>
        <v>0</v>
      </c>
      <c r="W33" s="70">
        <f>Q33/F33*100</f>
        <v>97.876164929067215</v>
      </c>
      <c r="X33" s="71">
        <f>Q33/(J33+K33)*100</f>
        <v>114.99821295122983</v>
      </c>
    </row>
    <row r="34" spans="1:24" s="142" customFormat="1" x14ac:dyDescent="0.25">
      <c r="A34" s="61" t="s">
        <v>67</v>
      </c>
      <c r="B34" s="72" t="s">
        <v>68</v>
      </c>
      <c r="C34" s="54"/>
      <c r="D34" s="35"/>
      <c r="E34" s="35"/>
      <c r="F34" s="35"/>
      <c r="G34" s="35"/>
      <c r="H34" s="35"/>
      <c r="I34" s="35"/>
      <c r="J34" s="73"/>
      <c r="K34" s="74"/>
      <c r="L34" s="34"/>
      <c r="M34" s="34"/>
      <c r="N34" s="34"/>
      <c r="O34" s="73"/>
      <c r="P34" s="54"/>
      <c r="Q34" s="35"/>
      <c r="R34" s="35"/>
      <c r="S34" s="35"/>
      <c r="T34" s="35"/>
      <c r="U34" s="75"/>
      <c r="V34" s="63"/>
      <c r="W34" s="64"/>
      <c r="X34" s="63"/>
    </row>
    <row r="35" spans="1:24" s="142" customFormat="1" x14ac:dyDescent="0.25">
      <c r="A35" s="53" t="s">
        <v>30</v>
      </c>
      <c r="B35" s="76" t="s">
        <v>69</v>
      </c>
      <c r="C35" s="54"/>
      <c r="D35" s="34">
        <v>1.1200000000000001</v>
      </c>
      <c r="E35" s="34">
        <v>1.5</v>
      </c>
      <c r="F35" s="34">
        <v>1.5</v>
      </c>
      <c r="G35" s="34">
        <v>0.08</v>
      </c>
      <c r="H35" s="34">
        <v>7.0000000000000007E-2</v>
      </c>
      <c r="I35" s="34"/>
      <c r="J35" s="34"/>
      <c r="K35" s="77">
        <v>0.75</v>
      </c>
      <c r="L35" s="29">
        <f>SUM(G35:K35)</f>
        <v>0.9</v>
      </c>
      <c r="M35" s="29">
        <v>0.15</v>
      </c>
      <c r="N35" s="29"/>
      <c r="O35" s="34"/>
      <c r="P35" s="34">
        <v>0.75</v>
      </c>
      <c r="Q35" s="69">
        <f>SUM(O35:P35)</f>
        <v>0.75</v>
      </c>
      <c r="R35" s="29">
        <f>L35-K35-M35-O35</f>
        <v>2.7755575615628914E-17</v>
      </c>
      <c r="S35" s="43">
        <f>K35-P35-N35</f>
        <v>0</v>
      </c>
      <c r="T35" s="29">
        <f>R35+S35</f>
        <v>2.7755575615628914E-17</v>
      </c>
      <c r="U35" s="75"/>
      <c r="V35" s="29">
        <f t="shared" ref="V35:V49" si="12">G35+H35-O35-M35</f>
        <v>0</v>
      </c>
      <c r="W35" s="32">
        <f>Q35/F35*100</f>
        <v>50</v>
      </c>
      <c r="X35" s="29">
        <f>Q35/K35*100</f>
        <v>100</v>
      </c>
    </row>
    <row r="36" spans="1:24" s="142" customFormat="1" x14ac:dyDescent="0.25">
      <c r="A36" s="53" t="s">
        <v>32</v>
      </c>
      <c r="B36" s="76" t="s">
        <v>70</v>
      </c>
      <c r="C36" s="50"/>
      <c r="D36" s="50">
        <v>4.99</v>
      </c>
      <c r="E36" s="50">
        <v>20</v>
      </c>
      <c r="F36" s="50">
        <v>16</v>
      </c>
      <c r="G36" s="34">
        <v>0.96</v>
      </c>
      <c r="H36" s="34">
        <v>10.6</v>
      </c>
      <c r="I36" s="34"/>
      <c r="J36" s="56"/>
      <c r="K36" s="77">
        <f>12.32+0.93</f>
        <v>13.25</v>
      </c>
      <c r="L36" s="29">
        <f>SUM(G36:K36)</f>
        <v>24.81</v>
      </c>
      <c r="M36" s="29">
        <f>10.41+1.15</f>
        <v>11.56</v>
      </c>
      <c r="N36" s="29">
        <v>0.45</v>
      </c>
      <c r="O36" s="56">
        <v>0</v>
      </c>
      <c r="P36" s="50">
        <v>12.8</v>
      </c>
      <c r="Q36" s="69">
        <f>SUM(O36:P36)</f>
        <v>12.8</v>
      </c>
      <c r="R36" s="29">
        <f>L36-K36-M36-O36</f>
        <v>-1.7763568394002505E-15</v>
      </c>
      <c r="S36" s="43">
        <f t="shared" ref="S36:S37" si="13">K36-P36-N36</f>
        <v>-7.2164496600635175E-16</v>
      </c>
      <c r="T36" s="29">
        <f>R36+S36</f>
        <v>-2.4980018054066022E-15</v>
      </c>
      <c r="U36" s="75"/>
      <c r="V36" s="29">
        <f t="shared" si="12"/>
        <v>0</v>
      </c>
      <c r="W36" s="32">
        <f>Q36/F36*100</f>
        <v>80</v>
      </c>
      <c r="X36" s="29">
        <f>Q36/K36*100</f>
        <v>96.603773584905667</v>
      </c>
    </row>
    <row r="37" spans="1:24" s="142" customFormat="1" x14ac:dyDescent="0.25">
      <c r="A37" s="53" t="s">
        <v>39</v>
      </c>
      <c r="B37" s="76" t="s">
        <v>71</v>
      </c>
      <c r="C37" s="50"/>
      <c r="D37" s="50">
        <v>0</v>
      </c>
      <c r="E37" s="50">
        <v>0.5</v>
      </c>
      <c r="F37" s="50">
        <v>0.5</v>
      </c>
      <c r="G37" s="34">
        <v>0.47</v>
      </c>
      <c r="H37" s="34">
        <v>0.34</v>
      </c>
      <c r="I37" s="34"/>
      <c r="J37" s="56"/>
      <c r="K37" s="78">
        <f>0.115+0.01+0.15</f>
        <v>0.27500000000000002</v>
      </c>
      <c r="L37" s="29">
        <f>SUM(G37:K37)</f>
        <v>1.085</v>
      </c>
      <c r="M37" s="29">
        <f>0.61+0.2</f>
        <v>0.81</v>
      </c>
      <c r="N37" s="29">
        <v>0.02</v>
      </c>
      <c r="O37" s="56">
        <v>0</v>
      </c>
      <c r="P37" s="50">
        <v>0.255</v>
      </c>
      <c r="Q37" s="29">
        <f t="shared" ref="Q37:Q49" si="14">SUM(O37:P37)</f>
        <v>0.255</v>
      </c>
      <c r="R37" s="29">
        <f>L37-K37-M37-O37</f>
        <v>-1.1102230246251565E-16</v>
      </c>
      <c r="S37" s="43">
        <f t="shared" si="13"/>
        <v>0</v>
      </c>
      <c r="T37" s="29">
        <f>R37+S37</f>
        <v>-1.1102230246251565E-16</v>
      </c>
      <c r="U37" s="75"/>
      <c r="V37" s="29">
        <f t="shared" si="12"/>
        <v>0</v>
      </c>
      <c r="W37" s="32">
        <f>Q37/F37*100</f>
        <v>51</v>
      </c>
      <c r="X37" s="29">
        <f>Q37/K37*100</f>
        <v>92.72727272727272</v>
      </c>
    </row>
    <row r="38" spans="1:24" s="142" customFormat="1" x14ac:dyDescent="0.25">
      <c r="A38" s="53" t="s">
        <v>41</v>
      </c>
      <c r="B38" s="76" t="s">
        <v>72</v>
      </c>
      <c r="C38" s="54"/>
      <c r="D38" s="54"/>
      <c r="E38" s="54"/>
      <c r="F38" s="54"/>
      <c r="G38" s="35"/>
      <c r="H38" s="35"/>
      <c r="I38" s="35"/>
      <c r="J38" s="73"/>
      <c r="K38" s="78"/>
      <c r="L38" s="29"/>
      <c r="M38" s="29"/>
      <c r="N38" s="29"/>
      <c r="O38" s="73"/>
      <c r="P38" s="54"/>
      <c r="Q38" s="29"/>
      <c r="R38" s="29"/>
      <c r="S38" s="43"/>
      <c r="T38" s="29"/>
      <c r="U38" s="75"/>
      <c r="V38" s="29">
        <f t="shared" si="12"/>
        <v>0</v>
      </c>
      <c r="W38" s="32">
        <v>0</v>
      </c>
      <c r="X38" s="29">
        <v>0</v>
      </c>
    </row>
    <row r="39" spans="1:24" s="142" customFormat="1" x14ac:dyDescent="0.25">
      <c r="A39" s="53" t="s">
        <v>53</v>
      </c>
      <c r="B39" s="76" t="s">
        <v>73</v>
      </c>
      <c r="C39" s="54"/>
      <c r="D39" s="50">
        <v>0.61</v>
      </c>
      <c r="E39" s="175">
        <v>0.5</v>
      </c>
      <c r="F39" s="79">
        <v>0.5</v>
      </c>
      <c r="G39" s="175">
        <v>0.08</v>
      </c>
      <c r="H39" s="79">
        <v>0.46</v>
      </c>
      <c r="I39" s="34"/>
      <c r="J39" s="56"/>
      <c r="K39" s="178">
        <f>0.115+0.01+0.15</f>
        <v>0.27500000000000002</v>
      </c>
      <c r="L39" s="50">
        <f>SUM(G39:K39)</f>
        <v>0.81500000000000006</v>
      </c>
      <c r="M39" s="80">
        <f>0.44+0.1</f>
        <v>0.54</v>
      </c>
      <c r="N39" s="29"/>
      <c r="O39" s="56">
        <v>0</v>
      </c>
      <c r="P39" s="50">
        <v>0.31</v>
      </c>
      <c r="Q39" s="29">
        <f t="shared" si="14"/>
        <v>0.31</v>
      </c>
      <c r="R39" s="29">
        <f>L39-K39-M39-O39</f>
        <v>0</v>
      </c>
      <c r="S39" s="181">
        <v>0</v>
      </c>
      <c r="T39" s="175">
        <f>R39+R40+S39</f>
        <v>0</v>
      </c>
      <c r="U39" s="75"/>
      <c r="V39" s="29">
        <f t="shared" si="12"/>
        <v>0</v>
      </c>
      <c r="W39" s="32">
        <f t="shared" ref="W39:W45" si="15">Q39/F39*100</f>
        <v>62</v>
      </c>
      <c r="X39" s="29">
        <v>0</v>
      </c>
    </row>
    <row r="40" spans="1:24" s="142" customFormat="1" x14ac:dyDescent="0.25">
      <c r="A40" s="53" t="s">
        <v>55</v>
      </c>
      <c r="B40" s="76" t="s">
        <v>74</v>
      </c>
      <c r="C40" s="54"/>
      <c r="D40" s="50">
        <v>0</v>
      </c>
      <c r="E40" s="176"/>
      <c r="F40" s="81">
        <v>0.05</v>
      </c>
      <c r="G40" s="176"/>
      <c r="H40" s="81">
        <v>0.01</v>
      </c>
      <c r="I40" s="34"/>
      <c r="J40" s="56"/>
      <c r="K40" s="179"/>
      <c r="L40" s="50">
        <v>0.01</v>
      </c>
      <c r="M40" s="82">
        <v>0.01</v>
      </c>
      <c r="N40" s="29"/>
      <c r="O40" s="56"/>
      <c r="P40" s="50"/>
      <c r="Q40" s="29">
        <f t="shared" si="14"/>
        <v>0</v>
      </c>
      <c r="R40" s="29">
        <v>0</v>
      </c>
      <c r="S40" s="182"/>
      <c r="T40" s="176"/>
      <c r="U40" s="75"/>
      <c r="V40" s="29">
        <f t="shared" si="12"/>
        <v>0</v>
      </c>
      <c r="W40" s="32">
        <f t="shared" si="15"/>
        <v>0</v>
      </c>
      <c r="X40" s="29">
        <v>0</v>
      </c>
    </row>
    <row r="41" spans="1:24" s="142" customFormat="1" x14ac:dyDescent="0.25">
      <c r="A41" s="53" t="s">
        <v>75</v>
      </c>
      <c r="B41" s="76" t="s">
        <v>76</v>
      </c>
      <c r="C41" s="54"/>
      <c r="D41" s="50">
        <v>0</v>
      </c>
      <c r="E41" s="177"/>
      <c r="F41" s="83">
        <v>0.1</v>
      </c>
      <c r="G41" s="177"/>
      <c r="H41" s="83"/>
      <c r="I41" s="34"/>
      <c r="J41" s="56"/>
      <c r="K41" s="180"/>
      <c r="L41" s="50"/>
      <c r="M41" s="84"/>
      <c r="N41" s="29"/>
      <c r="O41" s="73"/>
      <c r="P41" s="54"/>
      <c r="Q41" s="29">
        <f t="shared" si="14"/>
        <v>0</v>
      </c>
      <c r="R41" s="85"/>
      <c r="S41" s="183"/>
      <c r="T41" s="177"/>
      <c r="U41" s="75"/>
      <c r="V41" s="29">
        <f t="shared" si="12"/>
        <v>0</v>
      </c>
      <c r="W41" s="32">
        <f t="shared" si="15"/>
        <v>0</v>
      </c>
      <c r="X41" s="29">
        <v>0</v>
      </c>
    </row>
    <row r="42" spans="1:24" s="142" customFormat="1" x14ac:dyDescent="0.25">
      <c r="A42" s="53" t="s">
        <v>43</v>
      </c>
      <c r="B42" s="76" t="s">
        <v>77</v>
      </c>
      <c r="C42" s="54"/>
      <c r="D42" s="50">
        <v>0</v>
      </c>
      <c r="E42" s="50">
        <v>1</v>
      </c>
      <c r="F42" s="50">
        <v>1.1499999999999999</v>
      </c>
      <c r="G42" s="34">
        <v>1.32</v>
      </c>
      <c r="H42" s="34">
        <v>0</v>
      </c>
      <c r="I42" s="34"/>
      <c r="J42" s="56"/>
      <c r="K42" s="78">
        <f>0.225+0.025+0.55+0.06</f>
        <v>0.8600000000000001</v>
      </c>
      <c r="L42" s="29">
        <f t="shared" ref="L42:L49" si="16">SUM(G42:K42)</f>
        <v>2.1800000000000002</v>
      </c>
      <c r="M42" s="29">
        <f>0.89+0.43</f>
        <v>1.32</v>
      </c>
      <c r="N42" s="29">
        <v>0.01</v>
      </c>
      <c r="O42" s="56">
        <v>0</v>
      </c>
      <c r="P42" s="50">
        <v>0.85</v>
      </c>
      <c r="Q42" s="29">
        <f t="shared" si="14"/>
        <v>0.85</v>
      </c>
      <c r="R42" s="29">
        <f t="shared" ref="R42:R49" si="17">L42-K42-M42-O42</f>
        <v>0</v>
      </c>
      <c r="S42" s="43">
        <f>K42-P42-N42</f>
        <v>1.1969591984239969E-16</v>
      </c>
      <c r="T42" s="29">
        <f t="shared" ref="T42:T49" si="18">R42+S42</f>
        <v>1.1969591984239969E-16</v>
      </c>
      <c r="U42" s="75"/>
      <c r="V42" s="29">
        <f t="shared" si="12"/>
        <v>0</v>
      </c>
      <c r="W42" s="32">
        <f t="shared" si="15"/>
        <v>73.913043478260875</v>
      </c>
      <c r="X42" s="29">
        <f>Q42/K42*100</f>
        <v>98.837209302325562</v>
      </c>
    </row>
    <row r="43" spans="1:24" s="142" customFormat="1" x14ac:dyDescent="0.25">
      <c r="A43" s="24" t="s">
        <v>45</v>
      </c>
      <c r="B43" s="23" t="s">
        <v>78</v>
      </c>
      <c r="C43" s="34">
        <v>1</v>
      </c>
      <c r="D43" s="34">
        <v>0</v>
      </c>
      <c r="E43" s="34">
        <v>1</v>
      </c>
      <c r="F43" s="34">
        <v>1</v>
      </c>
      <c r="G43" s="34">
        <v>0.01</v>
      </c>
      <c r="H43" s="34"/>
      <c r="I43" s="34"/>
      <c r="J43" s="34"/>
      <c r="K43" s="29">
        <v>1</v>
      </c>
      <c r="L43" s="29">
        <f t="shared" si="16"/>
        <v>1.01</v>
      </c>
      <c r="M43" s="29">
        <v>0.01</v>
      </c>
      <c r="N43" s="29"/>
      <c r="O43" s="34"/>
      <c r="P43" s="34">
        <v>1</v>
      </c>
      <c r="Q43" s="29">
        <f t="shared" si="14"/>
        <v>1</v>
      </c>
      <c r="R43" s="29">
        <f t="shared" si="17"/>
        <v>8.6736173798840355E-18</v>
      </c>
      <c r="S43" s="43">
        <f t="shared" ref="S43:S49" si="19">K43-P43-N43</f>
        <v>0</v>
      </c>
      <c r="T43" s="29">
        <f t="shared" si="18"/>
        <v>8.6736173798840355E-18</v>
      </c>
      <c r="U43" s="75"/>
      <c r="V43" s="29">
        <f t="shared" si="12"/>
        <v>0</v>
      </c>
      <c r="W43" s="32">
        <f t="shared" si="15"/>
        <v>100</v>
      </c>
      <c r="X43" s="29">
        <f>Q43/K43*100</f>
        <v>100</v>
      </c>
    </row>
    <row r="44" spans="1:24" s="142" customFormat="1" x14ac:dyDescent="0.25">
      <c r="A44" s="24" t="s">
        <v>47</v>
      </c>
      <c r="B44" s="23" t="s">
        <v>79</v>
      </c>
      <c r="C44" s="34"/>
      <c r="D44" s="34">
        <v>3.22</v>
      </c>
      <c r="E44" s="34">
        <v>6</v>
      </c>
      <c r="F44" s="34">
        <v>6</v>
      </c>
      <c r="G44" s="34">
        <v>0.72</v>
      </c>
      <c r="H44" s="34">
        <v>0.22</v>
      </c>
      <c r="I44" s="34"/>
      <c r="J44" s="34"/>
      <c r="K44" s="67">
        <f>1.317+0.183+2.583+0.417+0.75</f>
        <v>5.25</v>
      </c>
      <c r="L44" s="29">
        <f t="shared" si="16"/>
        <v>6.1899999999999995</v>
      </c>
      <c r="M44" s="29">
        <f>0.13+0.81</f>
        <v>0.94000000000000006</v>
      </c>
      <c r="N44" s="29">
        <v>0.09</v>
      </c>
      <c r="O44" s="34">
        <v>0</v>
      </c>
      <c r="P44" s="34">
        <v>5.16</v>
      </c>
      <c r="Q44" s="29">
        <f t="shared" si="14"/>
        <v>5.16</v>
      </c>
      <c r="R44" s="29">
        <f t="shared" si="17"/>
        <v>-5.5511151231257827E-16</v>
      </c>
      <c r="S44" s="43">
        <f t="shared" si="19"/>
        <v>-1.3877787807814457E-16</v>
      </c>
      <c r="T44" s="29">
        <f t="shared" si="18"/>
        <v>-6.9388939039072284E-16</v>
      </c>
      <c r="U44" s="75"/>
      <c r="V44" s="29">
        <f t="shared" si="12"/>
        <v>0</v>
      </c>
      <c r="W44" s="32">
        <f t="shared" si="15"/>
        <v>86</v>
      </c>
      <c r="X44" s="29">
        <f>Q44/K44*100</f>
        <v>98.285714285714292</v>
      </c>
    </row>
    <row r="45" spans="1:24" s="142" customFormat="1" x14ac:dyDescent="0.25">
      <c r="A45" s="24" t="s">
        <v>49</v>
      </c>
      <c r="B45" s="23" t="s">
        <v>80</v>
      </c>
      <c r="C45" s="34">
        <v>0</v>
      </c>
      <c r="D45" s="34">
        <v>7.68</v>
      </c>
      <c r="E45" s="34">
        <v>13.23</v>
      </c>
      <c r="F45" s="34">
        <v>12.39</v>
      </c>
      <c r="G45" s="34">
        <v>2.42</v>
      </c>
      <c r="H45" s="34">
        <v>0.67</v>
      </c>
      <c r="I45" s="34"/>
      <c r="J45" s="34"/>
      <c r="K45" s="27">
        <f>2.975+0.332+5.5+0.5</f>
        <v>9.3070000000000004</v>
      </c>
      <c r="L45" s="29">
        <f t="shared" si="16"/>
        <v>12.397</v>
      </c>
      <c r="M45" s="29">
        <f>0.93+0.47+1.69</f>
        <v>3.09</v>
      </c>
      <c r="N45" s="29">
        <v>0.21</v>
      </c>
      <c r="O45" s="34">
        <v>0</v>
      </c>
      <c r="P45" s="34">
        <v>9.1</v>
      </c>
      <c r="Q45" s="29">
        <f t="shared" si="14"/>
        <v>9.1</v>
      </c>
      <c r="R45" s="29">
        <f t="shared" si="17"/>
        <v>0</v>
      </c>
      <c r="S45" s="43">
        <f t="shared" si="19"/>
        <v>-2.9999999999992533E-3</v>
      </c>
      <c r="T45" s="29">
        <f t="shared" si="18"/>
        <v>-2.9999999999992533E-3</v>
      </c>
      <c r="U45" s="75"/>
      <c r="V45" s="29">
        <f t="shared" si="12"/>
        <v>0</v>
      </c>
      <c r="W45" s="32">
        <f t="shared" si="15"/>
        <v>73.446327683615806</v>
      </c>
      <c r="X45" s="29">
        <f>Q45/K45*100</f>
        <v>97.775867626517666</v>
      </c>
    </row>
    <row r="46" spans="1:24" s="142" customFormat="1" x14ac:dyDescent="0.25">
      <c r="A46" s="24" t="s">
        <v>51</v>
      </c>
      <c r="B46" s="86" t="s">
        <v>81</v>
      </c>
      <c r="C46" s="50">
        <v>7.76</v>
      </c>
      <c r="D46" s="50">
        <v>0</v>
      </c>
      <c r="E46" s="50"/>
      <c r="F46" s="50"/>
      <c r="G46" s="34">
        <v>0.03</v>
      </c>
      <c r="H46" s="34">
        <v>0</v>
      </c>
      <c r="I46" s="34"/>
      <c r="J46" s="34"/>
      <c r="K46" s="29"/>
      <c r="L46" s="29">
        <f t="shared" si="16"/>
        <v>0.03</v>
      </c>
      <c r="M46" s="29">
        <v>0.03</v>
      </c>
      <c r="N46" s="29"/>
      <c r="O46" s="34"/>
      <c r="P46" s="34"/>
      <c r="Q46" s="29">
        <f t="shared" si="14"/>
        <v>0</v>
      </c>
      <c r="R46" s="29">
        <f t="shared" si="17"/>
        <v>0</v>
      </c>
      <c r="S46" s="43">
        <f t="shared" si="19"/>
        <v>0</v>
      </c>
      <c r="T46" s="29">
        <f t="shared" si="18"/>
        <v>0</v>
      </c>
      <c r="U46" s="75"/>
      <c r="V46" s="29">
        <f t="shared" si="12"/>
        <v>0</v>
      </c>
      <c r="W46" s="32">
        <v>0</v>
      </c>
      <c r="X46" s="29">
        <v>0</v>
      </c>
    </row>
    <row r="47" spans="1:24" s="142" customFormat="1" x14ac:dyDescent="0.25">
      <c r="A47" s="24" t="s">
        <v>82</v>
      </c>
      <c r="B47" s="86" t="s">
        <v>83</v>
      </c>
      <c r="C47" s="50">
        <v>2.2400000000000002</v>
      </c>
      <c r="D47" s="50">
        <v>0</v>
      </c>
      <c r="E47" s="50"/>
      <c r="F47" s="50"/>
      <c r="G47" s="34">
        <v>0.09</v>
      </c>
      <c r="H47" s="34">
        <v>0</v>
      </c>
      <c r="I47" s="34"/>
      <c r="J47" s="34"/>
      <c r="K47" s="29"/>
      <c r="L47" s="29">
        <f t="shared" si="16"/>
        <v>0.09</v>
      </c>
      <c r="M47" s="29">
        <v>0.09</v>
      </c>
      <c r="N47" s="29"/>
      <c r="O47" s="34"/>
      <c r="P47" s="34"/>
      <c r="Q47" s="29">
        <f t="shared" si="14"/>
        <v>0</v>
      </c>
      <c r="R47" s="29">
        <f t="shared" si="17"/>
        <v>0</v>
      </c>
      <c r="S47" s="43">
        <f t="shared" si="19"/>
        <v>0</v>
      </c>
      <c r="T47" s="29">
        <f t="shared" si="18"/>
        <v>0</v>
      </c>
      <c r="U47" s="75"/>
      <c r="V47" s="29">
        <f t="shared" si="12"/>
        <v>0</v>
      </c>
      <c r="W47" s="32">
        <v>0</v>
      </c>
      <c r="X47" s="29">
        <v>0</v>
      </c>
    </row>
    <row r="48" spans="1:24" s="142" customFormat="1" x14ac:dyDescent="0.25">
      <c r="A48" s="24" t="s">
        <v>84</v>
      </c>
      <c r="B48" s="64" t="s">
        <v>85</v>
      </c>
      <c r="C48" s="50">
        <v>8.5399999999999991</v>
      </c>
      <c r="D48" s="50">
        <v>2.9</v>
      </c>
      <c r="E48" s="50">
        <v>25</v>
      </c>
      <c r="F48" s="50">
        <v>22</v>
      </c>
      <c r="G48" s="50">
        <v>3.49</v>
      </c>
      <c r="H48" s="50">
        <v>1.94</v>
      </c>
      <c r="I48" s="50"/>
      <c r="J48" s="50"/>
      <c r="K48" s="78">
        <f>5.625+0.625+8.675+1.575</f>
        <v>16.5</v>
      </c>
      <c r="L48" s="29">
        <f t="shared" si="16"/>
        <v>21.93</v>
      </c>
      <c r="M48" s="29">
        <f>5.37+0.06</f>
        <v>5.43</v>
      </c>
      <c r="N48" s="29">
        <v>0.15</v>
      </c>
      <c r="O48" s="50">
        <v>0</v>
      </c>
      <c r="P48" s="50">
        <v>11.46</v>
      </c>
      <c r="Q48" s="29">
        <f t="shared" si="14"/>
        <v>11.46</v>
      </c>
      <c r="R48" s="29">
        <f t="shared" si="17"/>
        <v>0</v>
      </c>
      <c r="S48" s="43">
        <f t="shared" si="19"/>
        <v>4.8899999999999988</v>
      </c>
      <c r="T48" s="29">
        <f t="shared" si="18"/>
        <v>4.8899999999999988</v>
      </c>
      <c r="U48" s="75"/>
      <c r="V48" s="29">
        <f t="shared" si="12"/>
        <v>0</v>
      </c>
      <c r="W48" s="32">
        <f>Q48/F48*100</f>
        <v>52.090909090909101</v>
      </c>
      <c r="X48" s="29">
        <f>Q48/K48*100</f>
        <v>69.454545454545453</v>
      </c>
    </row>
    <row r="49" spans="1:59" s="142" customFormat="1" x14ac:dyDescent="0.25">
      <c r="A49" s="53" t="s">
        <v>86</v>
      </c>
      <c r="B49" s="64" t="s">
        <v>87</v>
      </c>
      <c r="C49" s="50"/>
      <c r="D49" s="50">
        <v>0</v>
      </c>
      <c r="E49" s="50"/>
      <c r="F49" s="50"/>
      <c r="G49" s="50">
        <v>0.35</v>
      </c>
      <c r="H49" s="50"/>
      <c r="I49" s="50"/>
      <c r="J49" s="50"/>
      <c r="K49" s="69"/>
      <c r="L49" s="29">
        <f t="shared" si="16"/>
        <v>0.35</v>
      </c>
      <c r="M49" s="29">
        <v>0.35</v>
      </c>
      <c r="N49" s="29"/>
      <c r="O49" s="50"/>
      <c r="P49" s="50"/>
      <c r="Q49" s="29">
        <f t="shared" si="14"/>
        <v>0</v>
      </c>
      <c r="R49" s="29">
        <f t="shared" si="17"/>
        <v>0</v>
      </c>
      <c r="S49" s="43">
        <f t="shared" si="19"/>
        <v>0</v>
      </c>
      <c r="T49" s="29">
        <f t="shared" si="18"/>
        <v>0</v>
      </c>
      <c r="U49" s="75"/>
      <c r="V49" s="29">
        <f t="shared" si="12"/>
        <v>0</v>
      </c>
      <c r="W49" s="32">
        <v>0</v>
      </c>
      <c r="X49" s="29">
        <v>0</v>
      </c>
    </row>
    <row r="50" spans="1:59" s="143" customFormat="1" x14ac:dyDescent="0.2">
      <c r="A50" s="167" t="s">
        <v>88</v>
      </c>
      <c r="B50" s="168"/>
      <c r="C50" s="87">
        <v>8</v>
      </c>
      <c r="D50" s="88">
        <f t="shared" ref="D50:V50" si="20">SUM(D35:D49)</f>
        <v>20.52</v>
      </c>
      <c r="E50" s="88">
        <f t="shared" si="20"/>
        <v>68.73</v>
      </c>
      <c r="F50" s="88">
        <f t="shared" si="20"/>
        <v>61.19</v>
      </c>
      <c r="G50" s="88">
        <f t="shared" si="20"/>
        <v>10.02</v>
      </c>
      <c r="H50" s="88">
        <f t="shared" si="20"/>
        <v>14.31</v>
      </c>
      <c r="I50" s="88">
        <f t="shared" si="20"/>
        <v>0</v>
      </c>
      <c r="J50" s="88">
        <f t="shared" si="20"/>
        <v>0</v>
      </c>
      <c r="K50" s="89">
        <f t="shared" si="20"/>
        <v>47.466999999999999</v>
      </c>
      <c r="L50" s="88">
        <f t="shared" si="20"/>
        <v>71.796999999999997</v>
      </c>
      <c r="M50" s="88">
        <f t="shared" si="20"/>
        <v>24.330000000000002</v>
      </c>
      <c r="N50" s="88">
        <f t="shared" si="20"/>
        <v>0.93</v>
      </c>
      <c r="O50" s="88">
        <f t="shared" si="20"/>
        <v>0</v>
      </c>
      <c r="P50" s="88">
        <f t="shared" si="20"/>
        <v>41.685000000000002</v>
      </c>
      <c r="Q50" s="88">
        <f t="shared" si="20"/>
        <v>41.685000000000002</v>
      </c>
      <c r="R50" s="88">
        <f t="shared" si="20"/>
        <v>-2.4060614611798314E-15</v>
      </c>
      <c r="S50" s="88">
        <f t="shared" si="20"/>
        <v>4.8869999999999987</v>
      </c>
      <c r="T50" s="88">
        <f t="shared" si="20"/>
        <v>4.886999999999996</v>
      </c>
      <c r="U50" s="88">
        <f t="shared" si="20"/>
        <v>0</v>
      </c>
      <c r="V50" s="90">
        <f t="shared" si="20"/>
        <v>0</v>
      </c>
      <c r="W50" s="88">
        <f>Q50/F50*100</f>
        <v>68.123876450400402</v>
      </c>
      <c r="X50" s="90">
        <f>Q50/K50*100</f>
        <v>87.8189057661112</v>
      </c>
    </row>
    <row r="51" spans="1:59" s="142" customFormat="1" x14ac:dyDescent="0.2">
      <c r="A51" s="91"/>
      <c r="B51" s="91" t="s">
        <v>89</v>
      </c>
      <c r="C51" s="92"/>
      <c r="D51" s="70">
        <f t="shared" ref="D51:V51" si="21">D50+D33</f>
        <v>319.64999999999998</v>
      </c>
      <c r="E51" s="70">
        <f t="shared" si="21"/>
        <v>498.42</v>
      </c>
      <c r="F51" s="70">
        <f t="shared" si="21"/>
        <v>422.8</v>
      </c>
      <c r="G51" s="70">
        <f t="shared" si="21"/>
        <v>101.21</v>
      </c>
      <c r="H51" s="70">
        <f t="shared" si="21"/>
        <v>31.990000000000002</v>
      </c>
      <c r="I51" s="70">
        <f t="shared" si="21"/>
        <v>17.21</v>
      </c>
      <c r="J51" s="70">
        <f t="shared" si="21"/>
        <v>232.97</v>
      </c>
      <c r="K51" s="93">
        <f t="shared" si="21"/>
        <v>122.267</v>
      </c>
      <c r="L51" s="70">
        <f t="shared" si="21"/>
        <v>505.64700000000005</v>
      </c>
      <c r="M51" s="70">
        <f t="shared" si="21"/>
        <v>78.44</v>
      </c>
      <c r="N51" s="70">
        <f t="shared" si="21"/>
        <v>17.209999999999997</v>
      </c>
      <c r="O51" s="70">
        <f t="shared" si="21"/>
        <v>299.02</v>
      </c>
      <c r="P51" s="70">
        <f t="shared" si="21"/>
        <v>96.595000000000013</v>
      </c>
      <c r="Q51" s="70">
        <f t="shared" si="21"/>
        <v>395.61500000000001</v>
      </c>
      <c r="R51" s="70">
        <f t="shared" si="21"/>
        <v>2.4200000000000026</v>
      </c>
      <c r="S51" s="70">
        <f t="shared" si="21"/>
        <v>11.996999999999998</v>
      </c>
      <c r="T51" s="70">
        <f t="shared" si="21"/>
        <v>14.417000000000002</v>
      </c>
      <c r="U51" s="70">
        <f t="shared" si="21"/>
        <v>0</v>
      </c>
      <c r="V51" s="71">
        <f t="shared" si="21"/>
        <v>0</v>
      </c>
      <c r="W51" s="70">
        <f>Q51/F51*100</f>
        <v>93.570245979186367</v>
      </c>
      <c r="X51" s="71">
        <f>Q51/(J51+K51)*100</f>
        <v>111.36649617016248</v>
      </c>
    </row>
    <row r="52" spans="1:59" x14ac:dyDescent="0.25">
      <c r="A52" s="165" t="s">
        <v>90</v>
      </c>
      <c r="B52" s="165"/>
      <c r="C52" s="165"/>
      <c r="D52" s="165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6"/>
      <c r="V52" s="27"/>
      <c r="W52" s="23"/>
      <c r="X52" s="27"/>
    </row>
    <row r="53" spans="1:59" x14ac:dyDescent="0.25">
      <c r="A53" s="94"/>
      <c r="B53" s="95" t="s">
        <v>91</v>
      </c>
      <c r="C53" s="34"/>
      <c r="D53" s="34"/>
      <c r="E53" s="34"/>
      <c r="F53" s="34"/>
      <c r="G53" s="34"/>
      <c r="H53" s="34"/>
      <c r="I53" s="34"/>
      <c r="J53" s="34"/>
      <c r="K53" s="51"/>
      <c r="L53" s="29"/>
      <c r="M53" s="29"/>
      <c r="N53" s="29"/>
      <c r="O53" s="34"/>
      <c r="P53" s="34"/>
      <c r="Q53" s="69"/>
      <c r="R53" s="29"/>
      <c r="S53" s="43"/>
      <c r="T53" s="29"/>
      <c r="U53" s="31"/>
      <c r="V53" s="27"/>
      <c r="W53" s="23"/>
      <c r="X53" s="27"/>
    </row>
    <row r="54" spans="1:59" x14ac:dyDescent="0.25">
      <c r="A54" s="24" t="s">
        <v>30</v>
      </c>
      <c r="B54" s="96" t="s">
        <v>92</v>
      </c>
      <c r="C54" s="34"/>
      <c r="D54" s="34">
        <v>10</v>
      </c>
      <c r="E54" s="34">
        <v>8.6</v>
      </c>
      <c r="F54" s="34">
        <v>10</v>
      </c>
      <c r="G54" s="34">
        <v>1.94</v>
      </c>
      <c r="H54" s="34">
        <v>10.54</v>
      </c>
      <c r="I54" s="34"/>
      <c r="J54" s="34"/>
      <c r="K54" s="29">
        <f>1.935+0.215+4.83+0.52</f>
        <v>7.5</v>
      </c>
      <c r="L54" s="29">
        <f t="shared" ref="L54:L60" si="22">SUM(G54:K54)</f>
        <v>19.979999999999997</v>
      </c>
      <c r="M54" s="29">
        <v>12.48</v>
      </c>
      <c r="N54" s="29"/>
      <c r="O54" s="34"/>
      <c r="P54" s="34">
        <v>5.33</v>
      </c>
      <c r="Q54" s="69">
        <f t="shared" ref="Q54:Q61" si="23">SUM(O54:P54)</f>
        <v>5.33</v>
      </c>
      <c r="R54" s="29">
        <f t="shared" ref="R54:R61" si="24">L54-K54-M54-O54</f>
        <v>-3.5527136788005009E-15</v>
      </c>
      <c r="S54" s="43">
        <f>K54-P54</f>
        <v>2.17</v>
      </c>
      <c r="T54" s="29">
        <f t="shared" ref="T54:T61" si="25">R54+S54</f>
        <v>2.1699999999999964</v>
      </c>
      <c r="U54" s="31"/>
      <c r="V54" s="29">
        <f t="shared" ref="V54:V61" si="26">G54+H54-O54-M54</f>
        <v>0</v>
      </c>
      <c r="W54" s="32">
        <f t="shared" ref="W54:W62" si="27">Q54/F54*100</f>
        <v>53.300000000000004</v>
      </c>
      <c r="X54" s="29">
        <f t="shared" ref="X54:X62" si="28">Q54/K54*100</f>
        <v>71.066666666666663</v>
      </c>
    </row>
    <row r="55" spans="1:59" s="142" customFormat="1" x14ac:dyDescent="0.25">
      <c r="A55" s="53" t="s">
        <v>32</v>
      </c>
      <c r="B55" s="96" t="s">
        <v>93</v>
      </c>
      <c r="C55" s="50">
        <v>1</v>
      </c>
      <c r="D55" s="50">
        <v>1</v>
      </c>
      <c r="E55" s="50">
        <v>4</v>
      </c>
      <c r="F55" s="50">
        <v>5.9</v>
      </c>
      <c r="G55" s="50">
        <v>0.66</v>
      </c>
      <c r="H55" s="50">
        <v>1.43</v>
      </c>
      <c r="I55" s="50"/>
      <c r="J55" s="50"/>
      <c r="K55" s="69">
        <f>0.9+0.1+2.7+0.3</f>
        <v>4</v>
      </c>
      <c r="L55" s="69">
        <f t="shared" si="22"/>
        <v>6.09</v>
      </c>
      <c r="M55" s="69">
        <v>2.09</v>
      </c>
      <c r="N55" s="69"/>
      <c r="O55" s="50"/>
      <c r="P55" s="50">
        <v>3.35</v>
      </c>
      <c r="Q55" s="69">
        <f t="shared" si="23"/>
        <v>3.35</v>
      </c>
      <c r="R55" s="69">
        <f t="shared" si="24"/>
        <v>0</v>
      </c>
      <c r="S55" s="97">
        <f>K55-P55</f>
        <v>0.64999999999999991</v>
      </c>
      <c r="T55" s="69">
        <f t="shared" si="25"/>
        <v>0.64999999999999991</v>
      </c>
      <c r="U55" s="98">
        <v>0.26</v>
      </c>
      <c r="V55" s="29">
        <f t="shared" si="26"/>
        <v>0</v>
      </c>
      <c r="W55" s="32">
        <f t="shared" si="27"/>
        <v>56.779661016949149</v>
      </c>
      <c r="X55" s="29">
        <f t="shared" si="28"/>
        <v>83.75</v>
      </c>
    </row>
    <row r="56" spans="1:59" x14ac:dyDescent="0.25">
      <c r="A56" s="24" t="s">
        <v>39</v>
      </c>
      <c r="B56" s="64" t="s">
        <v>94</v>
      </c>
      <c r="C56" s="34"/>
      <c r="D56" s="34">
        <v>2</v>
      </c>
      <c r="E56" s="34">
        <v>4</v>
      </c>
      <c r="F56" s="34">
        <v>4.1500000000000004</v>
      </c>
      <c r="G56" s="34">
        <v>0.45</v>
      </c>
      <c r="H56" s="34">
        <v>1.7</v>
      </c>
      <c r="I56" s="34"/>
      <c r="J56" s="23"/>
      <c r="K56" s="29">
        <f>1+1.856+0.144</f>
        <v>3</v>
      </c>
      <c r="L56" s="29">
        <f t="shared" si="22"/>
        <v>5.15</v>
      </c>
      <c r="M56" s="29">
        <f>0.89+1.21+0.05</f>
        <v>2.15</v>
      </c>
      <c r="N56" s="29"/>
      <c r="O56" s="34">
        <v>0</v>
      </c>
      <c r="P56" s="34">
        <v>2.5</v>
      </c>
      <c r="Q56" s="69">
        <f t="shared" si="23"/>
        <v>2.5</v>
      </c>
      <c r="R56" s="29">
        <f t="shared" si="24"/>
        <v>4.4408920985006262E-16</v>
      </c>
      <c r="S56" s="43">
        <f>K56-P56-N56</f>
        <v>0.5</v>
      </c>
      <c r="T56" s="29">
        <f t="shared" si="25"/>
        <v>0.50000000000000044</v>
      </c>
      <c r="U56" s="31"/>
      <c r="V56" s="29">
        <f t="shared" si="26"/>
        <v>0</v>
      </c>
      <c r="W56" s="32">
        <f t="shared" si="27"/>
        <v>60.240963855421683</v>
      </c>
      <c r="X56" s="29">
        <f t="shared" si="28"/>
        <v>83.333333333333343</v>
      </c>
    </row>
    <row r="57" spans="1:59" s="145" customFormat="1" x14ac:dyDescent="0.25">
      <c r="A57" s="53" t="s">
        <v>41</v>
      </c>
      <c r="B57" s="86" t="s">
        <v>95</v>
      </c>
      <c r="C57" s="99"/>
      <c r="D57" s="99">
        <v>2</v>
      </c>
      <c r="E57" s="99">
        <v>4</v>
      </c>
      <c r="F57" s="99">
        <v>4</v>
      </c>
      <c r="G57" s="56">
        <v>0.01</v>
      </c>
      <c r="H57" s="56">
        <v>0.66</v>
      </c>
      <c r="I57" s="56"/>
      <c r="J57" s="100"/>
      <c r="K57" s="29">
        <f>1+2.7+0.3</f>
        <v>4</v>
      </c>
      <c r="L57" s="29">
        <f t="shared" si="22"/>
        <v>4.67</v>
      </c>
      <c r="M57" s="29">
        <f>0.55+0.12</f>
        <v>0.67</v>
      </c>
      <c r="N57" s="29"/>
      <c r="O57" s="56">
        <v>0</v>
      </c>
      <c r="P57" s="56">
        <v>2.46</v>
      </c>
      <c r="Q57" s="69">
        <f t="shared" si="23"/>
        <v>2.46</v>
      </c>
      <c r="R57" s="29">
        <f t="shared" si="24"/>
        <v>-1.1102230246251565E-16</v>
      </c>
      <c r="S57" s="43">
        <f>K57-P57</f>
        <v>1.54</v>
      </c>
      <c r="T57" s="29">
        <f t="shared" si="25"/>
        <v>1.54</v>
      </c>
      <c r="U57" s="31"/>
      <c r="V57" s="29">
        <f t="shared" si="26"/>
        <v>0</v>
      </c>
      <c r="W57" s="32">
        <f t="shared" si="27"/>
        <v>61.5</v>
      </c>
      <c r="X57" s="29">
        <f t="shared" si="28"/>
        <v>61.5</v>
      </c>
      <c r="Y57" s="144"/>
      <c r="Z57" s="144"/>
      <c r="AA57" s="144"/>
      <c r="AB57" s="144"/>
      <c r="AC57" s="144"/>
      <c r="AD57" s="144"/>
      <c r="AE57" s="144"/>
      <c r="AF57" s="144"/>
      <c r="AG57" s="144"/>
      <c r="AH57" s="144"/>
      <c r="AI57" s="144"/>
      <c r="AJ57" s="144"/>
      <c r="AK57" s="144"/>
      <c r="AL57" s="144"/>
      <c r="AM57" s="144"/>
      <c r="AN57" s="144"/>
      <c r="AO57" s="144"/>
      <c r="AP57" s="144"/>
      <c r="AQ57" s="144"/>
      <c r="AR57" s="144"/>
      <c r="AS57" s="144"/>
      <c r="AT57" s="144"/>
      <c r="AU57" s="144"/>
      <c r="AV57" s="144"/>
      <c r="AW57" s="144"/>
      <c r="AX57" s="144"/>
      <c r="AY57" s="144"/>
      <c r="AZ57" s="144"/>
      <c r="BA57" s="144"/>
      <c r="BB57" s="144"/>
      <c r="BC57" s="144"/>
      <c r="BD57" s="144"/>
      <c r="BE57" s="144"/>
      <c r="BF57" s="144"/>
      <c r="BG57" s="144"/>
    </row>
    <row r="58" spans="1:59" s="142" customFormat="1" x14ac:dyDescent="0.25">
      <c r="A58" s="53" t="s">
        <v>43</v>
      </c>
      <c r="B58" s="96" t="s">
        <v>96</v>
      </c>
      <c r="C58" s="50">
        <v>7.92</v>
      </c>
      <c r="D58" s="50">
        <v>0</v>
      </c>
      <c r="E58" s="50">
        <v>5</v>
      </c>
      <c r="F58" s="50">
        <v>6</v>
      </c>
      <c r="G58" s="50">
        <v>7.0000000000000007E-2</v>
      </c>
      <c r="H58" s="50">
        <v>1.1100000000000001</v>
      </c>
      <c r="I58" s="50"/>
      <c r="J58" s="50"/>
      <c r="K58" s="69">
        <f>1.125+0.125+2.95+0.3</f>
        <v>4.5</v>
      </c>
      <c r="L58" s="69">
        <f t="shared" si="22"/>
        <v>5.68</v>
      </c>
      <c r="M58" s="69">
        <f>1.16+0.02</f>
        <v>1.18</v>
      </c>
      <c r="N58" s="69"/>
      <c r="O58" s="50">
        <v>0</v>
      </c>
      <c r="P58" s="50">
        <v>4</v>
      </c>
      <c r="Q58" s="69">
        <f t="shared" si="23"/>
        <v>4</v>
      </c>
      <c r="R58" s="69">
        <f t="shared" si="24"/>
        <v>-2.2204460492503131E-16</v>
      </c>
      <c r="S58" s="97">
        <f>K58-P58</f>
        <v>0.5</v>
      </c>
      <c r="T58" s="69">
        <f t="shared" si="25"/>
        <v>0.49999999999999978</v>
      </c>
      <c r="U58" s="31"/>
      <c r="V58" s="69">
        <f t="shared" si="26"/>
        <v>0</v>
      </c>
      <c r="W58" s="32">
        <f t="shared" si="27"/>
        <v>66.666666666666657</v>
      </c>
      <c r="X58" s="29">
        <f t="shared" si="28"/>
        <v>88.888888888888886</v>
      </c>
    </row>
    <row r="59" spans="1:59" s="142" customFormat="1" x14ac:dyDescent="0.25">
      <c r="A59" s="53" t="s">
        <v>45</v>
      </c>
      <c r="B59" s="96" t="s">
        <v>97</v>
      </c>
      <c r="C59" s="50"/>
      <c r="D59" s="50">
        <v>10</v>
      </c>
      <c r="E59" s="50">
        <v>10</v>
      </c>
      <c r="F59" s="50">
        <v>15</v>
      </c>
      <c r="G59" s="50">
        <v>0.09</v>
      </c>
      <c r="H59" s="50">
        <v>5.35</v>
      </c>
      <c r="I59" s="50"/>
      <c r="J59" s="50"/>
      <c r="K59" s="69">
        <f>2.25+0.25+6.73+0.75</f>
        <v>9.98</v>
      </c>
      <c r="L59" s="69">
        <f t="shared" si="22"/>
        <v>15.42</v>
      </c>
      <c r="M59" s="69">
        <f>5.32+0.12</f>
        <v>5.44</v>
      </c>
      <c r="N59" s="69"/>
      <c r="O59" s="50">
        <v>0</v>
      </c>
      <c r="P59" s="50">
        <v>7.74</v>
      </c>
      <c r="Q59" s="69">
        <f t="shared" si="23"/>
        <v>7.74</v>
      </c>
      <c r="R59" s="69">
        <f t="shared" si="24"/>
        <v>-8.8817841970012523E-16</v>
      </c>
      <c r="S59" s="97">
        <f>K59-P59-N59</f>
        <v>2.2400000000000002</v>
      </c>
      <c r="T59" s="69">
        <f t="shared" si="25"/>
        <v>2.2399999999999993</v>
      </c>
      <c r="U59" s="45"/>
      <c r="V59" s="69">
        <f t="shared" si="26"/>
        <v>0</v>
      </c>
      <c r="W59" s="32">
        <f t="shared" si="27"/>
        <v>51.6</v>
      </c>
      <c r="X59" s="29">
        <f t="shared" si="28"/>
        <v>77.555110220440881</v>
      </c>
    </row>
    <row r="60" spans="1:59" s="142" customFormat="1" x14ac:dyDescent="0.25">
      <c r="A60" s="53" t="s">
        <v>47</v>
      </c>
      <c r="B60" s="96" t="s">
        <v>98</v>
      </c>
      <c r="C60" s="50"/>
      <c r="D60" s="50">
        <v>2.12</v>
      </c>
      <c r="E60" s="50">
        <v>4</v>
      </c>
      <c r="F60" s="50">
        <v>4</v>
      </c>
      <c r="G60" s="50">
        <v>1.1499999999999999</v>
      </c>
      <c r="H60" s="50">
        <v>1.44</v>
      </c>
      <c r="I60" s="50"/>
      <c r="J60" s="50"/>
      <c r="K60" s="69">
        <f>1+1.8+0.2</f>
        <v>3</v>
      </c>
      <c r="L60" s="69">
        <f t="shared" si="22"/>
        <v>5.59</v>
      </c>
      <c r="M60" s="69">
        <f>1.94+0.65</f>
        <v>2.59</v>
      </c>
      <c r="N60" s="69"/>
      <c r="O60" s="50">
        <v>0</v>
      </c>
      <c r="P60" s="50">
        <v>2.7</v>
      </c>
      <c r="Q60" s="69">
        <f t="shared" si="23"/>
        <v>2.7</v>
      </c>
      <c r="R60" s="69">
        <f t="shared" si="24"/>
        <v>0</v>
      </c>
      <c r="S60" s="97">
        <f>K60-P60-N60</f>
        <v>0.29999999999999982</v>
      </c>
      <c r="T60" s="69">
        <f t="shared" si="25"/>
        <v>0.29999999999999982</v>
      </c>
      <c r="U60" s="45"/>
      <c r="V60" s="69">
        <f t="shared" si="26"/>
        <v>0</v>
      </c>
      <c r="W60" s="32">
        <f t="shared" si="27"/>
        <v>67.5</v>
      </c>
      <c r="X60" s="29">
        <f t="shared" si="28"/>
        <v>90</v>
      </c>
    </row>
    <row r="61" spans="1:59" s="142" customFormat="1" x14ac:dyDescent="0.25">
      <c r="A61" s="101" t="s">
        <v>49</v>
      </c>
      <c r="B61" s="102" t="s">
        <v>99</v>
      </c>
      <c r="C61" s="50"/>
      <c r="D61" s="50">
        <v>1.04</v>
      </c>
      <c r="E61" s="50">
        <v>3</v>
      </c>
      <c r="F61" s="50">
        <v>4.5</v>
      </c>
      <c r="G61" s="50">
        <v>0.01</v>
      </c>
      <c r="H61" s="50">
        <v>0.16</v>
      </c>
      <c r="I61" s="50"/>
      <c r="J61" s="50"/>
      <c r="K61" s="69">
        <f>0.675+0.075+1.36+0.14</f>
        <v>2.2500000000000004</v>
      </c>
      <c r="L61" s="69">
        <f>SUM(G61:K61)</f>
        <v>2.4200000000000004</v>
      </c>
      <c r="M61" s="69">
        <v>0.17</v>
      </c>
      <c r="N61" s="69"/>
      <c r="O61" s="50"/>
      <c r="P61" s="50">
        <v>2.15</v>
      </c>
      <c r="Q61" s="69">
        <f t="shared" si="23"/>
        <v>2.15</v>
      </c>
      <c r="R61" s="69">
        <f t="shared" si="24"/>
        <v>-8.3266726846886741E-17</v>
      </c>
      <c r="S61" s="97">
        <f>K61-P61-N61</f>
        <v>0.10000000000000053</v>
      </c>
      <c r="T61" s="69">
        <f t="shared" si="25"/>
        <v>0.10000000000000045</v>
      </c>
      <c r="U61" s="45"/>
      <c r="V61" s="69">
        <f t="shared" si="26"/>
        <v>0</v>
      </c>
      <c r="W61" s="32">
        <f t="shared" si="27"/>
        <v>47.777777777777771</v>
      </c>
      <c r="X61" s="29">
        <f t="shared" si="28"/>
        <v>95.555555555555543</v>
      </c>
    </row>
    <row r="62" spans="1:59" s="146" customFormat="1" x14ac:dyDescent="0.25">
      <c r="A62" s="167" t="s">
        <v>100</v>
      </c>
      <c r="B62" s="168"/>
      <c r="C62" s="88"/>
      <c r="D62" s="38">
        <f t="shared" ref="D62:V62" si="29">SUM(D54:D61)</f>
        <v>28.16</v>
      </c>
      <c r="E62" s="38">
        <f t="shared" si="29"/>
        <v>42.6</v>
      </c>
      <c r="F62" s="38">
        <f>SUM(F54:F61)</f>
        <v>53.55</v>
      </c>
      <c r="G62" s="38">
        <f t="shared" si="29"/>
        <v>4.379999999999999</v>
      </c>
      <c r="H62" s="38">
        <f t="shared" si="29"/>
        <v>22.39</v>
      </c>
      <c r="I62" s="38">
        <f t="shared" si="29"/>
        <v>0</v>
      </c>
      <c r="J62" s="38">
        <f t="shared" si="29"/>
        <v>0</v>
      </c>
      <c r="K62" s="38">
        <f t="shared" si="29"/>
        <v>38.230000000000004</v>
      </c>
      <c r="L62" s="38">
        <f t="shared" si="29"/>
        <v>65</v>
      </c>
      <c r="M62" s="38">
        <f t="shared" si="29"/>
        <v>26.770000000000003</v>
      </c>
      <c r="N62" s="38">
        <f t="shared" si="29"/>
        <v>0</v>
      </c>
      <c r="O62" s="38">
        <f t="shared" si="29"/>
        <v>0</v>
      </c>
      <c r="P62" s="38">
        <f t="shared" si="29"/>
        <v>30.23</v>
      </c>
      <c r="Q62" s="38">
        <f t="shared" si="29"/>
        <v>30.23</v>
      </c>
      <c r="R62" s="38">
        <f t="shared" si="29"/>
        <v>-4.4131365228849972E-15</v>
      </c>
      <c r="S62" s="38">
        <f>SUM(S54:S61)</f>
        <v>8</v>
      </c>
      <c r="T62" s="38">
        <f t="shared" si="29"/>
        <v>7.9999999999999964</v>
      </c>
      <c r="U62" s="38">
        <f t="shared" si="29"/>
        <v>0.26</v>
      </c>
      <c r="V62" s="39">
        <f t="shared" si="29"/>
        <v>0</v>
      </c>
      <c r="W62" s="38">
        <f t="shared" si="27"/>
        <v>56.451914098972921</v>
      </c>
      <c r="X62" s="39">
        <f t="shared" si="28"/>
        <v>79.074025634318588</v>
      </c>
    </row>
    <row r="63" spans="1:59" s="138" customFormat="1" x14ac:dyDescent="0.25">
      <c r="A63" s="61" t="s">
        <v>101</v>
      </c>
      <c r="B63" s="95" t="s">
        <v>102</v>
      </c>
      <c r="C63" s="34">
        <v>5</v>
      </c>
      <c r="D63" s="34"/>
      <c r="E63" s="34"/>
      <c r="F63" s="34"/>
      <c r="G63" s="34"/>
      <c r="H63" s="34"/>
      <c r="I63" s="34"/>
      <c r="J63" s="34"/>
      <c r="K63" s="29"/>
      <c r="L63" s="29"/>
      <c r="M63" s="29"/>
      <c r="N63" s="29"/>
      <c r="O63" s="34"/>
      <c r="P63" s="34"/>
      <c r="Q63" s="29"/>
      <c r="R63" s="29"/>
      <c r="S63" s="29"/>
      <c r="T63" s="29"/>
      <c r="U63" s="103"/>
      <c r="V63" s="104"/>
      <c r="W63" s="95"/>
      <c r="X63" s="104"/>
    </row>
    <row r="64" spans="1:59" s="138" customFormat="1" x14ac:dyDescent="0.25">
      <c r="A64" s="24" t="s">
        <v>30</v>
      </c>
      <c r="B64" s="64" t="s">
        <v>103</v>
      </c>
      <c r="C64" s="34">
        <v>1</v>
      </c>
      <c r="D64" s="34">
        <v>170</v>
      </c>
      <c r="E64" s="34">
        <v>196.77</v>
      </c>
      <c r="F64" s="34">
        <v>121.37</v>
      </c>
      <c r="G64" s="34">
        <v>46.39</v>
      </c>
      <c r="H64" s="34">
        <v>0</v>
      </c>
      <c r="I64" s="29">
        <v>10.95</v>
      </c>
      <c r="J64" s="34"/>
      <c r="K64" s="29">
        <f>98.4+22.97</f>
        <v>121.37</v>
      </c>
      <c r="L64" s="29">
        <f t="shared" ref="L64:L69" si="30">SUM(G64:K64)</f>
        <v>178.71</v>
      </c>
      <c r="M64" s="29"/>
      <c r="N64" s="29">
        <v>10.95</v>
      </c>
      <c r="O64" s="34">
        <v>45.08</v>
      </c>
      <c r="P64" s="34">
        <v>110.42</v>
      </c>
      <c r="Q64" s="29">
        <f t="shared" ref="Q64:Q69" si="31">SUM(O64:P64)</f>
        <v>155.5</v>
      </c>
      <c r="R64" s="29">
        <f t="shared" ref="R64:R69" si="32">L64-K64-M64-O64</f>
        <v>12.260000000000005</v>
      </c>
      <c r="S64" s="29">
        <f t="shared" ref="S64:S69" si="33">K64-P64-N64</f>
        <v>0</v>
      </c>
      <c r="T64" s="29">
        <f t="shared" ref="T64:T69" si="34">R64+S64</f>
        <v>12.260000000000005</v>
      </c>
      <c r="U64" s="103"/>
      <c r="V64" s="29">
        <v>0</v>
      </c>
      <c r="W64" s="32">
        <f>Q64/F64*100</f>
        <v>128.12062288868748</v>
      </c>
      <c r="X64" s="29">
        <f>Q64/K64*100</f>
        <v>128.12062288868748</v>
      </c>
    </row>
    <row r="65" spans="1:24" s="138" customFormat="1" x14ac:dyDescent="0.25">
      <c r="A65" s="24" t="s">
        <v>32</v>
      </c>
      <c r="B65" s="64" t="s">
        <v>104</v>
      </c>
      <c r="C65" s="34"/>
      <c r="D65" s="34">
        <v>138</v>
      </c>
      <c r="E65" s="34">
        <v>149.21</v>
      </c>
      <c r="F65" s="34">
        <v>180.03</v>
      </c>
      <c r="G65" s="34">
        <v>32.61</v>
      </c>
      <c r="H65" s="34"/>
      <c r="I65" s="29">
        <v>1.2</v>
      </c>
      <c r="J65" s="34"/>
      <c r="K65" s="29">
        <v>135.02000000000001</v>
      </c>
      <c r="L65" s="29">
        <f t="shared" si="30"/>
        <v>168.83</v>
      </c>
      <c r="M65" s="29"/>
      <c r="N65" s="29">
        <v>1.2</v>
      </c>
      <c r="O65" s="34">
        <f>65.11-33</f>
        <v>32.11</v>
      </c>
      <c r="P65" s="34">
        <v>133.82</v>
      </c>
      <c r="Q65" s="29">
        <f t="shared" si="31"/>
        <v>165.93</v>
      </c>
      <c r="R65" s="29">
        <f t="shared" si="32"/>
        <v>1.7000000000000028</v>
      </c>
      <c r="S65" s="29">
        <f t="shared" si="33"/>
        <v>1.7097434579227411E-14</v>
      </c>
      <c r="T65" s="29">
        <f t="shared" si="34"/>
        <v>1.7000000000000199</v>
      </c>
      <c r="U65" s="103"/>
      <c r="V65" s="29">
        <v>0</v>
      </c>
      <c r="W65" s="32">
        <f>Q65/F65*100</f>
        <v>92.167972004665884</v>
      </c>
      <c r="X65" s="29">
        <f>Q65/K65*100</f>
        <v>122.89290475485113</v>
      </c>
    </row>
    <row r="66" spans="1:24" s="138" customFormat="1" x14ac:dyDescent="0.25">
      <c r="A66" s="24" t="s">
        <v>39</v>
      </c>
      <c r="B66" s="64" t="s">
        <v>105</v>
      </c>
      <c r="C66" s="34"/>
      <c r="D66" s="34">
        <v>8</v>
      </c>
      <c r="E66" s="34">
        <v>9</v>
      </c>
      <c r="F66" s="34">
        <v>9</v>
      </c>
      <c r="G66" s="34">
        <v>0.36</v>
      </c>
      <c r="H66" s="34"/>
      <c r="I66" s="29">
        <v>0.82</v>
      </c>
      <c r="J66" s="34"/>
      <c r="K66" s="29">
        <v>8.75</v>
      </c>
      <c r="L66" s="29">
        <f t="shared" si="30"/>
        <v>9.93</v>
      </c>
      <c r="M66" s="29"/>
      <c r="N66" s="29">
        <v>0.82</v>
      </c>
      <c r="O66" s="34">
        <v>0.17</v>
      </c>
      <c r="P66" s="34">
        <v>7.93</v>
      </c>
      <c r="Q66" s="29">
        <f t="shared" si="31"/>
        <v>8.1</v>
      </c>
      <c r="R66" s="29">
        <f t="shared" si="32"/>
        <v>1.0099999999999998</v>
      </c>
      <c r="S66" s="29">
        <f t="shared" si="33"/>
        <v>0</v>
      </c>
      <c r="T66" s="29">
        <f t="shared" si="34"/>
        <v>1.0099999999999998</v>
      </c>
      <c r="U66" s="103"/>
      <c r="V66" s="29">
        <f>G66-O66</f>
        <v>0.18999999999999997</v>
      </c>
      <c r="W66" s="32">
        <f>Q66/F66*100</f>
        <v>89.999999999999986</v>
      </c>
      <c r="X66" s="29">
        <f>Q66/K66*100</f>
        <v>92.571428571428569</v>
      </c>
    </row>
    <row r="67" spans="1:24" s="138" customFormat="1" x14ac:dyDescent="0.25">
      <c r="A67" s="24" t="s">
        <v>41</v>
      </c>
      <c r="B67" s="64" t="s">
        <v>106</v>
      </c>
      <c r="C67" s="34"/>
      <c r="D67" s="34">
        <v>18</v>
      </c>
      <c r="E67" s="34">
        <v>20</v>
      </c>
      <c r="F67" s="34">
        <v>22</v>
      </c>
      <c r="G67" s="34">
        <v>0.81</v>
      </c>
      <c r="H67" s="34"/>
      <c r="I67" s="29">
        <v>1.05</v>
      </c>
      <c r="J67" s="34"/>
      <c r="K67" s="29">
        <v>21.67</v>
      </c>
      <c r="L67" s="29">
        <f t="shared" si="30"/>
        <v>23.53</v>
      </c>
      <c r="M67" s="29"/>
      <c r="N67" s="29">
        <v>1.05</v>
      </c>
      <c r="O67" s="34">
        <v>0.8</v>
      </c>
      <c r="P67" s="34">
        <v>20.62</v>
      </c>
      <c r="Q67" s="29">
        <f t="shared" si="31"/>
        <v>21.42</v>
      </c>
      <c r="R67" s="29">
        <f t="shared" si="32"/>
        <v>1.0599999999999994</v>
      </c>
      <c r="S67" s="29">
        <f t="shared" si="33"/>
        <v>0</v>
      </c>
      <c r="T67" s="29">
        <f t="shared" si="34"/>
        <v>1.0599999999999994</v>
      </c>
      <c r="U67" s="103"/>
      <c r="V67" s="29">
        <f>G67-O67</f>
        <v>1.0000000000000009E-2</v>
      </c>
      <c r="W67" s="32">
        <f>Q67/F67*100</f>
        <v>97.363636363636374</v>
      </c>
      <c r="X67" s="29">
        <f>Q67/K67*100</f>
        <v>98.846331333640975</v>
      </c>
    </row>
    <row r="68" spans="1:24" s="138" customFormat="1" x14ac:dyDescent="0.25">
      <c r="A68" s="24" t="s">
        <v>43</v>
      </c>
      <c r="B68" s="64" t="s">
        <v>107</v>
      </c>
      <c r="C68" s="34"/>
      <c r="D68" s="34">
        <v>1</v>
      </c>
      <c r="E68" s="34">
        <v>1</v>
      </c>
      <c r="F68" s="34">
        <v>1</v>
      </c>
      <c r="G68" s="34">
        <v>7.0000000000000007E-2</v>
      </c>
      <c r="H68" s="34">
        <v>0.13</v>
      </c>
      <c r="I68" s="29">
        <v>0.1</v>
      </c>
      <c r="J68" s="34"/>
      <c r="K68" s="29">
        <v>0.75</v>
      </c>
      <c r="L68" s="29">
        <f t="shared" si="30"/>
        <v>1.05</v>
      </c>
      <c r="M68" s="29">
        <v>0.18</v>
      </c>
      <c r="N68" s="29">
        <v>0.1</v>
      </c>
      <c r="O68" s="34">
        <v>0.02</v>
      </c>
      <c r="P68" s="34">
        <v>0.65</v>
      </c>
      <c r="Q68" s="29">
        <f t="shared" si="31"/>
        <v>0.67</v>
      </c>
      <c r="R68" s="29">
        <f t="shared" si="32"/>
        <v>0.10000000000000005</v>
      </c>
      <c r="S68" s="29">
        <f t="shared" si="33"/>
        <v>0</v>
      </c>
      <c r="T68" s="29">
        <f t="shared" si="34"/>
        <v>0.10000000000000005</v>
      </c>
      <c r="U68" s="103"/>
      <c r="V68" s="69">
        <f>G68+H68-O68-M68</f>
        <v>0</v>
      </c>
      <c r="W68" s="32">
        <f>Q68/F68*100</f>
        <v>67</v>
      </c>
      <c r="X68" s="29">
        <f>Q68/K68*100</f>
        <v>89.333333333333343</v>
      </c>
    </row>
    <row r="69" spans="1:24" s="138" customFormat="1" x14ac:dyDescent="0.25">
      <c r="A69" s="24" t="s">
        <v>45</v>
      </c>
      <c r="B69" s="64" t="s">
        <v>108</v>
      </c>
      <c r="C69" s="34"/>
      <c r="D69" s="34">
        <v>0</v>
      </c>
      <c r="E69" s="34">
        <v>0</v>
      </c>
      <c r="F69" s="34">
        <v>0.25</v>
      </c>
      <c r="G69" s="34">
        <v>0</v>
      </c>
      <c r="H69" s="34"/>
      <c r="I69" s="34"/>
      <c r="J69" s="34"/>
      <c r="K69" s="29"/>
      <c r="L69" s="29">
        <f t="shared" si="30"/>
        <v>0</v>
      </c>
      <c r="M69" s="29"/>
      <c r="N69" s="29"/>
      <c r="O69" s="34"/>
      <c r="P69" s="34"/>
      <c r="Q69" s="29">
        <f t="shared" si="31"/>
        <v>0</v>
      </c>
      <c r="R69" s="29">
        <f t="shared" si="32"/>
        <v>0</v>
      </c>
      <c r="S69" s="29">
        <f t="shared" si="33"/>
        <v>0</v>
      </c>
      <c r="T69" s="29">
        <f t="shared" si="34"/>
        <v>0</v>
      </c>
      <c r="U69" s="103"/>
      <c r="V69" s="29">
        <f>G69-O69</f>
        <v>0</v>
      </c>
      <c r="W69" s="29">
        <v>0</v>
      </c>
      <c r="X69" s="29">
        <v>0</v>
      </c>
    </row>
    <row r="70" spans="1:24" s="146" customFormat="1" x14ac:dyDescent="0.2">
      <c r="A70" s="58"/>
      <c r="B70" s="105" t="s">
        <v>109</v>
      </c>
      <c r="C70" s="88"/>
      <c r="D70" s="88">
        <f t="shared" ref="D70:V70" si="35">SUM(D64:D69)</f>
        <v>335</v>
      </c>
      <c r="E70" s="88">
        <f t="shared" si="35"/>
        <v>375.98</v>
      </c>
      <c r="F70" s="88">
        <f>SUM(F64:F69)</f>
        <v>333.65</v>
      </c>
      <c r="G70" s="88">
        <f t="shared" si="35"/>
        <v>80.239999999999995</v>
      </c>
      <c r="H70" s="88">
        <f t="shared" si="35"/>
        <v>0.13</v>
      </c>
      <c r="I70" s="88">
        <f t="shared" si="35"/>
        <v>14.12</v>
      </c>
      <c r="J70" s="88">
        <f t="shared" si="35"/>
        <v>0</v>
      </c>
      <c r="K70" s="90">
        <f t="shared" si="35"/>
        <v>287.56</v>
      </c>
      <c r="L70" s="88">
        <f t="shared" si="35"/>
        <v>382.05</v>
      </c>
      <c r="M70" s="88">
        <f t="shared" si="35"/>
        <v>0.18</v>
      </c>
      <c r="N70" s="88">
        <f t="shared" si="35"/>
        <v>14.12</v>
      </c>
      <c r="O70" s="88">
        <f t="shared" si="35"/>
        <v>78.179999999999993</v>
      </c>
      <c r="P70" s="88">
        <f t="shared" si="35"/>
        <v>273.44</v>
      </c>
      <c r="Q70" s="88">
        <f t="shared" si="35"/>
        <v>351.62000000000006</v>
      </c>
      <c r="R70" s="88">
        <f t="shared" si="35"/>
        <v>16.13000000000001</v>
      </c>
      <c r="S70" s="88">
        <f t="shared" si="35"/>
        <v>1.7097434579227411E-14</v>
      </c>
      <c r="T70" s="88">
        <f t="shared" si="35"/>
        <v>16.130000000000027</v>
      </c>
      <c r="U70" s="88">
        <f t="shared" si="35"/>
        <v>0</v>
      </c>
      <c r="V70" s="90">
        <f t="shared" si="35"/>
        <v>0.19999999999999998</v>
      </c>
      <c r="W70" s="88">
        <f>Q70/F70*100</f>
        <v>105.3858834107598</v>
      </c>
      <c r="X70" s="90">
        <f>Q70/K70*100</f>
        <v>122.277089998609</v>
      </c>
    </row>
    <row r="71" spans="1:24" s="138" customFormat="1" x14ac:dyDescent="0.2">
      <c r="A71" s="106"/>
      <c r="B71" s="91" t="s">
        <v>110</v>
      </c>
      <c r="C71" s="70"/>
      <c r="D71" s="70">
        <f t="shared" ref="D71:V71" si="36">D51+D62+D70</f>
        <v>682.81</v>
      </c>
      <c r="E71" s="70">
        <f t="shared" si="36"/>
        <v>917</v>
      </c>
      <c r="F71" s="70">
        <f t="shared" si="36"/>
        <v>810</v>
      </c>
      <c r="G71" s="70">
        <f t="shared" si="36"/>
        <v>185.82999999999998</v>
      </c>
      <c r="H71" s="70">
        <f t="shared" si="36"/>
        <v>54.510000000000005</v>
      </c>
      <c r="I71" s="70">
        <f t="shared" si="36"/>
        <v>31.33</v>
      </c>
      <c r="J71" s="70">
        <f t="shared" si="36"/>
        <v>232.97</v>
      </c>
      <c r="K71" s="70">
        <f t="shared" si="36"/>
        <v>448.05700000000002</v>
      </c>
      <c r="L71" s="70">
        <f t="shared" si="36"/>
        <v>952.69700000000012</v>
      </c>
      <c r="M71" s="70">
        <f t="shared" si="36"/>
        <v>105.39000000000001</v>
      </c>
      <c r="N71" s="70">
        <f t="shared" si="36"/>
        <v>31.33</v>
      </c>
      <c r="O71" s="70">
        <f t="shared" si="36"/>
        <v>377.2</v>
      </c>
      <c r="P71" s="70">
        <f t="shared" si="36"/>
        <v>400.26499999999999</v>
      </c>
      <c r="Q71" s="70">
        <f t="shared" si="36"/>
        <v>777.46500000000015</v>
      </c>
      <c r="R71" s="70">
        <f t="shared" si="36"/>
        <v>18.550000000000008</v>
      </c>
      <c r="S71" s="70">
        <f>S51+S62+S70</f>
        <v>19.997000000000018</v>
      </c>
      <c r="T71" s="70">
        <f t="shared" si="36"/>
        <v>38.547000000000025</v>
      </c>
      <c r="U71" s="70">
        <f t="shared" si="36"/>
        <v>0.26</v>
      </c>
      <c r="V71" s="71">
        <f t="shared" si="36"/>
        <v>0.19999999999999998</v>
      </c>
      <c r="W71" s="70">
        <f>Q71/F71*100</f>
        <v>95.983333333333348</v>
      </c>
      <c r="X71" s="71">
        <f>Q71/(J71+K71)*100</f>
        <v>114.16067204383968</v>
      </c>
    </row>
    <row r="72" spans="1:24" s="142" customFormat="1" x14ac:dyDescent="0.2">
      <c r="A72" s="107" t="s">
        <v>111</v>
      </c>
      <c r="B72" s="108" t="s">
        <v>112</v>
      </c>
      <c r="C72" s="109"/>
      <c r="D72" s="110"/>
      <c r="E72" s="110"/>
      <c r="F72" s="110"/>
      <c r="G72" s="110"/>
      <c r="H72" s="110"/>
      <c r="I72" s="110"/>
      <c r="J72" s="110"/>
      <c r="K72" s="111"/>
      <c r="L72" s="110"/>
      <c r="M72" s="110"/>
      <c r="N72" s="110"/>
      <c r="O72" s="110"/>
      <c r="P72" s="110"/>
      <c r="Q72" s="110"/>
      <c r="R72" s="110"/>
      <c r="S72" s="110"/>
      <c r="T72" s="110"/>
      <c r="U72" s="112"/>
      <c r="V72" s="63"/>
      <c r="W72" s="64"/>
      <c r="X72" s="63"/>
    </row>
    <row r="73" spans="1:24" s="138" customFormat="1" x14ac:dyDescent="0.25">
      <c r="A73" s="53" t="s">
        <v>30</v>
      </c>
      <c r="B73" s="113" t="s">
        <v>113</v>
      </c>
      <c r="C73" s="54"/>
      <c r="D73" s="50"/>
      <c r="E73" s="50">
        <v>0.04</v>
      </c>
      <c r="F73" s="50"/>
      <c r="G73" s="50">
        <v>46.82</v>
      </c>
      <c r="H73" s="50">
        <v>0</v>
      </c>
      <c r="I73" s="50"/>
      <c r="J73" s="50"/>
      <c r="K73" s="74"/>
      <c r="L73" s="29">
        <f>SUM(G73:K73)</f>
        <v>46.82</v>
      </c>
      <c r="M73" s="29">
        <v>45.82</v>
      </c>
      <c r="N73" s="29"/>
      <c r="O73" s="50"/>
      <c r="P73" s="56"/>
      <c r="Q73" s="29">
        <f t="shared" ref="Q73:Q84" si="37">SUM(O73:P73)</f>
        <v>0</v>
      </c>
      <c r="R73" s="29">
        <f>L73-K73-M73-O73</f>
        <v>1</v>
      </c>
      <c r="S73" s="29">
        <f>K73-P73</f>
        <v>0</v>
      </c>
      <c r="T73" s="29">
        <f>R73+S73</f>
        <v>1</v>
      </c>
      <c r="U73" s="31"/>
      <c r="V73" s="29">
        <f>G73+H73-O73-M73</f>
        <v>1</v>
      </c>
      <c r="W73" s="32">
        <v>0</v>
      </c>
      <c r="X73" s="29">
        <v>0</v>
      </c>
    </row>
    <row r="74" spans="1:24" s="138" customFormat="1" x14ac:dyDescent="0.25">
      <c r="A74" s="53" t="s">
        <v>32</v>
      </c>
      <c r="B74" s="113" t="s">
        <v>114</v>
      </c>
      <c r="C74" s="54"/>
      <c r="D74" s="54"/>
      <c r="E74" s="114"/>
      <c r="F74" s="114"/>
      <c r="G74" s="54"/>
      <c r="H74" s="54"/>
      <c r="I74" s="54"/>
      <c r="J74" s="54"/>
      <c r="K74" s="74"/>
      <c r="L74" s="29"/>
      <c r="M74" s="29"/>
      <c r="N74" s="29"/>
      <c r="O74" s="54"/>
      <c r="P74" s="54"/>
      <c r="Q74" s="29"/>
      <c r="R74" s="29"/>
      <c r="S74" s="29"/>
      <c r="T74" s="29"/>
      <c r="U74" s="31"/>
      <c r="V74" s="29"/>
      <c r="W74" s="32">
        <v>0</v>
      </c>
      <c r="X74" s="29">
        <v>0</v>
      </c>
    </row>
    <row r="75" spans="1:24" s="138" customFormat="1" x14ac:dyDescent="0.25">
      <c r="A75" s="53" t="s">
        <v>53</v>
      </c>
      <c r="B75" s="86" t="s">
        <v>115</v>
      </c>
      <c r="C75" s="54"/>
      <c r="D75" s="50">
        <v>2683.21</v>
      </c>
      <c r="E75" s="50">
        <v>2650</v>
      </c>
      <c r="F75" s="50">
        <v>2908.22</v>
      </c>
      <c r="G75" s="56">
        <v>7.03</v>
      </c>
      <c r="H75" s="56">
        <v>2.2599999999999998</v>
      </c>
      <c r="I75" s="56"/>
      <c r="J75" s="56">
        <v>3059.04</v>
      </c>
      <c r="K75" s="29"/>
      <c r="L75" s="29">
        <f>SUM(G75:K75)</f>
        <v>3068.33</v>
      </c>
      <c r="M75" s="29"/>
      <c r="N75" s="30"/>
      <c r="O75" s="56">
        <v>3017.13</v>
      </c>
      <c r="P75" s="56"/>
      <c r="Q75" s="29">
        <f t="shared" si="37"/>
        <v>3017.13</v>
      </c>
      <c r="R75" s="29">
        <f>L75-K75-M75-O75</f>
        <v>51.199999999999818</v>
      </c>
      <c r="S75" s="29">
        <f>K75-P75</f>
        <v>0</v>
      </c>
      <c r="T75" s="29">
        <f>R75+S75</f>
        <v>51.199999999999818</v>
      </c>
      <c r="U75" s="31"/>
      <c r="V75" s="29">
        <v>0</v>
      </c>
      <c r="W75" s="32">
        <f>Q75/F75*100</f>
        <v>103.74490238015007</v>
      </c>
      <c r="X75" s="29">
        <f>Q75/J75*100</f>
        <v>98.629962341126628</v>
      </c>
    </row>
    <row r="76" spans="1:24" s="138" customFormat="1" x14ac:dyDescent="0.25">
      <c r="A76" s="53" t="s">
        <v>55</v>
      </c>
      <c r="B76" s="86" t="s">
        <v>116</v>
      </c>
      <c r="C76" s="54"/>
      <c r="D76" s="50">
        <v>50</v>
      </c>
      <c r="E76" s="50">
        <v>50</v>
      </c>
      <c r="F76" s="50">
        <v>50</v>
      </c>
      <c r="G76" s="50">
        <v>50.37</v>
      </c>
      <c r="H76" s="50">
        <v>5.0999999999999996</v>
      </c>
      <c r="I76" s="50"/>
      <c r="J76" s="50"/>
      <c r="K76" s="69">
        <v>48.5</v>
      </c>
      <c r="L76" s="29">
        <f>SUM(G76:K76)</f>
        <v>103.97</v>
      </c>
      <c r="M76" s="29">
        <f>44.61+4.31</f>
        <v>48.92</v>
      </c>
      <c r="N76" s="30"/>
      <c r="O76" s="50">
        <f>5.86+0.69</f>
        <v>6.5500000000000007</v>
      </c>
      <c r="P76" s="50">
        <v>15.36</v>
      </c>
      <c r="Q76" s="29">
        <f t="shared" si="37"/>
        <v>21.91</v>
      </c>
      <c r="R76" s="29">
        <f>L76-K76-M76-O76</f>
        <v>0</v>
      </c>
      <c r="S76" s="29">
        <f>K76-P76-N76</f>
        <v>33.14</v>
      </c>
      <c r="T76" s="29">
        <f>R76+S76</f>
        <v>33.14</v>
      </c>
      <c r="U76" s="31"/>
      <c r="V76" s="29">
        <f>G76+H76-O76-M76</f>
        <v>0</v>
      </c>
      <c r="W76" s="32">
        <f>Q76/F76*100</f>
        <v>43.82</v>
      </c>
      <c r="X76" s="29">
        <f>Q76/K76*100</f>
        <v>45.175257731958766</v>
      </c>
    </row>
    <row r="77" spans="1:24" s="138" customFormat="1" x14ac:dyDescent="0.25">
      <c r="A77" s="53" t="s">
        <v>75</v>
      </c>
      <c r="B77" s="86" t="s">
        <v>117</v>
      </c>
      <c r="C77" s="54"/>
      <c r="D77" s="50"/>
      <c r="E77" s="50"/>
      <c r="F77" s="50"/>
      <c r="G77" s="50">
        <v>17.829999999999998</v>
      </c>
      <c r="H77" s="50">
        <v>0.2</v>
      </c>
      <c r="I77" s="50"/>
      <c r="J77" s="50"/>
      <c r="K77" s="69"/>
      <c r="L77" s="29">
        <f>SUM(G77:K77)</f>
        <v>18.029999999999998</v>
      </c>
      <c r="M77" s="29">
        <v>17.829999999999998</v>
      </c>
      <c r="N77" s="29"/>
      <c r="O77" s="50"/>
      <c r="P77" s="54"/>
      <c r="Q77" s="29">
        <f t="shared" si="37"/>
        <v>0</v>
      </c>
      <c r="R77" s="29">
        <f>L77-K77-M77-O77</f>
        <v>0.19999999999999929</v>
      </c>
      <c r="S77" s="29">
        <f>K77-P77</f>
        <v>0</v>
      </c>
      <c r="T77" s="29">
        <f>R77+S77</f>
        <v>0.19999999999999929</v>
      </c>
      <c r="U77" s="31"/>
      <c r="V77" s="29">
        <f>G77+H77-O77-M77</f>
        <v>0.19999999999999929</v>
      </c>
      <c r="W77" s="32">
        <v>0</v>
      </c>
      <c r="X77" s="29">
        <v>0</v>
      </c>
    </row>
    <row r="78" spans="1:24" s="146" customFormat="1" x14ac:dyDescent="0.2">
      <c r="A78" s="115"/>
      <c r="B78" s="105" t="s">
        <v>118</v>
      </c>
      <c r="C78" s="88"/>
      <c r="D78" s="88">
        <f>SUM(D75:D77)</f>
        <v>2733.21</v>
      </c>
      <c r="E78" s="88">
        <f t="shared" ref="E78:V78" si="38">SUM(E75:E77)</f>
        <v>2700</v>
      </c>
      <c r="F78" s="88">
        <f>SUM(F73:F77)</f>
        <v>2958.22</v>
      </c>
      <c r="G78" s="88">
        <f t="shared" si="38"/>
        <v>75.22999999999999</v>
      </c>
      <c r="H78" s="88">
        <f t="shared" si="38"/>
        <v>7.56</v>
      </c>
      <c r="I78" s="88">
        <f t="shared" si="38"/>
        <v>0</v>
      </c>
      <c r="J78" s="88">
        <f t="shared" si="38"/>
        <v>3059.04</v>
      </c>
      <c r="K78" s="88">
        <f t="shared" si="38"/>
        <v>48.5</v>
      </c>
      <c r="L78" s="88">
        <f t="shared" si="38"/>
        <v>3190.33</v>
      </c>
      <c r="M78" s="88">
        <f t="shared" si="38"/>
        <v>66.75</v>
      </c>
      <c r="N78" s="88">
        <f t="shared" si="38"/>
        <v>0</v>
      </c>
      <c r="O78" s="88">
        <f t="shared" si="38"/>
        <v>3023.6800000000003</v>
      </c>
      <c r="P78" s="88">
        <f t="shared" si="38"/>
        <v>15.36</v>
      </c>
      <c r="Q78" s="88">
        <f t="shared" si="38"/>
        <v>3039.04</v>
      </c>
      <c r="R78" s="88">
        <f t="shared" si="38"/>
        <v>51.399999999999821</v>
      </c>
      <c r="S78" s="88">
        <f t="shared" si="38"/>
        <v>33.14</v>
      </c>
      <c r="T78" s="88">
        <f>SUM(T75:T77)</f>
        <v>84.539999999999822</v>
      </c>
      <c r="U78" s="88">
        <f t="shared" si="38"/>
        <v>0</v>
      </c>
      <c r="V78" s="90">
        <f t="shared" si="38"/>
        <v>0.19999999999999929</v>
      </c>
      <c r="W78" s="88">
        <f>Q78/F78*100</f>
        <v>102.73204832635842</v>
      </c>
      <c r="X78" s="88">
        <f>Q78/(J78+K78)*100</f>
        <v>97.795684045901254</v>
      </c>
    </row>
    <row r="79" spans="1:24" s="147" customFormat="1" x14ac:dyDescent="0.2">
      <c r="A79" s="116" t="s">
        <v>39</v>
      </c>
      <c r="B79" s="117" t="s">
        <v>119</v>
      </c>
      <c r="C79" s="118"/>
      <c r="D79" s="118"/>
      <c r="E79" s="118"/>
      <c r="F79" s="118"/>
      <c r="G79" s="118"/>
      <c r="H79" s="118"/>
      <c r="I79" s="118"/>
      <c r="J79" s="118"/>
      <c r="K79" s="119"/>
      <c r="L79" s="118"/>
      <c r="M79" s="118"/>
      <c r="N79" s="118"/>
      <c r="O79" s="118"/>
      <c r="P79" s="118"/>
      <c r="Q79" s="118"/>
      <c r="R79" s="118"/>
      <c r="S79" s="118"/>
      <c r="T79" s="118"/>
      <c r="U79" s="120"/>
      <c r="V79" s="121"/>
      <c r="W79" s="122"/>
      <c r="X79" s="121"/>
    </row>
    <row r="80" spans="1:24" s="138" customFormat="1" x14ac:dyDescent="0.25">
      <c r="A80" s="53" t="s">
        <v>53</v>
      </c>
      <c r="B80" s="64" t="s">
        <v>120</v>
      </c>
      <c r="C80" s="54"/>
      <c r="D80" s="50"/>
      <c r="E80" s="50"/>
      <c r="F80" s="50"/>
      <c r="G80" s="50">
        <v>9.1300000000000008</v>
      </c>
      <c r="H80" s="50">
        <v>0.64</v>
      </c>
      <c r="I80" s="50"/>
      <c r="J80" s="50"/>
      <c r="K80" s="56"/>
      <c r="L80" s="29">
        <f>SUM(G80:K80)</f>
        <v>9.7700000000000014</v>
      </c>
      <c r="M80" s="29">
        <v>8.91</v>
      </c>
      <c r="N80" s="29"/>
      <c r="O80" s="50"/>
      <c r="P80" s="56"/>
      <c r="Q80" s="29">
        <f t="shared" si="37"/>
        <v>0</v>
      </c>
      <c r="R80" s="29">
        <f>L80-K80-M80-O80</f>
        <v>0.86000000000000121</v>
      </c>
      <c r="S80" s="29">
        <f>K80-P80</f>
        <v>0</v>
      </c>
      <c r="T80" s="29">
        <f>R80+S80</f>
        <v>0.86000000000000121</v>
      </c>
      <c r="U80" s="31"/>
      <c r="V80" s="29">
        <f>G80+H80-O80-M80</f>
        <v>0.86000000000000121</v>
      </c>
      <c r="W80" s="29">
        <v>0</v>
      </c>
      <c r="X80" s="29">
        <v>0</v>
      </c>
    </row>
    <row r="81" spans="1:24" s="138" customFormat="1" x14ac:dyDescent="0.25">
      <c r="A81" s="53" t="s">
        <v>55</v>
      </c>
      <c r="B81" s="64" t="s">
        <v>121</v>
      </c>
      <c r="C81" s="54"/>
      <c r="D81" s="50"/>
      <c r="E81" s="50"/>
      <c r="F81" s="50"/>
      <c r="G81" s="50">
        <v>0.23</v>
      </c>
      <c r="H81" s="50"/>
      <c r="I81" s="50"/>
      <c r="J81" s="50"/>
      <c r="K81" s="69"/>
      <c r="L81" s="29">
        <f>SUM(G81:K81)</f>
        <v>0.23</v>
      </c>
      <c r="M81" s="29"/>
      <c r="N81" s="29"/>
      <c r="O81" s="50"/>
      <c r="P81" s="50"/>
      <c r="Q81" s="29"/>
      <c r="R81" s="29">
        <f>L81-K81-M81-O81</f>
        <v>0.23</v>
      </c>
      <c r="S81" s="29">
        <f>K81-P81</f>
        <v>0</v>
      </c>
      <c r="T81" s="29">
        <f>R81+S81</f>
        <v>0.23</v>
      </c>
      <c r="U81" s="31"/>
      <c r="V81" s="29">
        <f>G81+H81-O81-M81</f>
        <v>0.23</v>
      </c>
      <c r="W81" s="29">
        <v>0</v>
      </c>
      <c r="X81" s="29">
        <v>0</v>
      </c>
    </row>
    <row r="82" spans="1:24" s="146" customFormat="1" x14ac:dyDescent="0.2">
      <c r="A82" s="115"/>
      <c r="B82" s="105" t="s">
        <v>122</v>
      </c>
      <c r="C82" s="88"/>
      <c r="D82" s="88">
        <f t="shared" ref="D82:I82" si="39">D80+D81</f>
        <v>0</v>
      </c>
      <c r="E82" s="88">
        <f t="shared" si="39"/>
        <v>0</v>
      </c>
      <c r="F82" s="88">
        <f t="shared" si="39"/>
        <v>0</v>
      </c>
      <c r="G82" s="88">
        <f t="shared" si="39"/>
        <v>9.3600000000000012</v>
      </c>
      <c r="H82" s="88">
        <f t="shared" si="39"/>
        <v>0.64</v>
      </c>
      <c r="I82" s="88">
        <f t="shared" si="39"/>
        <v>0</v>
      </c>
      <c r="J82" s="88">
        <f>J80+J81</f>
        <v>0</v>
      </c>
      <c r="K82" s="88">
        <f t="shared" ref="K82:V82" si="40">K80+K81</f>
        <v>0</v>
      </c>
      <c r="L82" s="88">
        <f t="shared" si="40"/>
        <v>10.000000000000002</v>
      </c>
      <c r="M82" s="88">
        <f t="shared" si="40"/>
        <v>8.91</v>
      </c>
      <c r="N82" s="88">
        <f t="shared" si="40"/>
        <v>0</v>
      </c>
      <c r="O82" s="88">
        <f t="shared" si="40"/>
        <v>0</v>
      </c>
      <c r="P82" s="88">
        <f t="shared" si="40"/>
        <v>0</v>
      </c>
      <c r="Q82" s="88">
        <f t="shared" si="40"/>
        <v>0</v>
      </c>
      <c r="R82" s="88">
        <f t="shared" si="40"/>
        <v>1.0900000000000012</v>
      </c>
      <c r="S82" s="88">
        <f t="shared" si="40"/>
        <v>0</v>
      </c>
      <c r="T82" s="88">
        <f t="shared" si="40"/>
        <v>1.0900000000000012</v>
      </c>
      <c r="U82" s="88">
        <f t="shared" si="40"/>
        <v>0</v>
      </c>
      <c r="V82" s="90">
        <f t="shared" si="40"/>
        <v>1.0900000000000012</v>
      </c>
      <c r="W82" s="88">
        <v>0</v>
      </c>
      <c r="X82" s="90">
        <v>0</v>
      </c>
    </row>
    <row r="83" spans="1:24" s="138" customFormat="1" x14ac:dyDescent="0.25">
      <c r="A83" s="53" t="s">
        <v>41</v>
      </c>
      <c r="B83" s="113" t="s">
        <v>123</v>
      </c>
      <c r="C83" s="54"/>
      <c r="D83" s="50"/>
      <c r="E83" s="50"/>
      <c r="F83" s="50"/>
      <c r="G83" s="50">
        <v>122.02</v>
      </c>
      <c r="H83" s="50">
        <v>11.95</v>
      </c>
      <c r="I83" s="50"/>
      <c r="J83" s="50"/>
      <c r="K83" s="69"/>
      <c r="L83" s="29">
        <f>SUM(G83:K83)</f>
        <v>133.97</v>
      </c>
      <c r="M83" s="29"/>
      <c r="N83" s="29"/>
      <c r="O83" s="50">
        <v>1.07</v>
      </c>
      <c r="P83" s="50"/>
      <c r="Q83" s="29">
        <f t="shared" si="37"/>
        <v>1.07</v>
      </c>
      <c r="R83" s="29">
        <f>L83-K83-M83-O83</f>
        <v>132.9</v>
      </c>
      <c r="S83" s="29">
        <f>K83-P83</f>
        <v>0</v>
      </c>
      <c r="T83" s="29">
        <f>R83+S83</f>
        <v>132.9</v>
      </c>
      <c r="U83" s="31"/>
      <c r="V83" s="29">
        <f>G83+H83-O83-M83</f>
        <v>132.9</v>
      </c>
      <c r="W83" s="29">
        <v>0</v>
      </c>
      <c r="X83" s="29">
        <v>0</v>
      </c>
    </row>
    <row r="84" spans="1:24" s="138" customFormat="1" x14ac:dyDescent="0.25">
      <c r="A84" s="53" t="s">
        <v>43</v>
      </c>
      <c r="B84" s="113" t="s">
        <v>124</v>
      </c>
      <c r="C84" s="54"/>
      <c r="D84" s="50"/>
      <c r="E84" s="50"/>
      <c r="F84" s="50"/>
      <c r="G84" s="50">
        <v>0</v>
      </c>
      <c r="H84" s="50"/>
      <c r="I84" s="50"/>
      <c r="J84" s="50"/>
      <c r="K84" s="69"/>
      <c r="L84" s="29">
        <f>SUM(G84:K84)</f>
        <v>0</v>
      </c>
      <c r="M84" s="29"/>
      <c r="N84" s="29"/>
      <c r="O84" s="123"/>
      <c r="P84" s="50"/>
      <c r="Q84" s="29">
        <f t="shared" si="37"/>
        <v>0</v>
      </c>
      <c r="R84" s="29">
        <f>L84-K84-M84-O84</f>
        <v>0</v>
      </c>
      <c r="S84" s="29">
        <f>K84-P84</f>
        <v>0</v>
      </c>
      <c r="T84" s="29">
        <f>R84+S84</f>
        <v>0</v>
      </c>
      <c r="U84" s="31"/>
      <c r="V84" s="29">
        <f>G84+H84-O84-M84</f>
        <v>0</v>
      </c>
      <c r="W84" s="29">
        <v>0</v>
      </c>
      <c r="X84" s="29">
        <v>0</v>
      </c>
    </row>
    <row r="85" spans="1:24" s="146" customFormat="1" ht="15.75" thickBot="1" x14ac:dyDescent="0.25">
      <c r="A85" s="169" t="s">
        <v>125</v>
      </c>
      <c r="B85" s="170"/>
      <c r="C85" s="124"/>
      <c r="D85" s="124">
        <f t="shared" ref="D85:I85" si="41">D73+D78+D82+D83+D84</f>
        <v>2733.21</v>
      </c>
      <c r="E85" s="124">
        <f t="shared" si="41"/>
        <v>2700.04</v>
      </c>
      <c r="F85" s="124">
        <f t="shared" si="41"/>
        <v>2958.22</v>
      </c>
      <c r="G85" s="124">
        <f t="shared" si="41"/>
        <v>253.43</v>
      </c>
      <c r="H85" s="124">
        <f t="shared" si="41"/>
        <v>20.149999999999999</v>
      </c>
      <c r="I85" s="124">
        <f t="shared" si="41"/>
        <v>0</v>
      </c>
      <c r="J85" s="124">
        <f>J73+J78+J82+J83+J84</f>
        <v>3059.04</v>
      </c>
      <c r="K85" s="124">
        <f t="shared" ref="K85:V85" si="42">K73+K78+K82+K83+K84</f>
        <v>48.5</v>
      </c>
      <c r="L85" s="124">
        <f t="shared" si="42"/>
        <v>3381.12</v>
      </c>
      <c r="M85" s="124">
        <f t="shared" si="42"/>
        <v>121.47999999999999</v>
      </c>
      <c r="N85" s="124">
        <f t="shared" si="42"/>
        <v>0</v>
      </c>
      <c r="O85" s="124">
        <f t="shared" si="42"/>
        <v>3024.7500000000005</v>
      </c>
      <c r="P85" s="124">
        <f t="shared" si="42"/>
        <v>15.36</v>
      </c>
      <c r="Q85" s="124">
        <f t="shared" si="42"/>
        <v>3040.11</v>
      </c>
      <c r="R85" s="124">
        <f t="shared" si="42"/>
        <v>186.38999999999982</v>
      </c>
      <c r="S85" s="124">
        <f t="shared" si="42"/>
        <v>33.14</v>
      </c>
      <c r="T85" s="124">
        <f t="shared" si="42"/>
        <v>219.52999999999983</v>
      </c>
      <c r="U85" s="124">
        <f t="shared" si="42"/>
        <v>0</v>
      </c>
      <c r="V85" s="125">
        <f t="shared" si="42"/>
        <v>135.19</v>
      </c>
      <c r="W85" s="124">
        <f>Q85/F85*100</f>
        <v>102.76821872612585</v>
      </c>
      <c r="X85" s="124">
        <f>Q85/(J85+K85)*100</f>
        <v>97.830116426498137</v>
      </c>
    </row>
    <row r="86" spans="1:24" s="138" customFormat="1" ht="15.75" thickBot="1" x14ac:dyDescent="0.25">
      <c r="A86" s="171" t="s">
        <v>126</v>
      </c>
      <c r="B86" s="172"/>
      <c r="C86" s="126"/>
      <c r="D86" s="127">
        <f>D71+D85</f>
        <v>3416.02</v>
      </c>
      <c r="E86" s="127">
        <f t="shared" ref="E86:V86" si="43">E71+E85</f>
        <v>3617.04</v>
      </c>
      <c r="F86" s="127">
        <f t="shared" si="43"/>
        <v>3768.22</v>
      </c>
      <c r="G86" s="127">
        <f t="shared" si="43"/>
        <v>439.26</v>
      </c>
      <c r="H86" s="127">
        <f t="shared" si="43"/>
        <v>74.66</v>
      </c>
      <c r="I86" s="127">
        <f t="shared" si="43"/>
        <v>31.33</v>
      </c>
      <c r="J86" s="127">
        <f t="shared" si="43"/>
        <v>3292.0099999999998</v>
      </c>
      <c r="K86" s="128">
        <f t="shared" si="43"/>
        <v>496.55700000000002</v>
      </c>
      <c r="L86" s="127">
        <f t="shared" si="43"/>
        <v>4333.817</v>
      </c>
      <c r="M86" s="127">
        <f t="shared" si="43"/>
        <v>226.87</v>
      </c>
      <c r="N86" s="127">
        <f t="shared" si="43"/>
        <v>31.33</v>
      </c>
      <c r="O86" s="127">
        <f t="shared" si="43"/>
        <v>3401.9500000000003</v>
      </c>
      <c r="P86" s="127">
        <f t="shared" si="43"/>
        <v>415.625</v>
      </c>
      <c r="Q86" s="127">
        <f t="shared" si="43"/>
        <v>3817.5750000000003</v>
      </c>
      <c r="R86" s="127">
        <f t="shared" si="43"/>
        <v>204.93999999999983</v>
      </c>
      <c r="S86" s="127">
        <f t="shared" si="43"/>
        <v>53.137000000000015</v>
      </c>
      <c r="T86" s="127">
        <f t="shared" si="43"/>
        <v>258.07699999999988</v>
      </c>
      <c r="U86" s="127">
        <f t="shared" si="43"/>
        <v>0.26</v>
      </c>
      <c r="V86" s="129">
        <f t="shared" si="43"/>
        <v>135.38999999999999</v>
      </c>
      <c r="W86" s="127">
        <f>Q86/F86*100</f>
        <v>101.30976959943953</v>
      </c>
      <c r="X86" s="130">
        <f>Q86/(J86+K86)*100</f>
        <v>100.76567208656995</v>
      </c>
    </row>
    <row r="87" spans="1:24" s="138" customFormat="1" x14ac:dyDescent="0.2">
      <c r="A87" s="148"/>
      <c r="B87" s="148"/>
      <c r="C87" s="149"/>
      <c r="D87" s="150"/>
      <c r="E87" s="150"/>
      <c r="F87" s="150"/>
      <c r="G87" s="151"/>
      <c r="H87" s="150"/>
      <c r="I87" s="150"/>
      <c r="J87" s="150"/>
      <c r="K87" s="150"/>
      <c r="L87" s="150"/>
      <c r="M87" s="150"/>
      <c r="N87" s="150"/>
      <c r="O87" s="150"/>
      <c r="P87" s="150"/>
      <c r="Q87" s="150"/>
      <c r="R87" s="150"/>
      <c r="S87" s="150"/>
      <c r="T87" s="150"/>
      <c r="U87" s="150"/>
      <c r="V87" s="152"/>
      <c r="W87" s="150"/>
      <c r="X87" s="153"/>
    </row>
    <row r="88" spans="1:24" x14ac:dyDescent="0.25">
      <c r="A88" s="154"/>
      <c r="B88" s="155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6" t="s">
        <v>127</v>
      </c>
      <c r="S88" s="173">
        <f ca="1">NOW( )</f>
        <v>45383.37175972222</v>
      </c>
      <c r="T88" s="174"/>
      <c r="U88" s="157"/>
      <c r="V88" s="158"/>
      <c r="W88" s="154"/>
      <c r="X88" s="158"/>
    </row>
    <row r="89" spans="1:24" x14ac:dyDescent="0.25">
      <c r="A89" s="159"/>
      <c r="B89" s="154"/>
      <c r="C89" s="154"/>
      <c r="D89" s="154"/>
      <c r="E89" s="154"/>
      <c r="F89" s="154"/>
      <c r="G89" s="154"/>
      <c r="H89" s="154"/>
      <c r="I89" s="154"/>
      <c r="J89" s="154"/>
      <c r="K89" s="158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</row>
    <row r="91" spans="1:24" x14ac:dyDescent="0.25">
      <c r="J91" s="160"/>
    </row>
    <row r="95" spans="1:24" x14ac:dyDescent="0.25">
      <c r="S95" s="160"/>
    </row>
    <row r="98" spans="11:16" x14ac:dyDescent="0.25">
      <c r="P98" s="160"/>
    </row>
    <row r="100" spans="11:16" x14ac:dyDescent="0.25">
      <c r="K100" s="161"/>
    </row>
  </sheetData>
  <sheetProtection selectLockedCells="1" selectUnlockedCells="1"/>
  <mergeCells count="40">
    <mergeCell ref="A2:U2"/>
    <mergeCell ref="V2:V7"/>
    <mergeCell ref="A3:U3"/>
    <mergeCell ref="A4:A7"/>
    <mergeCell ref="B4:B7"/>
    <mergeCell ref="D4:D7"/>
    <mergeCell ref="E4:E7"/>
    <mergeCell ref="F4:F7"/>
    <mergeCell ref="G4:L5"/>
    <mergeCell ref="M4:Q5"/>
    <mergeCell ref="R4:S4"/>
    <mergeCell ref="T4:T7"/>
    <mergeCell ref="U4:U7"/>
    <mergeCell ref="L6:L7"/>
    <mergeCell ref="W4:W7"/>
    <mergeCell ref="X4:X7"/>
    <mergeCell ref="R5:R7"/>
    <mergeCell ref="S5:S7"/>
    <mergeCell ref="A50:B50"/>
    <mergeCell ref="M6:M7"/>
    <mergeCell ref="N6:N7"/>
    <mergeCell ref="O6:P6"/>
    <mergeCell ref="Q6:Q7"/>
    <mergeCell ref="A31:B31"/>
    <mergeCell ref="A33:B33"/>
    <mergeCell ref="C6:C7"/>
    <mergeCell ref="G6:G7"/>
    <mergeCell ref="H6:H7"/>
    <mergeCell ref="I6:I7"/>
    <mergeCell ref="J6:K6"/>
    <mergeCell ref="E39:E41"/>
    <mergeCell ref="G39:G41"/>
    <mergeCell ref="K39:K41"/>
    <mergeCell ref="S39:S41"/>
    <mergeCell ref="T39:T41"/>
    <mergeCell ref="A52:U52"/>
    <mergeCell ref="A62:B62"/>
    <mergeCell ref="A85:B85"/>
    <mergeCell ref="A86:B86"/>
    <mergeCell ref="S88:T88"/>
  </mergeCells>
  <printOptions horizontalCentered="1" verticalCentered="1" gridLines="1"/>
  <pageMargins left="0.19685039370078741" right="0" top="0" bottom="0" header="0.11811023622047245" footer="0.11811023622047245"/>
  <pageSetup paperSize="5" scale="15" orientation="landscape" r:id="rId1"/>
  <rowBreaks count="1" manualBreakCount="1">
    <brk id="51" min="1" max="24" man="1"/>
  </rowBreaks>
  <colBreaks count="1" manualBreakCount="1">
    <brk id="24" min="1" max="8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B3" zoomScale="148" workbookViewId="0">
      <selection activeCell="H19" sqref="H19"/>
    </sheetView>
  </sheetViews>
  <sheetFormatPr defaultRowHeight="12.75" x14ac:dyDescent="0.2"/>
  <cols>
    <col min="1" max="1" width="5.85546875" customWidth="1"/>
    <col min="2" max="2" width="23.5703125" bestFit="1" customWidth="1"/>
    <col min="3" max="3" width="18.7109375" customWidth="1"/>
    <col min="4" max="4" width="8" bestFit="1" customWidth="1"/>
    <col min="5" max="6" width="9.28515625" customWidth="1"/>
    <col min="7" max="7" width="13.42578125" customWidth="1"/>
    <col min="8" max="8" width="10.85546875" bestFit="1" customWidth="1"/>
    <col min="9" max="9" width="10.85546875" customWidth="1"/>
    <col min="10" max="10" width="11.42578125" customWidth="1"/>
  </cols>
  <sheetData>
    <row r="1" spans="1:14" x14ac:dyDescent="0.2">
      <c r="A1" s="219" t="s">
        <v>134</v>
      </c>
      <c r="B1" s="219"/>
      <c r="C1" s="219"/>
      <c r="D1" s="219"/>
      <c r="E1" s="219"/>
      <c r="F1" s="219"/>
      <c r="G1" s="219"/>
      <c r="H1" s="219"/>
      <c r="I1" s="219"/>
      <c r="J1" s="219"/>
      <c r="K1" s="226"/>
      <c r="L1" s="226"/>
      <c r="M1" s="226"/>
      <c r="N1" s="226"/>
    </row>
    <row r="2" spans="1:14" x14ac:dyDescent="0.2">
      <c r="I2" s="162" t="s">
        <v>150</v>
      </c>
    </row>
    <row r="3" spans="1:14" ht="51" x14ac:dyDescent="0.2">
      <c r="A3" s="162" t="s">
        <v>135</v>
      </c>
      <c r="B3" s="162" t="s">
        <v>136</v>
      </c>
      <c r="C3" s="224" t="s">
        <v>146</v>
      </c>
      <c r="D3" s="224" t="s">
        <v>137</v>
      </c>
      <c r="E3" s="224" t="s">
        <v>151</v>
      </c>
      <c r="F3" s="224" t="s">
        <v>137</v>
      </c>
      <c r="G3" s="224" t="s">
        <v>138</v>
      </c>
      <c r="H3" s="224" t="s">
        <v>139</v>
      </c>
      <c r="I3" s="224" t="s">
        <v>140</v>
      </c>
      <c r="J3" s="224" t="s">
        <v>141</v>
      </c>
      <c r="K3" s="225"/>
    </row>
    <row r="4" spans="1:14" x14ac:dyDescent="0.2">
      <c r="A4" s="220">
        <v>1</v>
      </c>
      <c r="B4" s="219" t="s">
        <v>142</v>
      </c>
      <c r="C4" s="163" t="s">
        <v>148</v>
      </c>
      <c r="D4" s="222">
        <v>422.8</v>
      </c>
      <c r="E4" s="164">
        <v>12</v>
      </c>
      <c r="F4" s="222">
        <f>D4-E4</f>
        <v>410.8</v>
      </c>
      <c r="G4">
        <f>232.97+122.27</f>
        <v>355.24</v>
      </c>
      <c r="H4">
        <f>299.02+96.6</f>
        <v>395.62</v>
      </c>
      <c r="I4" s="223">
        <f>(H4*100)/F4</f>
        <v>96.304771178188901</v>
      </c>
      <c r="J4" s="223">
        <f>(H4*100)/G4</f>
        <v>111.36696317982209</v>
      </c>
      <c r="K4" s="223"/>
      <c r="L4" s="223"/>
      <c r="M4" s="223"/>
      <c r="N4" s="223"/>
    </row>
    <row r="5" spans="1:14" x14ac:dyDescent="0.2">
      <c r="A5" s="220"/>
      <c r="B5" s="220"/>
      <c r="C5" s="163" t="s">
        <v>147</v>
      </c>
      <c r="D5">
        <f>299.13+22.1</f>
        <v>321.23</v>
      </c>
      <c r="E5" s="164"/>
      <c r="F5" s="222">
        <f t="shared" ref="F5:F16" si="0">D5-E5</f>
        <v>321.23</v>
      </c>
      <c r="G5">
        <f>278.88+18.11+20.08</f>
        <v>317.07</v>
      </c>
      <c r="H5" s="221">
        <f>278.11+15.65+11.81+18.83</f>
        <v>324.39999999999998</v>
      </c>
      <c r="I5" s="223">
        <f t="shared" ref="I5:I16" si="1">(H5*100)/F5</f>
        <v>100.98683186501881</v>
      </c>
      <c r="J5" s="223">
        <f t="shared" ref="J5:J16" si="2">(H5*100)/G5</f>
        <v>102.31179234869271</v>
      </c>
    </row>
    <row r="6" spans="1:14" x14ac:dyDescent="0.2">
      <c r="F6" s="222">
        <f t="shared" si="0"/>
        <v>0</v>
      </c>
      <c r="I6" s="223"/>
      <c r="J6" s="223"/>
    </row>
    <row r="7" spans="1:14" x14ac:dyDescent="0.2">
      <c r="A7" s="220">
        <v>2</v>
      </c>
      <c r="B7" s="219" t="s">
        <v>143</v>
      </c>
      <c r="C7" s="163"/>
      <c r="E7" s="164"/>
      <c r="F7" s="222">
        <f t="shared" si="0"/>
        <v>0</v>
      </c>
      <c r="I7" s="223"/>
      <c r="J7" s="223"/>
    </row>
    <row r="8" spans="1:14" x14ac:dyDescent="0.2">
      <c r="A8" s="220"/>
      <c r="B8" s="220"/>
      <c r="C8" s="163" t="s">
        <v>148</v>
      </c>
      <c r="D8">
        <v>53.55</v>
      </c>
      <c r="E8" s="164">
        <v>8</v>
      </c>
      <c r="F8" s="222">
        <f t="shared" si="0"/>
        <v>45.55</v>
      </c>
      <c r="G8">
        <v>38.229999999999997</v>
      </c>
      <c r="H8">
        <v>30.23</v>
      </c>
      <c r="I8" s="223">
        <f t="shared" si="1"/>
        <v>66.366630076838646</v>
      </c>
      <c r="J8" s="223">
        <f t="shared" si="2"/>
        <v>79.074025634318602</v>
      </c>
    </row>
    <row r="9" spans="1:14" x14ac:dyDescent="0.2">
      <c r="C9" s="163" t="s">
        <v>147</v>
      </c>
      <c r="D9">
        <v>29.28</v>
      </c>
      <c r="E9" s="164"/>
      <c r="F9" s="222">
        <f t="shared" si="0"/>
        <v>29.28</v>
      </c>
      <c r="G9" s="221">
        <v>27.1</v>
      </c>
      <c r="H9">
        <f>5.56+26.76</f>
        <v>32.32</v>
      </c>
      <c r="I9" s="223">
        <f t="shared" si="1"/>
        <v>110.38251366120218</v>
      </c>
      <c r="J9" s="223">
        <f t="shared" si="2"/>
        <v>119.26199261992619</v>
      </c>
    </row>
    <row r="10" spans="1:14" x14ac:dyDescent="0.2">
      <c r="A10" s="220">
        <v>3</v>
      </c>
      <c r="B10" s="219" t="s">
        <v>144</v>
      </c>
      <c r="C10" s="163"/>
      <c r="E10" s="164"/>
      <c r="F10" s="222">
        <f t="shared" si="0"/>
        <v>0</v>
      </c>
      <c r="I10" s="223"/>
      <c r="J10" s="223"/>
    </row>
    <row r="11" spans="1:14" x14ac:dyDescent="0.2">
      <c r="A11" s="220"/>
      <c r="B11" s="220"/>
      <c r="C11" s="163" t="s">
        <v>148</v>
      </c>
      <c r="D11">
        <v>333.65</v>
      </c>
      <c r="E11" s="164"/>
      <c r="F11" s="222">
        <f t="shared" si="0"/>
        <v>333.65</v>
      </c>
      <c r="G11">
        <v>287.56</v>
      </c>
      <c r="H11">
        <v>351.62</v>
      </c>
      <c r="I11" s="223">
        <f t="shared" si="1"/>
        <v>105.38588341075979</v>
      </c>
      <c r="J11" s="223">
        <f t="shared" si="2"/>
        <v>122.27708999860899</v>
      </c>
    </row>
    <row r="12" spans="1:14" x14ac:dyDescent="0.2">
      <c r="C12" s="163" t="s">
        <v>147</v>
      </c>
      <c r="D12" s="221">
        <v>335</v>
      </c>
      <c r="E12" s="164"/>
      <c r="F12" s="222">
        <f t="shared" si="0"/>
        <v>335</v>
      </c>
      <c r="G12" s="221">
        <v>332.8</v>
      </c>
      <c r="H12">
        <f>86.34+256.98</f>
        <v>343.32000000000005</v>
      </c>
      <c r="I12" s="223">
        <f t="shared" si="1"/>
        <v>102.48358208955226</v>
      </c>
      <c r="J12" s="223">
        <f t="shared" si="2"/>
        <v>103.16105769230771</v>
      </c>
    </row>
    <row r="13" spans="1:14" x14ac:dyDescent="0.2">
      <c r="C13" s="164"/>
      <c r="D13" s="221"/>
      <c r="E13" s="164"/>
      <c r="F13" s="222">
        <f t="shared" si="0"/>
        <v>0</v>
      </c>
      <c r="G13" s="221"/>
      <c r="I13" s="223"/>
      <c r="J13" s="223"/>
    </row>
    <row r="14" spans="1:14" x14ac:dyDescent="0.2">
      <c r="C14" s="164"/>
      <c r="D14" s="221"/>
      <c r="E14" s="164"/>
      <c r="F14" s="222">
        <f t="shared" si="0"/>
        <v>0</v>
      </c>
      <c r="G14" s="221"/>
      <c r="I14" s="223"/>
      <c r="J14" s="223"/>
    </row>
    <row r="15" spans="1:14" x14ac:dyDescent="0.2">
      <c r="B15" t="s">
        <v>149</v>
      </c>
      <c r="C15" s="164"/>
      <c r="D15" s="221">
        <f>D4+D8+D11</f>
        <v>810</v>
      </c>
      <c r="E15" s="164"/>
      <c r="F15" s="222">
        <f t="shared" si="0"/>
        <v>810</v>
      </c>
      <c r="G15" s="221">
        <f>G4+G8+G11</f>
        <v>681.03</v>
      </c>
      <c r="H15">
        <f>H4+H8+H11</f>
        <v>777.47</v>
      </c>
      <c r="I15" s="223">
        <f t="shared" si="1"/>
        <v>95.983950617283952</v>
      </c>
      <c r="J15" s="223">
        <f t="shared" si="2"/>
        <v>114.16090333759159</v>
      </c>
    </row>
    <row r="16" spans="1:14" x14ac:dyDescent="0.2">
      <c r="B16" s="162" t="s">
        <v>147</v>
      </c>
      <c r="C16" s="164"/>
      <c r="D16" s="221">
        <f>D5+D9+D12</f>
        <v>685.51</v>
      </c>
      <c r="E16" s="164"/>
      <c r="F16" s="222">
        <f t="shared" si="0"/>
        <v>685.51</v>
      </c>
      <c r="G16" s="221">
        <f>G5+G9+G12</f>
        <v>676.97</v>
      </c>
      <c r="H16">
        <f>H5+H9+H12</f>
        <v>700.04</v>
      </c>
      <c r="I16" s="223">
        <f t="shared" si="1"/>
        <v>102.1195897944596</v>
      </c>
      <c r="J16" s="223">
        <f t="shared" si="2"/>
        <v>103.40783195710297</v>
      </c>
    </row>
    <row r="17" spans="1:8" x14ac:dyDescent="0.2">
      <c r="C17" s="164"/>
      <c r="D17" s="164"/>
      <c r="E17" s="164"/>
      <c r="F17" s="221"/>
      <c r="G17" s="221"/>
    </row>
    <row r="18" spans="1:8" x14ac:dyDescent="0.2">
      <c r="C18" s="164"/>
      <c r="D18" s="164"/>
      <c r="E18" s="164"/>
      <c r="F18" s="221"/>
      <c r="G18" s="221"/>
    </row>
    <row r="19" spans="1:8" x14ac:dyDescent="0.2">
      <c r="C19" s="164"/>
      <c r="D19" s="164"/>
      <c r="E19" s="164"/>
      <c r="F19" s="221"/>
      <c r="G19" s="221"/>
    </row>
    <row r="20" spans="1:8" x14ac:dyDescent="0.2">
      <c r="C20" s="164"/>
      <c r="D20" s="164"/>
      <c r="E20" s="164"/>
      <c r="F20" s="221"/>
      <c r="G20" s="221"/>
    </row>
    <row r="21" spans="1:8" x14ac:dyDescent="0.2">
      <c r="C21" s="164"/>
      <c r="D21" s="164"/>
      <c r="E21" s="164"/>
      <c r="F21" s="221"/>
      <c r="G21" s="221"/>
    </row>
    <row r="22" spans="1:8" x14ac:dyDescent="0.2">
      <c r="A22" s="220">
        <v>4</v>
      </c>
      <c r="B22" s="219" t="s">
        <v>145</v>
      </c>
      <c r="C22" s="163"/>
      <c r="D22" s="164"/>
      <c r="E22" s="164"/>
    </row>
    <row r="23" spans="1:8" x14ac:dyDescent="0.2">
      <c r="A23" s="220"/>
      <c r="B23" s="220"/>
      <c r="C23" s="163" t="s">
        <v>148</v>
      </c>
      <c r="D23" s="164"/>
      <c r="E23" s="164"/>
      <c r="F23">
        <v>2958.22</v>
      </c>
      <c r="G23">
        <v>3107.54</v>
      </c>
      <c r="H23">
        <v>3039.04</v>
      </c>
    </row>
    <row r="24" spans="1:8" x14ac:dyDescent="0.2">
      <c r="C24" s="163" t="s">
        <v>147</v>
      </c>
      <c r="D24" s="164"/>
      <c r="E24" s="164"/>
      <c r="F24">
        <v>2733.21</v>
      </c>
      <c r="G24">
        <f>2683.21+50</f>
        <v>2733.21</v>
      </c>
      <c r="H24">
        <v>2785.86</v>
      </c>
    </row>
  </sheetData>
  <mergeCells count="9">
    <mergeCell ref="B4:B5"/>
    <mergeCell ref="B7:B8"/>
    <mergeCell ref="B10:B11"/>
    <mergeCell ref="B22:B23"/>
    <mergeCell ref="A4:A5"/>
    <mergeCell ref="A7:A8"/>
    <mergeCell ref="A10:A11"/>
    <mergeCell ref="A22:A23"/>
    <mergeCell ref="A1:J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2023-24 (Fund Pos. 30.03.24)</vt:lpstr>
      <vt:lpstr>Sheet1</vt:lpstr>
      <vt:lpstr>'2023-24 (Fund Pos. 30.03.24)'!Print_Area</vt:lpstr>
      <vt:lpstr>'2023-24 (Fund Pos. 30.03.24)'!Print_Titles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S.V. SAMANT</dc:creator>
  <cp:lastModifiedBy>KVIC</cp:lastModifiedBy>
  <cp:lastPrinted>2024-04-01T03:17:45Z</cp:lastPrinted>
  <dcterms:created xsi:type="dcterms:W3CDTF">2024-03-31T09:15:07Z</dcterms:created>
  <dcterms:modified xsi:type="dcterms:W3CDTF">2024-04-01T03:45:23Z</dcterms:modified>
</cp:coreProperties>
</file>