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8d4fb8ddb56527/Documents/"/>
    </mc:Choice>
  </mc:AlternateContent>
  <xr:revisionPtr revIDLastSave="741" documentId="8_{068E127D-CB40-4FBE-8BD5-7363D7D38D35}" xr6:coauthVersionLast="46" xr6:coauthVersionMax="46" xr10:uidLastSave="{B656BFB7-29A7-4B84-980A-9761AA1ACF90}"/>
  <bookViews>
    <workbookView xWindow="-120" yWindow="-120" windowWidth="29040" windowHeight="15840" activeTab="1" xr2:uid="{32A3653D-1DF5-4FDC-804E-33D1598F7AC3}"/>
  </bookViews>
  <sheets>
    <sheet name="Model Info" sheetId="2" r:id="rId1"/>
    <sheet name="Model Assumptions" sheetId="3" r:id="rId2"/>
    <sheet name="Simple EV cash flow mod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E29" i="3"/>
  <c r="E28" i="3"/>
  <c r="E27" i="3"/>
  <c r="E26" i="3"/>
  <c r="B25" i="3"/>
  <c r="F9" i="3"/>
  <c r="A23" i="1" s="1"/>
  <c r="F11" i="3"/>
  <c r="A33" i="1" s="1"/>
  <c r="A29" i="1"/>
  <c r="A17" i="1"/>
  <c r="A7" i="1"/>
  <c r="B12" i="1"/>
  <c r="E8" i="3"/>
  <c r="B30" i="1"/>
  <c r="E11" i="3"/>
  <c r="B21" i="1"/>
  <c r="C15" i="3"/>
  <c r="B11" i="1"/>
  <c r="C13" i="3"/>
  <c r="B10" i="1" s="1"/>
  <c r="E10" i="3"/>
  <c r="E9" i="3"/>
  <c r="E7" i="3"/>
  <c r="C16" i="3"/>
  <c r="B20" i="1" s="1"/>
  <c r="B6" i="3"/>
  <c r="C18" i="3"/>
  <c r="B22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D28" i="1"/>
  <c r="D29" i="1" s="1"/>
  <c r="E28" i="1"/>
  <c r="E29" i="1" s="1"/>
  <c r="F28" i="1"/>
  <c r="F29" i="1" s="1"/>
  <c r="G28" i="1"/>
  <c r="G29" i="1" s="1"/>
  <c r="H28" i="1"/>
  <c r="H29" i="1" s="1"/>
  <c r="I28" i="1"/>
  <c r="I29" i="1" s="1"/>
  <c r="J28" i="1"/>
  <c r="J29" i="1" s="1"/>
  <c r="K28" i="1"/>
  <c r="K29" i="1" s="1"/>
  <c r="L28" i="1"/>
  <c r="L29" i="1" s="1"/>
  <c r="C28" i="1"/>
  <c r="C29" i="1" s="1"/>
  <c r="C6" i="1"/>
  <c r="C7" i="1" s="1"/>
  <c r="C4" i="1"/>
  <c r="D4" i="1" s="1"/>
  <c r="E4" i="1" s="1"/>
  <c r="F4" i="1" s="1"/>
  <c r="G4" i="1" s="1"/>
  <c r="H4" i="1" s="1"/>
  <c r="I4" i="1" s="1"/>
  <c r="J4" i="1" s="1"/>
  <c r="K4" i="1" s="1"/>
  <c r="L4" i="1" s="1"/>
  <c r="F30" i="3" l="1"/>
  <c r="F28" i="3"/>
  <c r="A13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C21" i="1"/>
  <c r="C22" i="1" s="1"/>
  <c r="C23" i="1" s="1"/>
  <c r="B26" i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B9" i="1"/>
  <c r="C24" i="1" l="1"/>
  <c r="C20" i="1" s="1"/>
  <c r="D21" i="1"/>
  <c r="D22" i="1" s="1"/>
  <c r="D23" i="1" s="1"/>
  <c r="B19" i="1"/>
  <c r="D24" i="1" l="1"/>
  <c r="D20" i="1" s="1"/>
  <c r="E21" i="1"/>
  <c r="E22" i="1" s="1"/>
  <c r="E23" i="1" s="1"/>
  <c r="E24" i="1" l="1"/>
  <c r="E20" i="1" s="1"/>
  <c r="F21" i="1"/>
  <c r="F22" i="1" s="1"/>
  <c r="F23" i="1" s="1"/>
  <c r="C12" i="1"/>
  <c r="C13" i="1" s="1"/>
  <c r="C14" i="1" s="1"/>
  <c r="C10" i="1" s="1"/>
  <c r="F24" i="1" l="1"/>
  <c r="F20" i="1" s="1"/>
  <c r="G21" i="1"/>
  <c r="G22" i="1" s="1"/>
  <c r="G23" i="1" s="1"/>
  <c r="G24" i="1" l="1"/>
  <c r="G20" i="1" s="1"/>
  <c r="H21" i="1"/>
  <c r="H22" i="1" s="1"/>
  <c r="H23" i="1" s="1"/>
  <c r="C26" i="1"/>
  <c r="C30" i="1" s="1"/>
  <c r="C9" i="1"/>
  <c r="H24" i="1" l="1"/>
  <c r="H20" i="1" s="1"/>
  <c r="I21" i="1"/>
  <c r="I22" i="1" s="1"/>
  <c r="I23" i="1" s="1"/>
  <c r="C19" i="1"/>
  <c r="I24" i="1" l="1"/>
  <c r="I20" i="1" s="1"/>
  <c r="J21" i="1"/>
  <c r="J22" i="1" s="1"/>
  <c r="J23" i="1" s="1"/>
  <c r="D12" i="1"/>
  <c r="D13" i="1" s="1"/>
  <c r="J24" i="1" l="1"/>
  <c r="J20" i="1" s="1"/>
  <c r="K21" i="1"/>
  <c r="K22" i="1" s="1"/>
  <c r="K23" i="1" s="1"/>
  <c r="D14" i="1"/>
  <c r="D10" i="1" s="1"/>
  <c r="K24" i="1" l="1"/>
  <c r="K20" i="1" s="1"/>
  <c r="L21" i="1"/>
  <c r="L22" i="1" s="1"/>
  <c r="L23" i="1" s="1"/>
  <c r="L24" i="1" l="1"/>
  <c r="L20" i="1" s="1"/>
  <c r="D26" i="1"/>
  <c r="D9" i="1"/>
  <c r="D19" i="1" l="1"/>
  <c r="E12" i="1" l="1"/>
  <c r="E13" i="1" s="1"/>
  <c r="E14" i="1" l="1"/>
  <c r="E10" i="1" s="1"/>
  <c r="E26" i="1" l="1"/>
  <c r="E9" i="1" l="1"/>
  <c r="E19" i="1" s="1"/>
  <c r="F12" i="1" l="1"/>
  <c r="F13" i="1" s="1"/>
  <c r="F14" i="1" l="1"/>
  <c r="F10" i="1" s="1"/>
  <c r="F26" i="1" l="1"/>
  <c r="F9" i="1" l="1"/>
  <c r="F19" i="1" l="1"/>
  <c r="G12" i="1"/>
  <c r="G13" i="1" s="1"/>
  <c r="G14" i="1" l="1"/>
  <c r="G10" i="1" s="1"/>
  <c r="G9" i="1" l="1"/>
  <c r="G26" i="1"/>
  <c r="G19" i="1" l="1"/>
  <c r="H12" i="1" l="1"/>
  <c r="H13" i="1" s="1"/>
  <c r="H14" i="1" l="1"/>
  <c r="H10" i="1" s="1"/>
  <c r="H9" i="1" l="1"/>
  <c r="H26" i="1" l="1"/>
  <c r="H19" i="1"/>
  <c r="I12" i="1" l="1"/>
  <c r="I13" i="1" s="1"/>
  <c r="G30" i="1"/>
  <c r="H30" i="1"/>
  <c r="D30" i="1"/>
  <c r="E30" i="1"/>
  <c r="F30" i="1"/>
  <c r="I14" i="1" l="1"/>
  <c r="I10" i="1" s="1"/>
  <c r="I9" i="1" l="1"/>
  <c r="I26" i="1" l="1"/>
  <c r="I30" i="1" s="1"/>
  <c r="I19" i="1"/>
  <c r="J12" i="1" l="1"/>
  <c r="J13" i="1" s="1"/>
  <c r="J14" i="1" l="1"/>
  <c r="J10" i="1" s="1"/>
  <c r="J26" i="1" l="1"/>
  <c r="J30" i="1" s="1"/>
  <c r="J9" i="1" l="1"/>
  <c r="J19" i="1" s="1"/>
  <c r="K12" i="1" l="1"/>
  <c r="K13" i="1" s="1"/>
  <c r="K14" i="1" l="1"/>
  <c r="K10" i="1" s="1"/>
  <c r="K26" i="1" l="1"/>
  <c r="K30" i="1" s="1"/>
  <c r="K9" i="1" l="1"/>
  <c r="K19" i="1" l="1"/>
  <c r="L12" i="1"/>
  <c r="L13" i="1" s="1"/>
  <c r="L14" i="1" l="1"/>
  <c r="L10" i="1" s="1"/>
  <c r="L26" i="1" l="1"/>
  <c r="L30" i="1" s="1"/>
  <c r="B33" i="1" l="1"/>
  <c r="M33" i="1"/>
  <c r="L9" i="1"/>
  <c r="L19" i="1" s="1"/>
  <c r="B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tc={09BC99F6-BEA5-4442-9553-6FAF245FD6BD}</author>
  </authors>
  <commentList>
    <comment ref="C15" authorId="0" shapeId="0" xr:uid="{09BC99F6-BEA5-4442-9553-6FAF245FD6BD}">
      <text>
        <t>[Threaded comment]
Your version of Excel allows you to read this threaded comment; however, any edits to it will get removed if the file is opened in a newer version of Excel. Learn more: https://go.microsoft.com/fwlink/?linkid=870924
Comment:
    My best estimate of Tesla cumulative production from 2014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tc={A0F49B77-D68E-472B-AF68-90A595B72F7D}</author>
  </authors>
  <commentList>
    <comment ref="B12" authorId="0" shapeId="0" xr:uid="{A0F49B77-D68E-472B-AF68-90A595B72F7D}">
      <text>
        <t>[Threaded comment]
Your version of Excel allows you to read this threaded comment; however, any edits to it will get removed if the file is opened in a newer version of Excel. Learn more: https://go.microsoft.com/fwlink/?linkid=870924
Comment:
    My best estimate of Tesla cumulative production from 2014</t>
      </text>
    </comment>
  </commentList>
</comments>
</file>

<file path=xl/sharedStrings.xml><?xml version="1.0" encoding="utf-8"?>
<sst xmlns="http://schemas.openxmlformats.org/spreadsheetml/2006/main" count="72" uniqueCount="48">
  <si>
    <t>Year</t>
  </si>
  <si>
    <t>I am modelling this for Tesla, and hope the same framework can be used for other companies in the space.</t>
  </si>
  <si>
    <t>The goal of this model is simple. To calculate a net present value of electric vehicle and energy storage cash flow based on starting assumptions in 2020 and ending in 2030.</t>
  </si>
  <si>
    <t>EV Produced</t>
  </si>
  <si>
    <t>Cumulative EV Produced</t>
  </si>
  <si>
    <t>Energy Generation &amp; Storage Revenue (millions)</t>
  </si>
  <si>
    <t>EV Revenue %</t>
  </si>
  <si>
    <t>EGS Revenue %</t>
  </si>
  <si>
    <t>Free Cash Flow (millions)</t>
  </si>
  <si>
    <t>Free Cash Flow % of Revenue</t>
  </si>
  <si>
    <t>EGS (GWh)</t>
  </si>
  <si>
    <t>Random number</t>
  </si>
  <si>
    <t>Total Revenue</t>
  </si>
  <si>
    <t>Post-2030</t>
  </si>
  <si>
    <t>Battery supply growth rate is between -50% and +100%.</t>
  </si>
  <si>
    <t>The initial estimate of 44 GWh for Tesla was based on 3 GWh of Energy Generation and Storage for Tesla in 2020, and scaling that up based on revenue for the automotive revenue.</t>
  </si>
  <si>
    <t>The first attempt at this model presumes the revenue relationship between auto and ESG remains stable over time, as a POC that the idea works.</t>
  </si>
  <si>
    <t>Revenue is decreased by 20%, every time cumulative vehicle production doubles.</t>
  </si>
  <si>
    <t>Free cash flow is modeled as a revenue %, and that amount can decrease up to -9.1% a year or increase up to 10% a year. It's additive rather than multiplicative.</t>
  </si>
  <si>
    <t>The NPV is calculated using a 2% interest rate. This will float as an advancement to the model.</t>
  </si>
  <si>
    <t>Things to add:</t>
  </si>
  <si>
    <t>Allowing different growth rates for auto and ESG.</t>
  </si>
  <si>
    <t xml:space="preserve">Allowing different interest rates. </t>
  </si>
  <si>
    <t>Allowing various percentages for Wright's Law.</t>
  </si>
  <si>
    <t>When does Cumulative EV Production double?</t>
  </si>
  <si>
    <t>Running the simulation for a specified number of iterations</t>
  </si>
  <si>
    <t>Saving the results.</t>
  </si>
  <si>
    <t>Cumulative EGS Produced</t>
  </si>
  <si>
    <t>When does Cumulative ESG Production double?</t>
  </si>
  <si>
    <t>EV Revenue (millions)</t>
  </si>
  <si>
    <t>Date Updated:</t>
  </si>
  <si>
    <t>Company:</t>
  </si>
  <si>
    <t>Tesla</t>
  </si>
  <si>
    <t>Run with Industry?</t>
  </si>
  <si>
    <t>EV Revenue growth rate</t>
  </si>
  <si>
    <t>Minimum</t>
  </si>
  <si>
    <t>Maximum</t>
  </si>
  <si>
    <t>Wright's Law decreases ASP's by</t>
  </si>
  <si>
    <t xml:space="preserve"> Energy Generation (GWh)</t>
  </si>
  <si>
    <t>Free Cash Flow growth rate</t>
  </si>
  <si>
    <t>Interest rate for NPV calculations</t>
  </si>
  <si>
    <t>EGS Revenue (millions)</t>
  </si>
  <si>
    <t>Cumulative EGS Produced (GWh)</t>
  </si>
  <si>
    <t>Average</t>
  </si>
  <si>
    <t>Random Number</t>
  </si>
  <si>
    <t>EGS Revenue growth rate</t>
  </si>
  <si>
    <t>Nio</t>
  </si>
  <si>
    <t>Predicted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</si>
</sst>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165" fontId="0" fillId="0" borderId="0" xfId="2" applyNumberFormat="1" applyFont="1"/>
    <xf numFmtId="2" fontId="0" fillId="0" borderId="0" xfId="2" applyNumberFormat="1" applyFont="1"/>
    <xf numFmtId="1" fontId="0" fillId="0" borderId="0" xfId="0" applyNumberFormat="1"/>
    <xf numFmtId="164" fontId="0" fillId="0" borderId="0" xfId="0" applyNumberFormat="1"/>
    <xf numFmtId="43" fontId="0" fillId="0" borderId="0" xfId="0" applyNumberFormat="1"/>
    <xf numFmtId="8" fontId="0" fillId="0" borderId="0" xfId="0" applyNumberFormat="1"/>
    <xf numFmtId="165" fontId="0" fillId="0" borderId="0" xfId="0" applyNumberFormat="1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jay Govindan" id="{6C001BB1-4198-42AF-A973-1C32914AF4C7}" userId="0f8d4fb8ddb5652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1-04-02T02:36:38.03" personId="{6C001BB1-4198-42AF-A973-1C32914AF4C7}" id="{09BC99F6-BEA5-4442-9553-6FAF245FD6BD}">
    <text>My best estimate of Tesla cumulative production from 2014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2" dT="2021-04-02T02:36:38.03" personId="{6C001BB1-4198-42AF-A973-1C32914AF4C7}" id="{A0F49B77-D68E-472B-AF68-90A595B72F7D}">
    <text>My best estimate of Tesla cumulative production from 2014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7D37-B204-4821-9F4D-F1DF11A85ABE}">
  <dimension ref="B2:B24"/>
  <sheetViews>
    <sheetView workbookViewId="0">
      <selection activeCell="B25" sqref="B25"/>
    </sheetView>
  </sheetViews>
  <sheetFormatPr defaultRowHeight="15" x14ac:dyDescent="0.25"/>
  <sheetData>
    <row r="2" spans="2:2" x14ac:dyDescent="0.25">
      <c r="B2" t="s">
        <v>2</v>
      </c>
    </row>
    <row r="4" spans="2:2" x14ac:dyDescent="0.25">
      <c r="B4" t="s">
        <v>1</v>
      </c>
    </row>
    <row r="6" spans="2:2" x14ac:dyDescent="0.25">
      <c r="B6" t="s">
        <v>14</v>
      </c>
    </row>
    <row r="8" spans="2:2" x14ac:dyDescent="0.25">
      <c r="B8" t="s">
        <v>15</v>
      </c>
    </row>
    <row r="10" spans="2:2" x14ac:dyDescent="0.25">
      <c r="B10" t="s">
        <v>16</v>
      </c>
    </row>
    <row r="12" spans="2:2" x14ac:dyDescent="0.25">
      <c r="B12" t="s">
        <v>17</v>
      </c>
    </row>
    <row r="14" spans="2:2" x14ac:dyDescent="0.25">
      <c r="B14" t="s">
        <v>18</v>
      </c>
    </row>
    <row r="16" spans="2:2" x14ac:dyDescent="0.25">
      <c r="B16" t="s">
        <v>19</v>
      </c>
    </row>
    <row r="18" spans="2:2" x14ac:dyDescent="0.25">
      <c r="B18" t="s">
        <v>20</v>
      </c>
    </row>
    <row r="20" spans="2:2" x14ac:dyDescent="0.25">
      <c r="B20" t="s">
        <v>21</v>
      </c>
    </row>
    <row r="21" spans="2:2" x14ac:dyDescent="0.25">
      <c r="B21" t="s">
        <v>22</v>
      </c>
    </row>
    <row r="22" spans="2:2" x14ac:dyDescent="0.25">
      <c r="B22" t="s">
        <v>23</v>
      </c>
    </row>
    <row r="23" spans="2:2" x14ac:dyDescent="0.25">
      <c r="B23" t="s">
        <v>25</v>
      </c>
    </row>
    <row r="24" spans="2:2" x14ac:dyDescent="0.25">
      <c r="B2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56E5-9E52-4ADE-927C-1356FBFBB28A}">
  <dimension ref="B2:F38"/>
  <sheetViews>
    <sheetView tabSelected="1" workbookViewId="0">
      <selection activeCell="F31" sqref="F31"/>
    </sheetView>
  </sheetViews>
  <sheetFormatPr defaultRowHeight="15" x14ac:dyDescent="0.25"/>
  <cols>
    <col min="2" max="2" width="29.85546875" bestFit="1" customWidth="1"/>
    <col min="3" max="3" width="9.5703125" bestFit="1" customWidth="1"/>
    <col min="4" max="4" width="9.85546875" bestFit="1" customWidth="1"/>
    <col min="5" max="5" width="17.5703125" bestFit="1" customWidth="1"/>
    <col min="6" max="6" width="20.42578125" bestFit="1" customWidth="1"/>
  </cols>
  <sheetData>
    <row r="2" spans="2:6" x14ac:dyDescent="0.25">
      <c r="B2" t="s">
        <v>30</v>
      </c>
      <c r="C2" s="12">
        <v>44293</v>
      </c>
    </row>
    <row r="3" spans="2:6" x14ac:dyDescent="0.25">
      <c r="B3" t="s">
        <v>31</v>
      </c>
      <c r="C3" t="s">
        <v>32</v>
      </c>
    </row>
    <row r="4" spans="2:6" x14ac:dyDescent="0.25">
      <c r="B4" t="s">
        <v>33</v>
      </c>
      <c r="C4">
        <v>0</v>
      </c>
    </row>
    <row r="6" spans="2:6" x14ac:dyDescent="0.25">
      <c r="B6" s="14" t="str">
        <f>C3</f>
        <v>Tesla</v>
      </c>
      <c r="C6" t="s">
        <v>35</v>
      </c>
      <c r="D6" t="s">
        <v>36</v>
      </c>
      <c r="E6" t="s">
        <v>47</v>
      </c>
      <c r="F6" t="s">
        <v>44</v>
      </c>
    </row>
    <row r="7" spans="2:6" x14ac:dyDescent="0.25">
      <c r="B7" t="s">
        <v>34</v>
      </c>
      <c r="C7" s="4">
        <v>-0.2</v>
      </c>
      <c r="D7" s="4">
        <v>0.8</v>
      </c>
      <c r="E7" s="4">
        <f>AVERAGE(C7:D7)</f>
        <v>0.30000000000000004</v>
      </c>
    </row>
    <row r="8" spans="2:6" x14ac:dyDescent="0.25">
      <c r="B8" t="s">
        <v>45</v>
      </c>
      <c r="C8" s="4">
        <v>0</v>
      </c>
      <c r="D8" s="4">
        <v>1</v>
      </c>
      <c r="E8" s="4">
        <f>AVERAGE(C8:D8)</f>
        <v>0.5</v>
      </c>
    </row>
    <row r="9" spans="2:6" x14ac:dyDescent="0.25">
      <c r="B9" t="s">
        <v>37</v>
      </c>
      <c r="C9" s="4">
        <v>0.1</v>
      </c>
      <c r="D9" s="4">
        <v>0.25</v>
      </c>
      <c r="E9" s="4">
        <f>AVERAGE(C9:D9)</f>
        <v>0.17499999999999999</v>
      </c>
      <c r="F9" s="5">
        <f ca="1">C9+(D9-C9)*RAND()</f>
        <v>0.1495955705465894</v>
      </c>
    </row>
    <row r="10" spans="2:6" x14ac:dyDescent="0.25">
      <c r="B10" t="s">
        <v>39</v>
      </c>
      <c r="C10" s="13">
        <v>-4.8000000000000001E-2</v>
      </c>
      <c r="D10" s="4">
        <v>0.05</v>
      </c>
      <c r="E10" s="4">
        <f>AVERAGE(C10:D10)</f>
        <v>1.0000000000000009E-3</v>
      </c>
    </row>
    <row r="11" spans="2:6" x14ac:dyDescent="0.25">
      <c r="B11" t="s">
        <v>40</v>
      </c>
      <c r="C11" s="4">
        <v>0.02</v>
      </c>
      <c r="D11" s="4">
        <v>0.08</v>
      </c>
      <c r="E11" s="4">
        <f>AVERAGE(C11:D11)</f>
        <v>0.05</v>
      </c>
      <c r="F11" s="5">
        <f ca="1">C11+(D11-C11)*RAND()</f>
        <v>2.428302364633092E-2</v>
      </c>
    </row>
    <row r="13" spans="2:6" x14ac:dyDescent="0.25">
      <c r="B13" t="s">
        <v>29</v>
      </c>
      <c r="C13" s="2">
        <f>5132+5179+7611+9314</f>
        <v>27236</v>
      </c>
    </row>
    <row r="14" spans="2:6" x14ac:dyDescent="0.25">
      <c r="B14" t="s">
        <v>3</v>
      </c>
      <c r="C14" s="1">
        <v>509737</v>
      </c>
    </row>
    <row r="15" spans="2:6" x14ac:dyDescent="0.25">
      <c r="B15" t="s">
        <v>4</v>
      </c>
      <c r="C15" s="1">
        <f>C14+367500+245240+101312+76230+25202+16689</f>
        <v>1341910</v>
      </c>
    </row>
    <row r="16" spans="2:6" x14ac:dyDescent="0.25">
      <c r="B16" t="s">
        <v>41</v>
      </c>
      <c r="C16" s="2">
        <f>293+370+579+752</f>
        <v>1994</v>
      </c>
    </row>
    <row r="17" spans="2:6" x14ac:dyDescent="0.25">
      <c r="B17" t="s">
        <v>38</v>
      </c>
      <c r="C17">
        <v>3</v>
      </c>
    </row>
    <row r="18" spans="2:6" x14ac:dyDescent="0.25">
      <c r="B18" t="s">
        <v>42</v>
      </c>
      <c r="C18" s="1">
        <f>C17</f>
        <v>3</v>
      </c>
    </row>
    <row r="19" spans="2:6" x14ac:dyDescent="0.25">
      <c r="B19" t="s">
        <v>8</v>
      </c>
      <c r="C19" s="2">
        <v>2786</v>
      </c>
    </row>
    <row r="21" spans="2:6" x14ac:dyDescent="0.25">
      <c r="B21" t="s">
        <v>30</v>
      </c>
      <c r="C21" s="12">
        <v>44293</v>
      </c>
    </row>
    <row r="22" spans="2:6" x14ac:dyDescent="0.25">
      <c r="B22" t="s">
        <v>31</v>
      </c>
      <c r="C22" t="s">
        <v>46</v>
      </c>
    </row>
    <row r="23" spans="2:6" x14ac:dyDescent="0.25">
      <c r="B23" t="s">
        <v>33</v>
      </c>
      <c r="C23">
        <v>0</v>
      </c>
    </row>
    <row r="25" spans="2:6" x14ac:dyDescent="0.25">
      <c r="B25" s="14" t="str">
        <f>C22</f>
        <v>Nio</v>
      </c>
      <c r="C25" t="s">
        <v>35</v>
      </c>
      <c r="D25" t="s">
        <v>36</v>
      </c>
      <c r="E25" t="s">
        <v>43</v>
      </c>
      <c r="F25" t="s">
        <v>44</v>
      </c>
    </row>
    <row r="26" spans="2:6" x14ac:dyDescent="0.25">
      <c r="B26" t="s">
        <v>34</v>
      </c>
      <c r="C26" s="4">
        <v>-0.2</v>
      </c>
      <c r="D26" s="4">
        <v>0.8</v>
      </c>
      <c r="E26" s="4">
        <f>AVERAGE(C26:D26)</f>
        <v>0.30000000000000004</v>
      </c>
    </row>
    <row r="27" spans="2:6" x14ac:dyDescent="0.25">
      <c r="B27" t="s">
        <v>45</v>
      </c>
      <c r="C27" s="4">
        <v>0</v>
      </c>
      <c r="D27" s="4">
        <v>1</v>
      </c>
      <c r="E27" s="4">
        <f>AVERAGE(C27:D27)</f>
        <v>0.5</v>
      </c>
    </row>
    <row r="28" spans="2:6" x14ac:dyDescent="0.25">
      <c r="B28" t="s">
        <v>37</v>
      </c>
      <c r="C28" s="4">
        <v>0.1</v>
      </c>
      <c r="D28" s="4">
        <v>0.25</v>
      </c>
      <c r="E28" s="4">
        <f>AVERAGE(C28:D28)</f>
        <v>0.17499999999999999</v>
      </c>
      <c r="F28" s="5">
        <f ca="1">F9</f>
        <v>0.1495955705465894</v>
      </c>
    </row>
    <row r="29" spans="2:6" x14ac:dyDescent="0.25">
      <c r="B29" t="s">
        <v>39</v>
      </c>
      <c r="C29" s="13">
        <v>-4.8000000000000001E-2</v>
      </c>
      <c r="D29" s="4">
        <v>0.05</v>
      </c>
      <c r="E29" s="4">
        <f>AVERAGE(C29:D29)</f>
        <v>1.0000000000000009E-3</v>
      </c>
    </row>
    <row r="30" spans="2:6" x14ac:dyDescent="0.25">
      <c r="B30" t="s">
        <v>40</v>
      </c>
      <c r="C30" s="4">
        <v>0.02</v>
      </c>
      <c r="D30" s="4">
        <v>0.08</v>
      </c>
      <c r="E30" s="4">
        <f>AVERAGE(C30:D30)</f>
        <v>0.05</v>
      </c>
      <c r="F30" s="5">
        <f ca="1">F11</f>
        <v>2.428302364633092E-2</v>
      </c>
    </row>
    <row r="32" spans="2:6" x14ac:dyDescent="0.25">
      <c r="B32" t="s">
        <v>29</v>
      </c>
      <c r="C32" s="2">
        <v>0</v>
      </c>
    </row>
    <row r="33" spans="2:3" x14ac:dyDescent="0.25">
      <c r="B33" t="s">
        <v>3</v>
      </c>
      <c r="C33" s="1">
        <v>0</v>
      </c>
    </row>
    <row r="34" spans="2:3" x14ac:dyDescent="0.25">
      <c r="B34" t="s">
        <v>4</v>
      </c>
      <c r="C34" s="1">
        <v>0</v>
      </c>
    </row>
    <row r="35" spans="2:3" x14ac:dyDescent="0.25">
      <c r="B35" t="s">
        <v>41</v>
      </c>
      <c r="C35" s="2">
        <v>0</v>
      </c>
    </row>
    <row r="36" spans="2:3" x14ac:dyDescent="0.25">
      <c r="B36" t="s">
        <v>38</v>
      </c>
      <c r="C36">
        <v>0</v>
      </c>
    </row>
    <row r="37" spans="2:3" x14ac:dyDescent="0.25">
      <c r="B37" t="s">
        <v>42</v>
      </c>
      <c r="C37" s="1">
        <v>0</v>
      </c>
    </row>
    <row r="38" spans="2:3" x14ac:dyDescent="0.25">
      <c r="B38" t="s">
        <v>8</v>
      </c>
      <c r="C38" s="2">
        <v>0</v>
      </c>
    </row>
  </sheetData>
  <dataValidations count="1">
    <dataValidation type="whole" allowBlank="1" showInputMessage="1" showErrorMessage="1" promptTitle="Error!" prompt="Choose 0 and 1. 1 will include the company as part of group, 0 will exclude the company from the next run." sqref="C4 C23" xr:uid="{55BBB262-4E86-43C1-BB37-B0F2DAE77229}">
      <formula1>0</formula1>
      <formula2>1</formula2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95DA-6F31-4EE3-B227-24FE03DE09E4}">
  <dimension ref="A3:N34"/>
  <sheetViews>
    <sheetView workbookViewId="0">
      <selection activeCell="M14" sqref="M14"/>
    </sheetView>
  </sheetViews>
  <sheetFormatPr defaultRowHeight="15" x14ac:dyDescent="0.25"/>
  <cols>
    <col min="1" max="1" width="51.5703125" bestFit="1" customWidth="1"/>
    <col min="2" max="2" width="14.28515625" bestFit="1" customWidth="1"/>
    <col min="3" max="3" width="10.5703125" bestFit="1" customWidth="1"/>
    <col min="4" max="11" width="12" bestFit="1" customWidth="1"/>
    <col min="12" max="12" width="13.28515625" bestFit="1" customWidth="1"/>
    <col min="13" max="13" width="19.28515625" bestFit="1" customWidth="1"/>
  </cols>
  <sheetData>
    <row r="3" spans="1:13" x14ac:dyDescent="0.25">
      <c r="B3" t="s">
        <v>0</v>
      </c>
    </row>
    <row r="4" spans="1:13" x14ac:dyDescent="0.25">
      <c r="B4">
        <v>2020</v>
      </c>
      <c r="C4">
        <f t="shared" ref="C4:L4" si="0">B4+1</f>
        <v>2021</v>
      </c>
      <c r="D4">
        <f t="shared" si="0"/>
        <v>2022</v>
      </c>
      <c r="E4">
        <f t="shared" si="0"/>
        <v>2023</v>
      </c>
      <c r="F4">
        <f t="shared" si="0"/>
        <v>2024</v>
      </c>
      <c r="G4">
        <f t="shared" si="0"/>
        <v>2025</v>
      </c>
      <c r="H4">
        <f t="shared" si="0"/>
        <v>2026</v>
      </c>
      <c r="I4">
        <f t="shared" si="0"/>
        <v>2027</v>
      </c>
      <c r="J4">
        <f t="shared" si="0"/>
        <v>2028</v>
      </c>
      <c r="K4">
        <f t="shared" si="0"/>
        <v>2029</v>
      </c>
      <c r="L4">
        <f t="shared" si="0"/>
        <v>2030</v>
      </c>
      <c r="M4" s="15" t="s">
        <v>13</v>
      </c>
    </row>
    <row r="6" spans="1:13" x14ac:dyDescent="0.25">
      <c r="A6" t="s">
        <v>11</v>
      </c>
      <c r="C6">
        <f ca="1">RAND()</f>
        <v>0.535735956180176</v>
      </c>
      <c r="D6">
        <f t="shared" ref="D6:L6" ca="1" si="1">RAND()</f>
        <v>0.78922183771157173</v>
      </c>
      <c r="E6">
        <f t="shared" ca="1" si="1"/>
        <v>0.64115379954379581</v>
      </c>
      <c r="F6">
        <f t="shared" ca="1" si="1"/>
        <v>0.31987223926809794</v>
      </c>
      <c r="G6">
        <f t="shared" ca="1" si="1"/>
        <v>0.79901265986998016</v>
      </c>
      <c r="H6">
        <f t="shared" ca="1" si="1"/>
        <v>0.68241514530691438</v>
      </c>
      <c r="I6">
        <f t="shared" ca="1" si="1"/>
        <v>0.93800531814679045</v>
      </c>
      <c r="J6">
        <f t="shared" ca="1" si="1"/>
        <v>0.21859833673534101</v>
      </c>
      <c r="K6">
        <f t="shared" ca="1" si="1"/>
        <v>0.48418013717205366</v>
      </c>
      <c r="L6">
        <f t="shared" ca="1" si="1"/>
        <v>0.88930138994012065</v>
      </c>
    </row>
    <row r="7" spans="1:13" x14ac:dyDescent="0.25">
      <c r="A7" t="str">
        <f>CONCATENATE("EV Revenue growth rate between ",TEXT('Model Assumptions'!C7,"0.0%")," / ",TEXT('Model Assumptions'!D7,"0.0%"))</f>
        <v>EV Revenue growth rate between -20.0% / 80.0%</v>
      </c>
      <c r="C7" s="5">
        <f ca="1">(1-C6)*'Model Assumptions'!$C$7+(C6)*'Model Assumptions'!$D$7</f>
        <v>0.33573595618017604</v>
      </c>
      <c r="D7" s="5">
        <f ca="1">(1-D6)*'Model Assumptions'!$C$7+(D6)*'Model Assumptions'!$D$7</f>
        <v>0.58922183771157177</v>
      </c>
      <c r="E7" s="5">
        <f ca="1">(1-E6)*'Model Assumptions'!$C$7+(E6)*'Model Assumptions'!$D$7</f>
        <v>0.44115379954379585</v>
      </c>
      <c r="F7" s="5">
        <f ca="1">(1-F6)*'Model Assumptions'!$C$7+(F6)*'Model Assumptions'!$D$7</f>
        <v>0.11987223926809795</v>
      </c>
      <c r="G7" s="5">
        <f ca="1">(1-G6)*'Model Assumptions'!$C$7+(G6)*'Model Assumptions'!$D$7</f>
        <v>0.5990126598699802</v>
      </c>
      <c r="H7" s="5">
        <f ca="1">(1-H6)*'Model Assumptions'!$C$7+(H6)*'Model Assumptions'!$D$7</f>
        <v>0.48241514530691437</v>
      </c>
      <c r="I7" s="5">
        <f ca="1">(1-I6)*'Model Assumptions'!$C$7+(I6)*'Model Assumptions'!$D$7</f>
        <v>0.73800531814679049</v>
      </c>
      <c r="J7" s="5">
        <f ca="1">(1-J6)*'Model Assumptions'!$C$7+(J6)*'Model Assumptions'!$D$7</f>
        <v>1.8598336735341003E-2</v>
      </c>
      <c r="K7" s="5">
        <f ca="1">(1-K6)*'Model Assumptions'!$C$7+(K6)*'Model Assumptions'!$D$7</f>
        <v>0.28418013717205365</v>
      </c>
      <c r="L7" s="5">
        <f ca="1">(1-L6)*'Model Assumptions'!$C$7+(L6)*'Model Assumptions'!$D$7</f>
        <v>0.68930138994012069</v>
      </c>
    </row>
    <row r="9" spans="1:13" x14ac:dyDescent="0.25">
      <c r="A9" t="s">
        <v>6</v>
      </c>
      <c r="B9" s="3">
        <f t="shared" ref="B9:L9" si="2">B10/(B10+B20)</f>
        <v>0.93178241532671913</v>
      </c>
      <c r="C9" s="3">
        <f t="shared" ca="1" si="2"/>
        <v>0.92180578293212767</v>
      </c>
      <c r="D9" s="3">
        <f t="shared" ca="1" si="2"/>
        <v>0.92774379365176274</v>
      </c>
      <c r="E9" s="3">
        <f t="shared" ca="1" si="2"/>
        <v>0.93039133040854571</v>
      </c>
      <c r="F9" s="3">
        <f t="shared" ca="1" si="2"/>
        <v>0.91050326859998976</v>
      </c>
      <c r="G9" s="3">
        <f t="shared" ca="1" si="2"/>
        <v>0.90363293512615195</v>
      </c>
      <c r="H9" s="3">
        <f t="shared" ca="1" si="2"/>
        <v>0.90054622397852568</v>
      </c>
      <c r="I9" s="3">
        <f t="shared" ca="1" si="2"/>
        <v>0.93089888748653959</v>
      </c>
      <c r="J9" s="3">
        <f t="shared" ca="1" si="2"/>
        <v>0.90989893598254068</v>
      </c>
      <c r="K9" s="3">
        <f t="shared" ca="1" si="2"/>
        <v>0.89767110521082993</v>
      </c>
      <c r="L9" s="3">
        <f t="shared" ca="1" si="2"/>
        <v>0.87000800183615634</v>
      </c>
    </row>
    <row r="10" spans="1:13" x14ac:dyDescent="0.25">
      <c r="A10" t="s">
        <v>29</v>
      </c>
      <c r="B10" s="2">
        <f>'Model Assumptions'!C13</f>
        <v>27236</v>
      </c>
      <c r="C10" s="8">
        <f ca="1">B10*(1+C7)*IF(C14&gt;B14,1-'Model Assumptions'!$F$9,1)</f>
        <v>36380.104502523274</v>
      </c>
      <c r="D10" s="8">
        <f ca="1">C10*(1+D7)*IF(D14&gt;C14,1-'Model Assumptions'!$F$9,1)</f>
        <v>49167.030569735463</v>
      </c>
      <c r="E10" s="8">
        <f ca="1">D10*(1+E7)*IF(E14&gt;D14,1-'Model Assumptions'!$F$9,1)</f>
        <v>70857.252917860227</v>
      </c>
      <c r="F10" s="8">
        <f ca="1">E10*(1+F7)*IF(F14&gt;E14,1-'Model Assumptions'!$F$9,1)</f>
        <v>67480.50182955082</v>
      </c>
      <c r="G10" s="8">
        <f ca="1">F10*(1+G7)*IF(G14&gt;F14,1-'Model Assumptions'!$F$9,1)</f>
        <v>107902.17671983111</v>
      </c>
      <c r="H10" s="8">
        <f ca="1">G10*(1+H7)*IF(H14&gt;G14,1-'Model Assumptions'!$F$9,1)</f>
        <v>136027.13867915087</v>
      </c>
      <c r="I10" s="8">
        <f ca="1">H10*(1+I7)*IF(I14&gt;H14,1-'Model Assumptions'!$F$9,1)</f>
        <v>236415.8904366552</v>
      </c>
      <c r="J10" s="8">
        <f ca="1">I10*(1+J7)*IF(J14&gt;I14,1-'Model Assumptions'!$F$9,1)</f>
        <v>204788.29966242844</v>
      </c>
      <c r="K10" s="8">
        <f ca="1">J10*(1+K7)*IF(K14&gt;J14,1-'Model Assumptions'!$F$9,1)</f>
        <v>262985.066751729</v>
      </c>
      <c r="L10" s="8">
        <f ca="1">K10*(1+L7)*IF(L14&gt;K14,1-'Model Assumptions'!$F$9,1)</f>
        <v>377801.55522670486</v>
      </c>
    </row>
    <row r="11" spans="1:13" x14ac:dyDescent="0.25">
      <c r="A11" t="s">
        <v>3</v>
      </c>
      <c r="B11" s="1">
        <f>'Model Assumptions'!C14</f>
        <v>509737</v>
      </c>
      <c r="C11" s="1">
        <f t="shared" ref="C11:L11" ca="1" si="3">ROUND(B11*(1+C7),0)</f>
        <v>680874</v>
      </c>
      <c r="D11" s="1">
        <f t="shared" ca="1" si="3"/>
        <v>1082060</v>
      </c>
      <c r="E11" s="1">
        <f t="shared" ca="1" si="3"/>
        <v>1559415</v>
      </c>
      <c r="F11" s="1">
        <f t="shared" ca="1" si="3"/>
        <v>1746346</v>
      </c>
      <c r="G11" s="1">
        <f t="shared" ca="1" si="3"/>
        <v>2792429</v>
      </c>
      <c r="H11" s="1">
        <f t="shared" ca="1" si="3"/>
        <v>4139539</v>
      </c>
      <c r="I11" s="1">
        <f t="shared" ca="1" si="3"/>
        <v>7194541</v>
      </c>
      <c r="J11" s="1">
        <f t="shared" ca="1" si="3"/>
        <v>7328347</v>
      </c>
      <c r="K11" s="1">
        <f t="shared" ca="1" si="3"/>
        <v>9410918</v>
      </c>
      <c r="L11" s="1">
        <f t="shared" ca="1" si="3"/>
        <v>15897877</v>
      </c>
    </row>
    <row r="12" spans="1:13" x14ac:dyDescent="0.25">
      <c r="A12" t="s">
        <v>4</v>
      </c>
      <c r="B12" s="1">
        <f>'Model Assumptions'!C15</f>
        <v>1341910</v>
      </c>
      <c r="C12" s="1">
        <f ca="1">B12+C11</f>
        <v>2022784</v>
      </c>
      <c r="D12" s="1">
        <f t="shared" ref="D12:L12" ca="1" si="4">C12+D11</f>
        <v>3104844</v>
      </c>
      <c r="E12" s="1">
        <f t="shared" ca="1" si="4"/>
        <v>4664259</v>
      </c>
      <c r="F12" s="1">
        <f t="shared" ca="1" si="4"/>
        <v>6410605</v>
      </c>
      <c r="G12" s="1">
        <f t="shared" ca="1" si="4"/>
        <v>9203034</v>
      </c>
      <c r="H12" s="1">
        <f t="shared" ca="1" si="4"/>
        <v>13342573</v>
      </c>
      <c r="I12" s="1">
        <f t="shared" ca="1" si="4"/>
        <v>20537114</v>
      </c>
      <c r="J12" s="1">
        <f t="shared" ca="1" si="4"/>
        <v>27865461</v>
      </c>
      <c r="K12" s="1">
        <f t="shared" ca="1" si="4"/>
        <v>37276379</v>
      </c>
      <c r="L12" s="1">
        <f t="shared" ca="1" si="4"/>
        <v>53174256</v>
      </c>
    </row>
    <row r="13" spans="1:13" x14ac:dyDescent="0.25">
      <c r="A13" t="str">
        <f ca="1">CONCATENATE("Wright's Law decreases ASP's by ",TEXT('Model Assumptions'!F9,"0.0%"))</f>
        <v>Wright's Law decreases ASP's by 15.0%</v>
      </c>
      <c r="B13" s="1"/>
      <c r="C13" s="6">
        <f ca="1">C12/$B$12</f>
        <v>1.5073917028712804</v>
      </c>
      <c r="D13" s="6">
        <f t="shared" ref="D13:L13" ca="1" si="5">D12/$B$12</f>
        <v>2.3137498043833045</v>
      </c>
      <c r="E13" s="6">
        <f t="shared" ca="1" si="5"/>
        <v>3.4758359353458874</v>
      </c>
      <c r="F13" s="6">
        <f t="shared" ca="1" si="5"/>
        <v>4.777224254979842</v>
      </c>
      <c r="G13" s="6">
        <f t="shared" ca="1" si="5"/>
        <v>6.8581603833342024</v>
      </c>
      <c r="H13" s="6">
        <f t="shared" ca="1" si="5"/>
        <v>9.9429715852777019</v>
      </c>
      <c r="I13" s="6">
        <f t="shared" ca="1" si="5"/>
        <v>15.304390011252618</v>
      </c>
      <c r="J13" s="6">
        <f t="shared" ca="1" si="5"/>
        <v>20.765521532740646</v>
      </c>
      <c r="K13" s="6">
        <f t="shared" ca="1" si="5"/>
        <v>27.778598415691068</v>
      </c>
      <c r="L13" s="6">
        <f t="shared" ca="1" si="5"/>
        <v>39.625799047626145</v>
      </c>
    </row>
    <row r="14" spans="1:13" x14ac:dyDescent="0.25">
      <c r="A14" t="s">
        <v>24</v>
      </c>
      <c r="B14" s="1">
        <v>1</v>
      </c>
      <c r="C14" s="6">
        <f t="shared" ref="C14:L14" ca="1" si="6">IF(C13&gt;(2^B14),B14+1,B14)</f>
        <v>1</v>
      </c>
      <c r="D14" s="6">
        <f t="shared" ca="1" si="6"/>
        <v>2</v>
      </c>
      <c r="E14" s="6">
        <f t="shared" ca="1" si="6"/>
        <v>2</v>
      </c>
      <c r="F14" s="6">
        <f t="shared" ca="1" si="6"/>
        <v>3</v>
      </c>
      <c r="G14" s="6">
        <f t="shared" ca="1" si="6"/>
        <v>3</v>
      </c>
      <c r="H14" s="6">
        <f t="shared" ca="1" si="6"/>
        <v>4</v>
      </c>
      <c r="I14" s="6">
        <f t="shared" ca="1" si="6"/>
        <v>4</v>
      </c>
      <c r="J14" s="6">
        <f t="shared" ca="1" si="6"/>
        <v>5</v>
      </c>
      <c r="K14" s="6">
        <f t="shared" ca="1" si="6"/>
        <v>5</v>
      </c>
      <c r="L14" s="6">
        <f t="shared" ca="1" si="6"/>
        <v>6</v>
      </c>
    </row>
    <row r="16" spans="1:13" x14ac:dyDescent="0.25">
      <c r="A16" t="s">
        <v>11</v>
      </c>
      <c r="C16">
        <f ca="1">RAND()</f>
        <v>0.81990400985562073</v>
      </c>
      <c r="D16">
        <f t="shared" ref="D16:L16" ca="1" si="7">RAND()</f>
        <v>0.45913815959118265</v>
      </c>
      <c r="E16">
        <f t="shared" ca="1" si="7"/>
        <v>0.62792876635767925</v>
      </c>
      <c r="F16">
        <f t="shared" ca="1" si="7"/>
        <v>0.47128384261358403</v>
      </c>
      <c r="G16">
        <f t="shared" ca="1" si="7"/>
        <v>0.7348535422310829</v>
      </c>
      <c r="H16">
        <f t="shared" ca="1" si="7"/>
        <v>0.53514191834859448</v>
      </c>
      <c r="I16">
        <f t="shared" ca="1" si="7"/>
        <v>0.16820312019423678</v>
      </c>
      <c r="J16">
        <f t="shared" ca="1" si="7"/>
        <v>0.35880518989062316</v>
      </c>
      <c r="K16">
        <f t="shared" ca="1" si="7"/>
        <v>0.73837997126718091</v>
      </c>
      <c r="L16">
        <f t="shared" ca="1" si="7"/>
        <v>0.88297688199346858</v>
      </c>
    </row>
    <row r="17" spans="1:14" x14ac:dyDescent="0.25">
      <c r="A17" t="str">
        <f>CONCATENATE("EGS growth rate between ",TEXT('Model Assumptions'!C8,"0.0%"), " / ", TEXT('Model Assumptions'!D8,"0.0%"))</f>
        <v>EGS growth rate between 0.0% / 100.0%</v>
      </c>
      <c r="C17" s="5">
        <f ca="1">(1-C16)*'Model Assumptions'!$C$8+(C16)*'Model Assumptions'!$D$8</f>
        <v>0.81990400985562073</v>
      </c>
      <c r="D17" s="5">
        <f ca="1">(1-D16)*'Model Assumptions'!$C$8+(D16)*'Model Assumptions'!$D$8</f>
        <v>0.45913815959118265</v>
      </c>
      <c r="E17" s="5">
        <f ca="1">(1-E16)*'Model Assumptions'!$C$8+(E16)*'Model Assumptions'!$D$8</f>
        <v>0.62792876635767925</v>
      </c>
      <c r="F17" s="5">
        <f ca="1">(1-F16)*'Model Assumptions'!$C$8+(F16)*'Model Assumptions'!$D$8</f>
        <v>0.47128384261358403</v>
      </c>
      <c r="G17" s="5">
        <f ca="1">(1-G16)*'Model Assumptions'!$C$8+(G16)*'Model Assumptions'!$D$8</f>
        <v>0.7348535422310829</v>
      </c>
      <c r="H17" s="5">
        <f ca="1">(1-H16)*'Model Assumptions'!$C$8+(H16)*'Model Assumptions'!$D$8</f>
        <v>0.53514191834859448</v>
      </c>
      <c r="I17" s="5">
        <f ca="1">(1-I16)*'Model Assumptions'!$C$8+(I16)*'Model Assumptions'!$D$8</f>
        <v>0.16820312019423678</v>
      </c>
      <c r="J17" s="5">
        <f ca="1">(1-J16)*'Model Assumptions'!$C$8+(J16)*'Model Assumptions'!$D$8</f>
        <v>0.35880518989062316</v>
      </c>
      <c r="K17" s="5">
        <f ca="1">(1-K16)*'Model Assumptions'!$C$8+(K16)*'Model Assumptions'!$D$8</f>
        <v>0.73837997126718091</v>
      </c>
      <c r="L17" s="5">
        <f ca="1">(1-L16)*'Model Assumptions'!$C$8+(L16)*'Model Assumptions'!$D$8</f>
        <v>0.88297688199346858</v>
      </c>
    </row>
    <row r="18" spans="1:14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 x14ac:dyDescent="0.25">
      <c r="A19" t="s">
        <v>7</v>
      </c>
      <c r="B19" s="4">
        <f t="shared" ref="B19:L19" si="8">1-B9</f>
        <v>6.8217584673280873E-2</v>
      </c>
      <c r="C19" s="4">
        <f t="shared" ca="1" si="8"/>
        <v>7.8194217067872329E-2</v>
      </c>
      <c r="D19" s="4">
        <f t="shared" ca="1" si="8"/>
        <v>7.2256206348237262E-2</v>
      </c>
      <c r="E19" s="4">
        <f t="shared" ca="1" si="8"/>
        <v>6.9608669591454286E-2</v>
      </c>
      <c r="F19" s="4">
        <f t="shared" ca="1" si="8"/>
        <v>8.9496731400010243E-2</v>
      </c>
      <c r="G19" s="4">
        <f t="shared" ca="1" si="8"/>
        <v>9.6367064873848052E-2</v>
      </c>
      <c r="H19" s="4">
        <f t="shared" ca="1" si="8"/>
        <v>9.9453776021474316E-2</v>
      </c>
      <c r="I19" s="4">
        <f t="shared" ca="1" si="8"/>
        <v>6.9101112513460405E-2</v>
      </c>
      <c r="J19" s="4">
        <f t="shared" ca="1" si="8"/>
        <v>9.010106401745932E-2</v>
      </c>
      <c r="K19" s="4">
        <f t="shared" ca="1" si="8"/>
        <v>0.10232889478917007</v>
      </c>
      <c r="L19" s="4">
        <f t="shared" ca="1" si="8"/>
        <v>0.12999199816384366</v>
      </c>
    </row>
    <row r="20" spans="1:14" x14ac:dyDescent="0.25">
      <c r="A20" t="s">
        <v>5</v>
      </c>
      <c r="B20" s="2">
        <f>'Model Assumptions'!C16</f>
        <v>1994</v>
      </c>
      <c r="C20" s="8">
        <f ca="1">B20*(1+C17)*IF(C24&gt;B24,1-'Model Assumptions'!$F$9,1)</f>
        <v>3086.0229357355188</v>
      </c>
      <c r="D20" s="8">
        <f ca="1">C20*(1+D17)*IF(D24&gt;C24,1-'Model Assumptions'!$F$9,1)</f>
        <v>3829.3148719358678</v>
      </c>
      <c r="E20" s="8">
        <f ca="1">D20*(1+E17)*IF(E24&gt;D24,1-'Model Assumptions'!$F$9,1)</f>
        <v>5301.2952134362813</v>
      </c>
      <c r="F20" s="8">
        <f ca="1">E20*(1+F17)*IF(F24&gt;E24,1-'Model Assumptions'!$F$9,1)</f>
        <v>6632.9079260345106</v>
      </c>
      <c r="G20" s="8">
        <f ca="1">F20*(1+G17)*IF(G24&gt;F24,1-'Model Assumptions'!$F$9,1)</f>
        <v>11507.123810773597</v>
      </c>
      <c r="H20" s="8">
        <f ca="1">G20*(1+H17)*IF(H24&gt;G24,1-'Model Assumptions'!$F$9,1)</f>
        <v>15022.452177158759</v>
      </c>
      <c r="I20" s="8">
        <f ca="1">H20*(1+I17)*IF(I24&gt;H24,1-'Model Assumptions'!$F$9,1)</f>
        <v>17549.275506325568</v>
      </c>
      <c r="J20" s="8">
        <f ca="1">I20*(1+J17)*IF(J24&gt;I24,1-'Model Assumptions'!$F$9,1)</f>
        <v>20278.783684900565</v>
      </c>
      <c r="K20" s="8">
        <f ca="1">J20*(1+K17)*IF(K24&gt;J24,1-'Model Assumptions'!$F$9,1)</f>
        <v>29978.653730243601</v>
      </c>
      <c r="L20" s="8">
        <f ca="1">K20*(1+L17)*IF(L24&gt;K24,1-'Model Assumptions'!$F$9,1)</f>
        <v>56449.111927335965</v>
      </c>
    </row>
    <row r="21" spans="1:14" x14ac:dyDescent="0.25">
      <c r="A21" t="s">
        <v>10</v>
      </c>
      <c r="B21" s="7">
        <f>'Model Assumptions'!C17</f>
        <v>3</v>
      </c>
      <c r="C21">
        <f ca="1">ROUND(B21*(1+C17),2)</f>
        <v>5.46</v>
      </c>
      <c r="D21">
        <f t="shared" ref="D21:L21" ca="1" si="9">ROUND(C21*(1+D17),2)</f>
        <v>7.97</v>
      </c>
      <c r="E21">
        <f t="shared" ca="1" si="9"/>
        <v>12.97</v>
      </c>
      <c r="F21">
        <f t="shared" ca="1" si="9"/>
        <v>19.079999999999998</v>
      </c>
      <c r="G21">
        <f t="shared" ca="1" si="9"/>
        <v>33.1</v>
      </c>
      <c r="H21">
        <f t="shared" ca="1" si="9"/>
        <v>50.81</v>
      </c>
      <c r="I21">
        <f t="shared" ca="1" si="9"/>
        <v>59.36</v>
      </c>
      <c r="J21">
        <f t="shared" ca="1" si="9"/>
        <v>80.66</v>
      </c>
      <c r="K21">
        <f t="shared" ca="1" si="9"/>
        <v>140.22</v>
      </c>
      <c r="L21">
        <f t="shared" ca="1" si="9"/>
        <v>264.02999999999997</v>
      </c>
    </row>
    <row r="22" spans="1:14" x14ac:dyDescent="0.25">
      <c r="A22" t="s">
        <v>27</v>
      </c>
      <c r="B22" s="1">
        <f>'Model Assumptions'!C18</f>
        <v>3</v>
      </c>
      <c r="C22" s="1">
        <f ca="1">B22+C21</f>
        <v>8.4600000000000009</v>
      </c>
      <c r="D22" s="1">
        <f t="shared" ref="D22" ca="1" si="10">C22+D21</f>
        <v>16.43</v>
      </c>
      <c r="E22" s="1">
        <f t="shared" ref="E22" ca="1" si="11">D22+E21</f>
        <v>29.4</v>
      </c>
      <c r="F22" s="1">
        <f t="shared" ref="F22" ca="1" si="12">E22+F21</f>
        <v>48.48</v>
      </c>
      <c r="G22" s="1">
        <f t="shared" ref="G22" ca="1" si="13">F22+G21</f>
        <v>81.58</v>
      </c>
      <c r="H22" s="1">
        <f t="shared" ref="H22" ca="1" si="14">G22+H21</f>
        <v>132.38999999999999</v>
      </c>
      <c r="I22" s="1">
        <f t="shared" ref="I22" ca="1" si="15">H22+I21</f>
        <v>191.75</v>
      </c>
      <c r="J22" s="1">
        <f t="shared" ref="J22" ca="1" si="16">I22+J21</f>
        <v>272.40999999999997</v>
      </c>
      <c r="K22" s="1">
        <f t="shared" ref="K22" ca="1" si="17">J22+K21</f>
        <v>412.63</v>
      </c>
      <c r="L22" s="1">
        <f t="shared" ref="L22" ca="1" si="18">K22+L21</f>
        <v>676.66</v>
      </c>
    </row>
    <row r="23" spans="1:14" x14ac:dyDescent="0.25">
      <c r="A23" t="str">
        <f ca="1">CONCATENATE("Wright's Law decreases ASP's by ",TEXT('Model Assumptions'!F9,"0.0%"))</f>
        <v>Wright's Law decreases ASP's by 15.0%</v>
      </c>
      <c r="B23" s="1"/>
      <c r="C23" s="6">
        <f ca="1">C22/$B$22</f>
        <v>2.8200000000000003</v>
      </c>
      <c r="D23" s="6">
        <f t="shared" ref="D23:L23" ca="1" si="19">D22/$B$22</f>
        <v>5.4766666666666666</v>
      </c>
      <c r="E23" s="6">
        <f t="shared" ca="1" si="19"/>
        <v>9.7999999999999989</v>
      </c>
      <c r="F23" s="6">
        <f t="shared" ca="1" si="19"/>
        <v>16.16</v>
      </c>
      <c r="G23" s="6">
        <f t="shared" ca="1" si="19"/>
        <v>27.193333333333332</v>
      </c>
      <c r="H23" s="6">
        <f t="shared" ca="1" si="19"/>
        <v>44.129999999999995</v>
      </c>
      <c r="I23" s="6">
        <f t="shared" ca="1" si="19"/>
        <v>63.916666666666664</v>
      </c>
      <c r="J23" s="6">
        <f t="shared" ca="1" si="19"/>
        <v>90.803333333333327</v>
      </c>
      <c r="K23" s="6">
        <f t="shared" ca="1" si="19"/>
        <v>137.54333333333332</v>
      </c>
      <c r="L23" s="6">
        <f t="shared" ca="1" si="19"/>
        <v>225.55333333333331</v>
      </c>
    </row>
    <row r="24" spans="1:14" x14ac:dyDescent="0.25">
      <c r="A24" t="s">
        <v>28</v>
      </c>
      <c r="B24" s="1">
        <v>1</v>
      </c>
      <c r="C24" s="6">
        <f t="shared" ref="C24" ca="1" si="20">IF(C23&gt;(2^B24),B24+1,B24)</f>
        <v>2</v>
      </c>
      <c r="D24" s="6">
        <f t="shared" ref="D24" ca="1" si="21">IF(D23&gt;(2^C24),C24+1,C24)</f>
        <v>3</v>
      </c>
      <c r="E24" s="6">
        <f t="shared" ref="E24" ca="1" si="22">IF(E23&gt;(2^D24),D24+1,D24)</f>
        <v>4</v>
      </c>
      <c r="F24" s="6">
        <f t="shared" ref="F24" ca="1" si="23">IF(F23&gt;(2^E24),E24+1,E24)</f>
        <v>5</v>
      </c>
      <c r="G24" s="6">
        <f t="shared" ref="G24" ca="1" si="24">IF(G23&gt;(2^F24),F24+1,F24)</f>
        <v>5</v>
      </c>
      <c r="H24" s="6">
        <f t="shared" ref="H24" ca="1" si="25">IF(H23&gt;(2^G24),G24+1,G24)</f>
        <v>6</v>
      </c>
      <c r="I24" s="6">
        <f t="shared" ref="I24" ca="1" si="26">IF(I23&gt;(2^H24),H24+1,H24)</f>
        <v>6</v>
      </c>
      <c r="J24" s="6">
        <f t="shared" ref="J24" ca="1" si="27">IF(J23&gt;(2^I24),I24+1,I24)</f>
        <v>7</v>
      </c>
      <c r="K24" s="6">
        <f t="shared" ref="K24" ca="1" si="28">IF(K23&gt;(2^J24),J24+1,J24)</f>
        <v>8</v>
      </c>
      <c r="L24" s="6">
        <f t="shared" ref="L24" ca="1" si="29">IF(L23&gt;(2^K24),K24+1,K24)</f>
        <v>8</v>
      </c>
    </row>
    <row r="25" spans="1:14" x14ac:dyDescent="0.25">
      <c r="B25" s="7"/>
    </row>
    <row r="26" spans="1:14" x14ac:dyDescent="0.25">
      <c r="A26" t="s">
        <v>12</v>
      </c>
      <c r="B26" s="2">
        <f t="shared" ref="B26:L26" si="30">B10+B20</f>
        <v>29230</v>
      </c>
      <c r="C26" s="8">
        <f t="shared" ca="1" si="30"/>
        <v>39466.127438258794</v>
      </c>
      <c r="D26" s="8">
        <f t="shared" ca="1" si="30"/>
        <v>52996.345441671328</v>
      </c>
      <c r="E26" s="8">
        <f t="shared" ca="1" si="30"/>
        <v>76158.548131296513</v>
      </c>
      <c r="F26" s="8">
        <f t="shared" ca="1" si="30"/>
        <v>74113.409755585337</v>
      </c>
      <c r="G26" s="8">
        <f t="shared" ca="1" si="30"/>
        <v>119409.30053060471</v>
      </c>
      <c r="H26" s="8">
        <f t="shared" ca="1" si="30"/>
        <v>151049.59085630963</v>
      </c>
      <c r="I26" s="8">
        <f t="shared" ca="1" si="30"/>
        <v>253965.16594298076</v>
      </c>
      <c r="J26" s="8">
        <f t="shared" ca="1" si="30"/>
        <v>225067.083347329</v>
      </c>
      <c r="K26" s="8">
        <f t="shared" ca="1" si="30"/>
        <v>292963.72048197262</v>
      </c>
      <c r="L26" s="8">
        <f t="shared" ca="1" si="30"/>
        <v>434250.66715404083</v>
      </c>
    </row>
    <row r="28" spans="1:14" x14ac:dyDescent="0.25">
      <c r="A28" t="s">
        <v>11</v>
      </c>
      <c r="C28">
        <f ca="1">RAND()</f>
        <v>0.59890098602675035</v>
      </c>
      <c r="D28">
        <f t="shared" ref="D28:L28" ca="1" si="31">RAND()</f>
        <v>0.70951859745866308</v>
      </c>
      <c r="E28">
        <f t="shared" ca="1" si="31"/>
        <v>0.11178409053646032</v>
      </c>
      <c r="F28">
        <f t="shared" ca="1" si="31"/>
        <v>0.71291854691728151</v>
      </c>
      <c r="G28">
        <f t="shared" ca="1" si="31"/>
        <v>0.65891291435016719</v>
      </c>
      <c r="H28">
        <f t="shared" ca="1" si="31"/>
        <v>0.1547995833274709</v>
      </c>
      <c r="I28">
        <f t="shared" ca="1" si="31"/>
        <v>0.48226322399244559</v>
      </c>
      <c r="J28">
        <f t="shared" ca="1" si="31"/>
        <v>0.84904808474583271</v>
      </c>
      <c r="K28">
        <f t="shared" ca="1" si="31"/>
        <v>0.27535842452069192</v>
      </c>
      <c r="L28">
        <f t="shared" ca="1" si="31"/>
        <v>0.36828292776043969</v>
      </c>
    </row>
    <row r="29" spans="1:14" x14ac:dyDescent="0.25">
      <c r="A29" t="str">
        <f>CONCATENATE("FCF growth rate between ",TEXT('Model Assumptions'!C10,"0.0%")," / ",TEXT('Model Assumptions'!D10,"0.0%"))</f>
        <v>FCF growth rate between -4.8% / 5.0%</v>
      </c>
      <c r="C29" s="5">
        <f ca="1">(1-C28)*-4.8%+(C28)*5%</f>
        <v>1.0692296630621535E-2</v>
      </c>
      <c r="D29" s="5">
        <f t="shared" ref="D29:L29" ca="1" si="32">(1-D28)*-4.8%+(D28)*5%</f>
        <v>2.1532822550948981E-2</v>
      </c>
      <c r="E29" s="5">
        <f t="shared" ca="1" si="32"/>
        <v>-3.704515912742689E-2</v>
      </c>
      <c r="F29" s="5">
        <f t="shared" ca="1" si="32"/>
        <v>2.1866017597893587E-2</v>
      </c>
      <c r="G29" s="5">
        <f t="shared" ca="1" si="32"/>
        <v>1.6573465606316385E-2</v>
      </c>
      <c r="H29" s="5">
        <f t="shared" ca="1" si="32"/>
        <v>-3.2829640833907853E-2</v>
      </c>
      <c r="I29" s="5">
        <f t="shared" ca="1" si="32"/>
        <v>-7.3820404874033047E-4</v>
      </c>
      <c r="J29" s="5">
        <f t="shared" ca="1" si="32"/>
        <v>3.5206712305091606E-2</v>
      </c>
      <c r="K29" s="5">
        <f t="shared" ca="1" si="32"/>
        <v>-2.1014874396972194E-2</v>
      </c>
      <c r="L29" s="5">
        <f t="shared" ca="1" si="32"/>
        <v>-1.1908273079476912E-2</v>
      </c>
      <c r="M29" s="5"/>
      <c r="N29" s="5"/>
    </row>
    <row r="30" spans="1:14" x14ac:dyDescent="0.25">
      <c r="A30" t="s">
        <v>8</v>
      </c>
      <c r="B30" s="2">
        <f>'Model Assumptions'!C19</f>
        <v>2786</v>
      </c>
      <c r="C30" s="8">
        <f ca="1">ROUND(C31*C26,0)</f>
        <v>4184</v>
      </c>
      <c r="D30" s="8">
        <f t="shared" ref="D30:L30" ca="1" si="33">ROUND(D31*D26,0)</f>
        <v>6759</v>
      </c>
      <c r="E30" s="8">
        <f t="shared" ca="1" si="33"/>
        <v>6892</v>
      </c>
      <c r="F30" s="8">
        <f t="shared" ca="1" si="33"/>
        <v>8327</v>
      </c>
      <c r="G30" s="8">
        <f t="shared" ca="1" si="33"/>
        <v>15396</v>
      </c>
      <c r="H30" s="8">
        <f t="shared" ca="1" si="33"/>
        <v>14516</v>
      </c>
      <c r="I30" s="8">
        <f t="shared" ca="1" si="33"/>
        <v>24219</v>
      </c>
      <c r="J30" s="8">
        <f t="shared" ca="1" si="33"/>
        <v>29387</v>
      </c>
      <c r="K30" s="8">
        <f t="shared" ca="1" si="33"/>
        <v>32096</v>
      </c>
      <c r="L30" s="8">
        <f t="shared" ca="1" si="33"/>
        <v>42404</v>
      </c>
      <c r="N30" s="11"/>
    </row>
    <row r="31" spans="1:14" x14ac:dyDescent="0.25">
      <c r="A31" t="s">
        <v>9</v>
      </c>
      <c r="B31" s="5">
        <f>B30/(B10+B20)</f>
        <v>9.5313034553540885E-2</v>
      </c>
      <c r="C31" s="5">
        <f ca="1">B31+C29</f>
        <v>0.10600533118416242</v>
      </c>
      <c r="D31" s="5">
        <f t="shared" ref="D31:L31" ca="1" si="34">C31+D29</f>
        <v>0.1275381537351114</v>
      </c>
      <c r="E31" s="5">
        <f t="shared" ca="1" si="34"/>
        <v>9.0492994607684507E-2</v>
      </c>
      <c r="F31" s="5">
        <f t="shared" ca="1" si="34"/>
        <v>0.11235901220557809</v>
      </c>
      <c r="G31" s="5">
        <f t="shared" ca="1" si="34"/>
        <v>0.12893247781189449</v>
      </c>
      <c r="H31" s="5">
        <f t="shared" ca="1" si="34"/>
        <v>9.6102836977986633E-2</v>
      </c>
      <c r="I31" s="5">
        <f t="shared" ca="1" si="34"/>
        <v>9.5364632929246296E-2</v>
      </c>
      <c r="J31" s="5">
        <f t="shared" ca="1" si="34"/>
        <v>0.13057134523433789</v>
      </c>
      <c r="K31" s="5">
        <f t="shared" ca="1" si="34"/>
        <v>0.10955647083736569</v>
      </c>
      <c r="L31" s="5">
        <f t="shared" ca="1" si="34"/>
        <v>9.7648197757888786E-2</v>
      </c>
    </row>
    <row r="33" spans="1:13" x14ac:dyDescent="0.25">
      <c r="A33" t="str">
        <f ca="1">CONCATENATE("Net Present Value of FCF at ",TEXT('Model Assumptions'!F11,"0.0%")," interest rate (millions)")</f>
        <v>Net Present Value of FCF at 2.4% interest rate (millions)</v>
      </c>
      <c r="B33" s="10">
        <f ca="1">NPV('Model Assumptions'!F11,C30:L30)</f>
        <v>154681.16059566857</v>
      </c>
      <c r="M33" s="9">
        <f ca="1">L30/'Model Assumptions'!F11/(1+'Model Assumptions'!F11)^10</f>
        <v>1373739.2748591444</v>
      </c>
    </row>
    <row r="34" spans="1:13" x14ac:dyDescent="0.25">
      <c r="B34" s="10">
        <f ca="1">B33+M33</f>
        <v>1528420.4354548128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Info</vt:lpstr>
      <vt:lpstr>Model Assumptions</vt:lpstr>
      <vt:lpstr>Simple EV cash flow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Govindan</dc:creator>
  <cp:lastModifiedBy>Vijay Govindan</cp:lastModifiedBy>
  <dcterms:created xsi:type="dcterms:W3CDTF">2021-04-02T02:26:31Z</dcterms:created>
  <dcterms:modified xsi:type="dcterms:W3CDTF">2021-04-08T04:26:20Z</dcterms:modified>
</cp:coreProperties>
</file>